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7795" windowHeight="12270"/>
  </bookViews>
  <sheets>
    <sheet name="к проекту" sheetId="1" r:id="rId1"/>
  </sheets>
  <definedNames>
    <definedName name="_xlnm.Print_Titles" localSheetId="0">'к проекту'!$5:$10</definedName>
    <definedName name="_xlnm.Print_Area" localSheetId="0">'к проекту'!$A$1:$N$125</definedName>
  </definedNames>
  <calcPr calcId="145621"/>
</workbook>
</file>

<file path=xl/calcChain.xml><?xml version="1.0" encoding="utf-8"?>
<calcChain xmlns="http://schemas.openxmlformats.org/spreadsheetml/2006/main">
  <c r="N52" i="1" l="1"/>
  <c r="M52" i="1"/>
  <c r="L52" i="1"/>
  <c r="N67" i="1"/>
  <c r="M67" i="1"/>
  <c r="L17" i="1"/>
  <c r="M58" i="1" l="1"/>
  <c r="N85" i="1"/>
  <c r="M85" i="1"/>
  <c r="L85" i="1"/>
  <c r="N109" i="1"/>
  <c r="M109" i="1"/>
  <c r="L109" i="1"/>
  <c r="N32" i="1"/>
  <c r="M32" i="1"/>
  <c r="L32" i="1"/>
  <c r="N30" i="1"/>
  <c r="M30" i="1"/>
  <c r="L30" i="1"/>
  <c r="N36" i="1" l="1"/>
  <c r="M36" i="1"/>
  <c r="L36" i="1"/>
  <c r="L46" i="1"/>
  <c r="N64" i="1" l="1"/>
  <c r="M64" i="1"/>
  <c r="L64" i="1"/>
  <c r="L67" i="1"/>
  <c r="L39" i="1" l="1"/>
  <c r="L41" i="1"/>
  <c r="M41" i="1"/>
  <c r="M39" i="1"/>
  <c r="N41" i="1"/>
  <c r="N39" i="1"/>
  <c r="N29" i="1"/>
  <c r="M29" i="1"/>
  <c r="L29" i="1"/>
  <c r="N57" i="1"/>
  <c r="M57" i="1"/>
  <c r="L57" i="1"/>
  <c r="N22" i="1"/>
  <c r="M22" i="1"/>
  <c r="L22" i="1"/>
  <c r="N27" i="1" l="1"/>
  <c r="M27" i="1"/>
  <c r="L27" i="1"/>
  <c r="N26" i="1"/>
  <c r="M26" i="1"/>
  <c r="L26" i="1"/>
  <c r="N69" i="1" l="1"/>
  <c r="M69" i="1"/>
  <c r="L69" i="1"/>
  <c r="N34" i="1" l="1"/>
  <c r="M34" i="1"/>
  <c r="L34" i="1"/>
  <c r="M121" i="1" l="1"/>
  <c r="L121" i="1"/>
  <c r="N120" i="1"/>
  <c r="M120" i="1"/>
  <c r="L120" i="1"/>
  <c r="N40" i="1" l="1"/>
  <c r="M40" i="1"/>
  <c r="L40" i="1"/>
  <c r="L37" i="1"/>
  <c r="L77" i="1" l="1"/>
  <c r="L43" i="1"/>
  <c r="N17" i="1" l="1"/>
  <c r="M17" i="1"/>
  <c r="N23" i="1"/>
  <c r="M23" i="1"/>
  <c r="L23" i="1"/>
  <c r="N107" i="1" l="1"/>
  <c r="M107" i="1"/>
  <c r="L107" i="1"/>
  <c r="N102" i="1"/>
  <c r="M102" i="1"/>
  <c r="L102" i="1"/>
  <c r="N94" i="1"/>
  <c r="M94" i="1"/>
  <c r="L94" i="1"/>
  <c r="L58" i="1" l="1"/>
  <c r="L71" i="1" l="1"/>
  <c r="L68" i="1" l="1"/>
  <c r="N65" i="1"/>
  <c r="M65" i="1"/>
  <c r="L65" i="1"/>
  <c r="N98" i="1" l="1"/>
  <c r="M98" i="1"/>
  <c r="L98" i="1"/>
  <c r="N111" i="1" l="1"/>
  <c r="M111" i="1"/>
  <c r="L111" i="1"/>
  <c r="L91" i="1" l="1"/>
  <c r="M119" i="1" l="1"/>
  <c r="L119" i="1"/>
  <c r="M96" i="1"/>
  <c r="L96" i="1"/>
  <c r="N172" i="1"/>
  <c r="N175" i="1" s="1"/>
  <c r="M172" i="1"/>
  <c r="M175" i="1" s="1"/>
  <c r="N96" i="1"/>
  <c r="N89" i="1"/>
  <c r="M89" i="1"/>
  <c r="L89" i="1"/>
  <c r="N84" i="1"/>
  <c r="M84" i="1"/>
  <c r="L84" i="1"/>
  <c r="N81" i="1"/>
  <c r="M81" i="1"/>
  <c r="L81" i="1"/>
  <c r="N61" i="1"/>
  <c r="M177" i="1"/>
  <c r="M179" i="1" s="1"/>
  <c r="M61" i="1"/>
  <c r="M166" i="1"/>
  <c r="M170" i="1" s="1"/>
  <c r="M12" i="1"/>
  <c r="N12" i="1"/>
  <c r="L88" i="1" l="1"/>
  <c r="N88" i="1"/>
  <c r="M88" i="1"/>
  <c r="N166" i="1"/>
  <c r="N170" i="1" s="1"/>
  <c r="L172" i="1"/>
  <c r="L175" i="1" s="1"/>
  <c r="N177" i="1"/>
  <c r="N179" i="1" s="1"/>
  <c r="N119" i="1"/>
  <c r="L12" i="1"/>
  <c r="L166" i="1"/>
  <c r="L170" i="1" s="1"/>
  <c r="L177" i="1"/>
  <c r="L179" i="1" s="1"/>
  <c r="L61" i="1"/>
  <c r="M11" i="1" l="1"/>
  <c r="M125" i="1" s="1"/>
  <c r="N11" i="1"/>
  <c r="N125" i="1" s="1"/>
  <c r="L11" i="1"/>
  <c r="L125" i="1" s="1"/>
</calcChain>
</file>

<file path=xl/sharedStrings.xml><?xml version="1.0" encoding="utf-8"?>
<sst xmlns="http://schemas.openxmlformats.org/spreadsheetml/2006/main" count="742" uniqueCount="328">
  <si>
    <t>Приложение 6</t>
  </si>
  <si>
    <t>к письму</t>
  </si>
  <si>
    <t>(тыс.рублей)</t>
  </si>
  <si>
    <t>Наименование расходного обязательства, вопроса местного значения, полномочия, права муниципального образования в соостветствии с методическими рекомендациями</t>
  </si>
  <si>
    <t>Код стро-ки</t>
  </si>
  <si>
    <t>Правовое основание финансового обеспечения и расходования
средств (нормативные правовые акты, договоры, соглашения)</t>
  </si>
  <si>
    <t>Код расхода по БК</t>
  </si>
  <si>
    <t>РФ</t>
  </si>
  <si>
    <t>субъекта РФ</t>
  </si>
  <si>
    <t>Нормативные правовые акты, договоры, соглашения муниципальных образований</t>
  </si>
  <si>
    <t>очередной</t>
  </si>
  <si>
    <t>плановый период</t>
  </si>
  <si>
    <t>наименование,
номер
и дата</t>
  </si>
  <si>
    <t>номер статьи (подстатьи), пункта (подпункта)</t>
  </si>
  <si>
    <t>дата вступления в силу, срок действия</t>
  </si>
  <si>
    <t>наименование, номер и дата</t>
  </si>
  <si>
    <t>раздел</t>
  </si>
  <si>
    <t>подраздел</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</si>
  <si>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</si>
  <si>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</si>
  <si>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</si>
  <si>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</si>
  <si>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</si>
  <si>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в том числе:</t>
  </si>
  <si>
    <t>2.1.3.       владение, пользование и распоряжение имуществом, находящимся в муниципальной собственности городского округа</t>
  </si>
  <si>
    <t>ФЗ от 06.10.2003 №131-ФЗ «Об общих принципах организации местного самоуправления в РФ»</t>
  </si>
  <si>
    <t>ст.16 п.1 п.п.3</t>
  </si>
  <si>
    <t>01.01.2006
не установлен</t>
  </si>
  <si>
    <t>в целом</t>
  </si>
  <si>
    <t>13.01.2004
не установлен</t>
  </si>
  <si>
    <t>Муниципальная программа "Повышение эффективности использования муниципального имущества в Миасском городском округе"</t>
  </si>
  <si>
    <t>01</t>
  </si>
  <si>
    <t>13</t>
  </si>
  <si>
    <t>05</t>
  </si>
  <si>
    <t>03</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</si>
  <si>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РФ</t>
  </si>
  <si>
    <t>ст.16 п.1 п.п.4</t>
  </si>
  <si>
    <t>ГП Чел. обл. "Обеспечение доступным и комфортным жильем граждан Российской Федерации в Челябинской области"</t>
  </si>
  <si>
    <t>02</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</si>
  <si>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РФ</t>
  </si>
  <si>
    <t>ст.16 п.1 п.п.5</t>
  </si>
  <si>
    <t>ГП Чел.обл "Развитие дорожного хозяйства и транспортной доступности в Челябинской области"</t>
  </si>
  <si>
    <t>04</t>
  </si>
  <si>
    <t>09</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</si>
  <si>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</si>
  <si>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ст.16 п.1 п.п.6</t>
  </si>
  <si>
    <t>10</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</si>
  <si>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</si>
  <si>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ст.16 п.1 п.п.7</t>
  </si>
  <si>
    <t>Закон Чел. области от 30.12.2015 №293-ЗО "Об организации регулярных перевозок пассажиров и багажа в Чел. области"</t>
  </si>
  <si>
    <t>01.01.2016 не установлен</t>
  </si>
  <si>
    <t>08</t>
  </si>
  <si>
    <t>2.1.12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городского электрического транспорта)</t>
  </si>
  <si>
    <t>18.10.1999 - не установлена</t>
  </si>
  <si>
    <t xml:space="preserve">2.1.14.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 </t>
  </si>
  <si>
    <t>ст 5.2</t>
  </si>
  <si>
    <t>01.01.2020 - 31.12.2025</t>
  </si>
  <si>
    <t>2.1.16. участие в предупреждении и ликвидации последствий чрезвычайных ситуаций в границах городского округа</t>
  </si>
  <si>
    <t>ст.16 п.1 п.п.8</t>
  </si>
  <si>
    <t>07</t>
  </si>
  <si>
    <t>2.1.19. обеспечение первичных мер пожарной безопасности в границах городского округа</t>
  </si>
  <si>
    <t>ст.16 п.1 п.п.10</t>
  </si>
  <si>
    <t xml:space="preserve">Закон Чел. области от 20.12.2012 N 442-ЗО
"О пожарной безопасности в Чел. области"
</t>
  </si>
  <si>
    <t>12.01.2013 не установлен</t>
  </si>
  <si>
    <t>2.1.20. организация мероприятий по охране окружающей среды в границах городского округа</t>
  </si>
  <si>
    <t>ст.16 п.1 п.п.11</t>
  </si>
  <si>
    <t>ГП  Чел обл "Охрана окружающей среды Челябинской области"</t>
  </si>
  <si>
    <t>06</t>
  </si>
  <si>
    <t>2.1.21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</si>
  <si>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ст.16 п.1 п.п.13</t>
  </si>
  <si>
    <t>Закон Чел. области от 29.08.2013 №515-ЗО "Об образовании в Чел. области"</t>
  </si>
  <si>
    <t>ст.2</t>
  </si>
  <si>
    <t>31.08.2013г. не установлен</t>
  </si>
  <si>
    <t>ст.9 п.1</t>
  </si>
  <si>
    <t>31.12.2012 не установлен</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</si>
  <si>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</si>
  <si>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РФ</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</si>
  <si>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</si>
  <si>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РФ),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</si>
  <si>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Решение СД № 11 от 22.10.2021
"Об утверждении Положения "О предоставлении единовременной социальной выплаты медицинским работникам дефицитных специальностей государственных учреждений здравоохранения, расположенных на территории Миасского городского округа"</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</si>
  <si>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</si>
  <si>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ст.16 п.1 п.п.16</t>
  </si>
  <si>
    <t>2.1.30. создание условий для организации досуга и обеспечения жителей городского округа услугами организаций культуры</t>
  </si>
  <si>
    <t>ст.16 п.1 п.п.17</t>
  </si>
  <si>
    <t>с</t>
  </si>
  <si>
    <t>23.11.2004
не установлен</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</si>
  <si>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</si>
  <si>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ст.16 п.1 п.п.18</t>
  </si>
  <si>
    <t>23.11.2004 не установлен</t>
  </si>
  <si>
    <t>2.1.33. 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</si>
  <si>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ст.16 п.1 п.п.19</t>
  </si>
  <si>
    <t>18.11.2008
не установлен</t>
  </si>
  <si>
    <t>11</t>
  </si>
  <si>
    <t>ФЗ от 04.12.2007 №329-ФЗ "О физической культуре и спорте в РФ"</t>
  </si>
  <si>
    <t>ст.19 п.4</t>
  </si>
  <si>
    <t>30.03.2008
не установлен</t>
  </si>
  <si>
    <t>Решение СД от 25.12.2017 № 4 Об установлении расходных обязательств МГО по реализации полномочий в области физической культуры и спорта и в области реализации программ спортивной подгготовки</t>
  </si>
  <si>
    <t xml:space="preserve">2.1.36 формирование и содержание муниципального архива </t>
  </si>
  <si>
    <t>ст.16 п.1 п.п.22</t>
  </si>
  <si>
    <t>ГП Чел.обл "Развитие архивного дела в Челябинской области"</t>
  </si>
  <si>
    <t>2.1.37. организация ритуальных услуг и содержание мест захоронения</t>
  </si>
  <si>
    <t>п.2</t>
  </si>
  <si>
    <t>14.07.1996
не установлен</t>
  </si>
  <si>
    <t>ст.16 п.1 п.п.23</t>
  </si>
  <si>
    <t>Решение Собрания депутатов от 29.11.2019  №15 "Об установлении расходных обязательств МГО в сфере жилищно-коммунального и дорожно-транспортного хозяйства"</t>
  </si>
  <si>
    <t>2.1.38.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</si>
  <si>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ст.7 п.3 абз.3</t>
  </si>
  <si>
    <t>12.01.2002
не установлен</t>
  </si>
  <si>
    <t xml:space="preserve">Закон Чел. области от 29.11.2012 № 421-ЗО"Об отходах производства и потребления"
</t>
  </si>
  <si>
    <t>15.12.2012 не установлен</t>
  </si>
  <si>
    <t>ст.16 п.1 п.п.24</t>
  </si>
  <si>
    <t>Муниципальная программа "Благоустройство на территории Миасского городского округа "</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</si>
  <si>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</si>
  <si>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ст.16 п.1 п.п.25</t>
  </si>
  <si>
    <t xml:space="preserve">ГП Чел. обл "Благоустройство населенных пунктов Челябинской области" </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</si>
  <si>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РФ,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РФ, осмотров зданий, сооружений и выдача рекомендаций об устранении выявленных в ходе таких осмотров нарушений</t>
  </si>
  <si>
    <t>ст.16 п.1 п.п.26</t>
  </si>
  <si>
    <t>12</t>
  </si>
  <si>
    <t>2.1.46.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</si>
  <si>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ст.16 п.1 п.п.28</t>
  </si>
  <si>
    <t>10.01.2000
не установлен</t>
  </si>
  <si>
    <t xml:space="preserve">Муниципальная программа "Обеспечение безопасности жизнедеятельности населения Миасского городского округа "                                                                    </t>
  </si>
  <si>
    <t>ст.8 п.2</t>
  </si>
  <si>
    <t>19.02.1998
не установлен</t>
  </si>
  <si>
    <t>Решение от 29.12.2005 №19 "Об установлении расходных обязательств МГО в области гражданской обороны, предупреждение и ликвидации чрезвычайных ситуаций, первичных мер пожарной безопасности людей на водных объектах"</t>
  </si>
  <si>
    <t>2.1.52 содействие развитию малого и среднего предпринимательства</t>
  </si>
  <si>
    <t>ст.16 п.1 п.п.33</t>
  </si>
  <si>
    <t>06.10.2003
не установлен</t>
  </si>
  <si>
    <t xml:space="preserve">Закон Чел. области от 27.03.2008 N 250-ЗО "О развитии малого и среднего предпринимательства в Чел. области"
</t>
  </si>
  <si>
    <t>ст.9</t>
  </si>
  <si>
    <t>15.04.2008 не установлен</t>
  </si>
  <si>
    <t>2.1.53 оказание поддержки социально ориентированным некоммерческим организациям, благотворительной деятельности и добровольчеству</t>
  </si>
  <si>
    <t>Федеральный закон от 06.10.2003 №131-ФЗ "Об общих принципах организации местного самоуправления в Российской федерации"</t>
  </si>
  <si>
    <t>01.01.2009 - не установлена</t>
  </si>
  <si>
    <t>ГП Чел.обл. "Развитие социальной защиты населения в Челябинской области"</t>
  </si>
  <si>
    <t>2.1.54. организация и осуществление мероприятий по работе с детьми и молодежью в городском округе</t>
  </si>
  <si>
    <t>ст.16 п.1 п.п.34</t>
  </si>
  <si>
    <t>19.09.2006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</si>
  <si>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</si>
  <si>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</si>
  <si>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 xml:space="preserve">2.2.1 материально-техническое и финансовое обеспечение деятельности органов местного самоуправления </t>
  </si>
  <si>
    <t>2601, 2602</t>
  </si>
  <si>
    <t>ст.17 п.1 п.п.6, ст.34</t>
  </si>
  <si>
    <t>ст.34</t>
  </si>
  <si>
    <t>01.06.2007
не установлен</t>
  </si>
  <si>
    <t>Решение СД от 30.03.2012 № 4 "Об установлении расходных обязательств МГО по УСЗН в части предоставления дополнительных мер социальной поддержки населения"</t>
  </si>
  <si>
    <t>2.2.6. принятие устава муниципального образования и внесение в него изменений и дополнений, издание муниципальных правовых актов</t>
  </si>
  <si>
    <t>ст.4</t>
  </si>
  <si>
    <t xml:space="preserve"> Закон Челяб. области от 26 августа 2004 года № 261-ЗО "О статусе и границах Миасского городского округа".
</t>
  </si>
  <si>
    <t>Решение Собрания депутатов МГО от 27.05.2011 №14 "Об установлении расходных обязательств Миасского городского округа по Собранию депутатов Миасского городского округа"</t>
  </si>
  <si>
    <t>Устав МГО</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</si>
  <si>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</si>
  <si>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ст.17 п.1 п.п.3</t>
  </si>
  <si>
    <t>Зарезервированные средства, УСЗН</t>
  </si>
  <si>
    <t>2.2.23.  предоставление доплаты за выслугу лет к трудовой пенсии муниципальным служащим за счет средств местного бюджета</t>
  </si>
  <si>
    <t>20</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</si>
  <si>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</si>
  <si>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</si>
  <si>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2.3 Расходные обязательства, возникшие в результате принятия нормативных правовых актов муниципального образования, заключения договоров (соглашений) в рамках реализации органами местного самоуправления муниципального образования прав на решение вопросов, не отнесенных к вопросам местного значения муниципального образования, всего</t>
  </si>
  <si>
    <t>2700</t>
  </si>
  <si>
    <t>2.3.1.13.осуществление мероприятий по отлову и содержанию безнадзорных животных, обитающих на территории городского округа</t>
  </si>
  <si>
    <t>2714</t>
  </si>
  <si>
    <t>16.1</t>
  </si>
  <si>
    <t>ГП Чел. обл. "Развитие сельского хозяйства в Челябинской области"</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</si>
  <si>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</si>
  <si>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</si>
  <si>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Дополнительные меры социальной поддержки и социальной помощи для отдельных категорий граждан, установленные муниципальными правовыми актами</t>
  </si>
  <si>
    <t>2902 - 2905</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</si>
  <si>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РФ и (или) органами государственной власти субъекта РФ, всего</t>
  </si>
  <si>
    <t>3100</t>
  </si>
  <si>
    <t>2.4.1 за счет субвенций, предоставленных из федерального бюджета, всего</t>
  </si>
  <si>
    <t>3101</t>
  </si>
  <si>
    <t>2.4.1.1. на государственную регистрацию актов гражданского состояния</t>
  </si>
  <si>
    <t>ст.4 п.1</t>
  </si>
  <si>
    <t>15.11.1997 не установлен
не установлен</t>
  </si>
  <si>
    <t>ст.3 п.1</t>
  </si>
  <si>
    <t>Х</t>
  </si>
  <si>
    <t>2.4.1.2. по составлению списков кандидатов в присяжные заседатели</t>
  </si>
  <si>
    <t xml:space="preserve">ФЗ от 20.08.2004 №113-ФЗ
"О присяжных заседателях федеральных судов общей юрисдикции в РФ"
</t>
  </si>
  <si>
    <t>23.08.2004 не установлен</t>
  </si>
  <si>
    <t>ППЧО от 23.03.2007 № 65-П
"Об утверждении Порядка составления списков кандидатов в присяжные заседатели федеральных судов общей юрисдикции в Чел. области"</t>
  </si>
  <si>
    <t>п.4</t>
  </si>
  <si>
    <t>04.04.2007 не установлен</t>
  </si>
  <si>
    <t>2.4.1.7 на оплату жилищно-коммунальных услуг отдельным категориям граждан</t>
  </si>
  <si>
    <t>1) Федеральный закон от 12.01.1995 №5-ФЗ "О ветеранах"
2) Федеральный закон от 24.11.1995 №181-ФЗ "О социальной защите инвалидов в Российской Федерации"</t>
  </si>
  <si>
    <t>1) п.1, 2, ст.23.2
2) ст.28.2</t>
  </si>
  <si>
    <t>1) 16.01.1995 - не установлена                     2) 27.11.1995 - не установлена</t>
  </si>
  <si>
    <t>ч.1 ст.6</t>
  </si>
  <si>
    <t>2.4.1.8 на осуществление переданного полномочия РФ по осуществлению ежегодной денежной выплаты лицам, награжденным нагрудным знаком "Почетный донор России"</t>
  </si>
  <si>
    <t xml:space="preserve">ФЗ от 20.07.2012 N 125-ФЗ
"О донорстве крови и ее компонентов"
</t>
  </si>
  <si>
    <t xml:space="preserve">23.07.2012 не установлен </t>
  </si>
  <si>
    <t>2.4.2 за счет субвенций, предоставленных из бюджета субъекта РФ, всего</t>
  </si>
  <si>
    <t>2.4.2.2.3. Формирование и содержание архивных фондов субъекта Российской Федерации</t>
  </si>
  <si>
    <t>3202.3</t>
  </si>
  <si>
    <t>1) в целом</t>
  </si>
  <si>
    <t>1) 22.10.2004 - не указан</t>
  </si>
  <si>
    <t>2.4.2.21 на организацию предоставления общего образования в государственных образовательных организациях субъектов РФ, создание условий для осуществления присмотра и ухода за детьми, содержания детей в государственных образовательных организациях субъектов РФ</t>
  </si>
  <si>
    <t>3221</t>
  </si>
  <si>
    <t>ФЗ от 24.11.95г № 181-ФЗ "О социальной защите инвалидов в Российской Федерации"</t>
  </si>
  <si>
    <t>27.11.1995</t>
  </si>
  <si>
    <t xml:space="preserve">Закон Чел. области от 25.01.2007 № 98-ЗО
"О наделении органов местного самоуправления государственными полномочиями по компенсации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 области"
</t>
  </si>
  <si>
    <t xml:space="preserve">ФЗ от 29.12.2012 N 273-ФЗ
"Об образовании в Российской Федерации"
</t>
  </si>
  <si>
    <t>ст.8 п.1. пп.6</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</si>
  <si>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</si>
  <si>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1) Федеральный закон от 29.12.2004 №188-ФЗ "Жилищный Кодекс Российской Федерации"
</t>
  </si>
  <si>
    <t xml:space="preserve">1) 01.03.2005 - не установлена
</t>
  </si>
  <si>
    <t xml:space="preserve">Закон Чел. области от 25.10.2007 № 212-ЗО"О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
</t>
  </si>
  <si>
    <t>15.11.2007 не установлен</t>
  </si>
  <si>
    <t xml:space="preserve">Федеральный закон от 12.01.1995 № 5-ФЗ"О ветеранах"
</t>
  </si>
  <si>
    <t>ст.22,23.1</t>
  </si>
  <si>
    <t>16.01.1995 не установлен</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</si>
  <si>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РФ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</si>
  <si>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Закон Челябинской области от 18.12.2014 №88-ЗО "О компенсации расходов на оплату жилых помещений, отопления и освещения отдельным категориям граждан, работающих и проживающих в сельских населенных пунктах и рабочих поселках (поселках городского типа) Челябинской области"</t>
  </si>
  <si>
    <t xml:space="preserve">1) Закон Челябинской области от 27.10.2005 №410-ЗО "О возмещении стоимости услуг по погребению и выплате социального пособия  на погребение"
2) Закон Челябинской области от 02.07.2020 №187-ЗО "О государственной социальной помощи в Челябинской области"
</t>
  </si>
  <si>
    <t>1) 01.01.2006 - не установлена
2) 13.07.2020 - не установлена</t>
  </si>
  <si>
    <t>2) Федеральный закон от 12.01.1996 №8-ФЗ "О погребении и похоронном деле"</t>
  </si>
  <si>
    <t>2) 15.01.1996 - не установлена</t>
  </si>
  <si>
    <t>3) Закон Челябинской области от 14.02.1996 №16-ОЗ "О дополнительных мерах социальной защиты ветеранов в Челябинской области"
4) Закон Челябинской области от 24.08.2016 №396-ЗО "О дополнительных мерах социальной поддержки детей погибших участников Великой Отечественной войны и приравненных к ним лиц"
5) Закон Челябинской области от 14.02.1996 №16-ОЗ "О дополнительных мерах социальной поддержки отдельных категорий граждан в Челябинской области"</t>
  </si>
  <si>
    <t>3) 29.02.1996 - не установлена
4) 01.09.2016 - не установлена
5) 29.02.1996 - не установлена</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</si>
  <si>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РФ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</si>
  <si>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Закон ЧО от 30.08.2012г. № 371-ЗО "О ежемесячной денежной выплате, назначаемой в случае рождения третьего ребенка и (или) последующих детей</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</si>
  <si>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</si>
  <si>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РФ,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РФ</t>
  </si>
  <si>
    <t>Федеральный закон от 06.10.1999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</si>
  <si>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пп.24.1, п.2, ст.26.3</t>
  </si>
  <si>
    <t>Закон Чел. области от 27.05.2010 №583-ЗО "Об административных комиссиях и о наделении органов местного самоуправления государственными полномочиями по созданию адм-х комиссий и определению перечня должностных лиц, уполномоченных составлять протоколы об административных правонарушениях"</t>
  </si>
  <si>
    <t>27.05.2010
не установлен</t>
  </si>
  <si>
    <t>2.4.2.40 на организацию и осуществление деятельности по опеке и попечительству</t>
  </si>
  <si>
    <t xml:space="preserve">Федеральный закон от 24.04.2008 №48-ФЗ"Об опеке и попечительстве"
</t>
  </si>
  <si>
    <t>28.04.2008 не установлен</t>
  </si>
  <si>
    <t>01.01.2008
не установлен</t>
  </si>
  <si>
    <t>2.4.2.48 на предоставление материальной и иной помощи для погребения</t>
  </si>
  <si>
    <t>15.01.1996
не установлен</t>
  </si>
  <si>
    <t>2.4.2.51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</si>
  <si>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 xml:space="preserve">Закон Чел. области от 11.09.2001 № 29-ЗО
"Об охране труда в Чел. области"
</t>
  </si>
  <si>
    <t>ст.10</t>
  </si>
  <si>
    <t>04.10.2001 не установлен</t>
  </si>
  <si>
    <t>2.4.2.65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</si>
  <si>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3265</t>
  </si>
  <si>
    <t>1) пп.61</t>
  </si>
  <si>
    <t>ст.3</t>
  </si>
  <si>
    <t>3270</t>
  </si>
  <si>
    <t>24.12.1994</t>
  </si>
  <si>
    <t xml:space="preserve">Закон Челябинской области от 01.03.2022 N 530-ЗО
"О наделении органов местного самоуправления государственными полномочиями по организации тушения ландшафтных (природных) пожаров 
</t>
  </si>
  <si>
    <t>2.4.2.85.1.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осуществление регионального государственного контроля (надзора) в области обращения с животными</t>
  </si>
  <si>
    <t>3285.1</t>
  </si>
  <si>
    <t>1) 14.05.1993 - не указан</t>
  </si>
  <si>
    <t xml:space="preserve">Закон Чел.области от 30.12.2019 № 72-ЗО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
</t>
  </si>
  <si>
    <t>2.5. Расходы на осуществление отдельных государственных полномочий, не переданных, но осуществляемых органами местного самоуправления за счет субвенций из бюджета субъекта РФ</t>
  </si>
  <si>
    <t>3400</t>
  </si>
  <si>
    <t>2.5.1.обеспечение государственных гарантий реализации прав на получение общедоступного и бесплатного дошкольного образования в муниципальных дошкольных 1.5.1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РФ (в части начального общего, основного общего, общего образования в муниципальных общеобразовательных организациях в городской местности)</t>
  </si>
  <si>
    <t>3401</t>
  </si>
  <si>
    <t>ст.8 п.1</t>
  </si>
  <si>
    <t>Закон Челябинской области от 29.08.2013 №515-ЗО "Об образовании в Челябинской области"</t>
  </si>
  <si>
    <t>ст. в целом</t>
  </si>
  <si>
    <t>01.09.2013 - не установлена</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</si>
  <si>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РФ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</si>
  <si>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</si>
  <si>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Условно утверждаемые расходы</t>
  </si>
  <si>
    <t>Итого расходных обязательств муниципальных образований</t>
  </si>
  <si>
    <t>8000</t>
  </si>
  <si>
    <t>Реестр расходных обязательств  Миасского городского округа на 2025 год и на плановый период 2026 и 2027 годов</t>
  </si>
  <si>
    <t>ФЗ от 06.10.2003 №131-ФЗ"Об общих принципах организации местного самоуправления в РФ"</t>
  </si>
  <si>
    <t>ФЗ от 06.10.2003 № 35-ФЗ"О противодействии терроризму"</t>
  </si>
  <si>
    <t>Закон Чел. области от 16.12.2004 №345-ЗО"О защите населения и территории от чрезвычайных ситуаций межмуниципального и регионального характера"</t>
  </si>
  <si>
    <t>ФЗ от 29.12.2012 №273-ФЗ"Об Образовании в РФ"</t>
  </si>
  <si>
    <t>Закон Чел. области от 28.10.2004 №296-ЗО"О деятельности в сфере культуры на территории Чел. области"</t>
  </si>
  <si>
    <t>Закон Чел. области от 30.10.2008 №320-ЗО"О физической культуре и спорте в Чел. области"</t>
  </si>
  <si>
    <t>Указ Президента РФ от 29.06.1996 №1001"О гарантиях прав граждан на предоставление услуг по погребению умерших"</t>
  </si>
  <si>
    <t>ФЗ от 10.01.2002 №7-ФЗ"Об охране окружающей среды"</t>
  </si>
  <si>
    <t>ПГЧО от 10.01.2000 №6"О создании поисково - спасательной службы Чел. области"</t>
  </si>
  <si>
    <t>ФЗ от 12.02.1998 №28-ФЗ"О гражданской обороне"</t>
  </si>
  <si>
    <t>Закон Чел. области от 24.08.2006 №45-ЗО"О молодежи"</t>
  </si>
  <si>
    <t>Законом Челябинской области от 27.03.2008 № 245-ЗО "О гарантиях осуществления полномочий депутата, члена выборного органа местного самоуправления, выборного должностного лица местного самоуправления"</t>
  </si>
  <si>
    <t>ФЗ от 02.03.2007 №25-ФЗ"О муниципальной службе в РФ"</t>
  </si>
  <si>
    <t>Федеральный закон от 06.10.2003 №131-ФЗ"Об общих принципах организации местного самоуправления в Российской Федерации"</t>
  </si>
  <si>
    <t>2.2.13. организационное и материально-техническое обеспечение подготовки и проведения муниципальных выборов</t>
  </si>
  <si>
    <t>ФЗ от 12.06.2002 №67-ФЗ"Об основных гарантиях избирательных прав и права на участие в референдуме граждан РФ"</t>
  </si>
  <si>
    <t>ст.57 п.1</t>
  </si>
  <si>
    <t>25.06.2002
не установлен</t>
  </si>
  <si>
    <t>Закон Чел. области от 29.06.2006 №36-ЗО"О муниципальных выборах в Чел. области"</t>
  </si>
  <si>
    <t>ст.35</t>
  </si>
  <si>
    <t>29.07.2006
не установлен</t>
  </si>
  <si>
    <t>ФЗ от 15.11.1997 №143-ФЗ"Об актах гражданского состояния"</t>
  </si>
  <si>
    <t>ЗЧО от 22.09.2005 №402-ЗО"О наделении органов местного самоуправления государственными полномочиями на государственную регистрацию актов гражданского состояния"</t>
  </si>
  <si>
    <t>Закон Чел. области от 24.11.2005 №430-ЗО"О наделении органов местного самоуправления государственными полномочиями по социальной поддержке отдельных категорий граждан"</t>
  </si>
  <si>
    <t>Решение СД "Об установлении расходных обязательств Миасского городского округа на очередной год и на плановый период по исполнению государственных полномочий"</t>
  </si>
  <si>
    <t>1) Федеральный закон от 22.10.2004 №125-ФЗ"Об архивном деле в Российской Федерации"</t>
  </si>
  <si>
    <t>8) 01.07.2015 - не установлена</t>
  </si>
  <si>
    <t>Закон Чел. области от 23.08.2007 №191-ЗО"Об организации и осуществлении деятельности по опеке и попечительству в Чел. области"</t>
  </si>
  <si>
    <t>Федеральный закон от 12.01.1996 №8-ФЗ"О погребении и похоронном деле"</t>
  </si>
  <si>
    <t>Закон Чел. области от 27.10.2005 №410-ЗО"О возмещении стоимости услуг по погребению и выплате социального пособия на погребение"</t>
  </si>
  <si>
    <t>2.4.2.70 Организация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законом"О защите населения и территорий от чрезвычайных ситуаций природного и техногенного характера"</t>
  </si>
  <si>
    <t>ФЗ"О защите населения и территорий от чрезвычайных ситуаций природного и техногенного характера"</t>
  </si>
  <si>
    <t>1) Федеральный закон от 14.05.1993 №4979-1"О ветеринарии"</t>
  </si>
  <si>
    <t>МП "Развитие общественного транспорта в Миасском городском округе"</t>
  </si>
  <si>
    <t>МП "Организация транспортного и дорожного обслуживания на территории Миасского городского округа"</t>
  </si>
  <si>
    <t>МП "Осуществление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t>
  </si>
  <si>
    <t>МП "Профилактика терроризма, экстремизма и иных правонарушений в Миасском городском округе "</t>
  </si>
  <si>
    <t>МП "Обеспечение безопасности жизнедеятельности населения Миасского городского округа"</t>
  </si>
  <si>
    <t>МП "Развитие системы образования в Миасском городском округе"</t>
  </si>
  <si>
    <t>МП "Развитие системы образования в Миасском городском округе"; МП "Развитие культуры в Миасском городском округе "</t>
  </si>
  <si>
    <t>Решение СД № 6 от 03.11.2023 "Об установлении расходных обязательств Миасского городского округа в сфере культуры"</t>
  </si>
  <si>
    <t>МП "Развитие физической культуры и спорта в Миасском городском округе"</t>
  </si>
  <si>
    <t>МП "Организация ритуальных услуг и содержание мест захоронений на территории Миасского городского округа "</t>
  </si>
  <si>
    <t>Решение СД от 29.11.2019  №15 "Об установлении расходных обязательств МГО в сфере жилищно-коммунального и дорожно-транспортного хозяйства"</t>
  </si>
  <si>
    <t>МП "Организация и проведение работ по управлению, владению, пользованию и распоряжению земельными участками на территории Миасского городского округа"; МП "Реализация отдельных полномочий Администрации Миасского городского округа в области архитектуры, градостроительства и земельных отношений"</t>
  </si>
  <si>
    <t>МП "Развитие культуры в Миасском городском округе", Решение СД № 6 от 03.11.2023 "Об установлении расходных обязательств Миасского городского округа в сфере культуры"</t>
  </si>
  <si>
    <t>МП "Обеспечение деятельности муниципального бюджетного учреждения"Миасский окружной архив"</t>
  </si>
  <si>
    <t>МП "Социальная защита населения Миасского городского округа"</t>
  </si>
  <si>
    <t>МП "Благоустройство на территории Миасского городского округа"</t>
  </si>
  <si>
    <t>Решение СД "Об установлении расходных обязательств Миасского городского округа на отчетный год и плановый период годов по исполнению государственных полномочий"</t>
  </si>
  <si>
    <t>МП "Охрана окружающей среды на территории Миасского городского округа"</t>
  </si>
  <si>
    <t>МП "Организация функционирования объектов коммунальной инфраструктуры МГО", МП"Организация эксплуатации и текущего ремонта гидротехнических сооружений МГО"</t>
  </si>
  <si>
    <t>МП"Повышение безопасности дорожного движения на территории Миасского городского округа", МП "Организация транспортного и дорожного обслуживания на территории Миасского городского округа"</t>
  </si>
  <si>
    <t>МП "Развитие культуры в Миасском городском округе "</t>
  </si>
  <si>
    <t>Решение СД МГО  от 20.10.2023 № 3 "Об установлении расходных обязательств по Администрации Миасского городского округа"</t>
  </si>
  <si>
    <t>Решение СД МГО № 13 от 23.08.2019
"Об установлении расходных обязательств Финансового управления Администрации Миасского городского округа"</t>
  </si>
  <si>
    <t>Решение СД от 30.03.2012 № 4 "Об установлении расходных обязательств МГО по УСЗН в части предоставления дополнительных мер социальной поддержки населения"; Решение СД МГО от 21.12.2007 № 14 "Об утверждении положения "О муниципальной службе в Миасском городском округе"</t>
  </si>
  <si>
    <t>Решение СД № 8 от 03.11.2023 "Об утверждении положения "О предоставлении единовременной социальной выплаты педагогическим работникам муниципальных общеобразовательных учреждений, расположенных на территории Миасского городского округа"</t>
  </si>
  <si>
    <t>МП "Благоустройство и озеленение на территории Миасского городского округа",   МП "Чистый город", МП "Организация эксплуатации и текущего ремонта гидротехнических сооружений Миасского городского округа", МП "Организация функционирования объектов инженерной инфраструктуры Миасского городского округа"; "Формирование современнной городской среды на территории Миасского городского округа на 2025-2027гг"</t>
  </si>
  <si>
    <t>МП "Формирование и использование  жилищного фонда Миасского городского округа"</t>
  </si>
  <si>
    <t>МП "Поддержка и развитие малого и среднего предпринимательства в Миасском городском округе", МП "Формирование благоприятного инвестиционного климата", МП "Поддержка садоводческих, огороднических и дачных некоммерческих объединений граждан, расположенных на территории Миасского городского округа"</t>
  </si>
  <si>
    <t>МП "Обеспечение безопасности жизнедеятельности населения Миасского городского округа",  РСД от 29.12.2005 № 19""Об установлении расходных обязательств МГО в области гражданской обороны, предупреждение и ликвидации чрезвычайных ситуаций, первичных мер пожарной безопасности людей на водных объектах"</t>
  </si>
  <si>
    <t>РСД МГО от 28.10.2022 № 11 "Об установлении расходных обязательств Миасского городского округа в области экологии и охраны окружающей среды",  МП "Охрана окружающей среды на территории Миасского городского округа"</t>
  </si>
  <si>
    <t xml:space="preserve">Постановление Правительства ЧО от 30.12.2019 № 628-П "О государственной программе ЧО "Обеспечение общественной безопасности в Чел. области" </t>
  </si>
  <si>
    <t>ФЗ от 06.10.1999 №184-ФЗ "Об общих принципах организации законодательных (представительных) и исполнительных органов гос. власти субъектов РФ"</t>
  </si>
  <si>
    <t>Закон Чел. области от 18.12.2003 №207-ЗО"О порядке управления гос. собственностью Чел. области и приватизации имущества, находящегося в государственной собственности ЧО"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</si>
</sst>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9" x14ac:knownFonts="1">
    <font>
      <sz val="10"/>
      <name val="Arial Cyr"/>
      <charset val="204"/>
    </font>
    <font>
      <sz val="11"/>
      <color theme="1"/>
      <name val="Calibri"/>
      <family val="2"/>
      <charset val="204"/>
      <scheme val="minor"/>
    </font>
    <font>
      <sz val="10"/>
      <name val="Arial Cyr"/>
      <charset val="204"/>
    </font>
    <font>
      <sz val="8"/>
      <name val="Times New Roman"/>
      <family val="1"/>
      <charset val="204"/>
    </font>
    <font>
      <sz val="6"/>
      <name val="Times New Roman"/>
      <family val="1"/>
      <charset val="204"/>
    </font>
    <font>
      <sz val="9"/>
      <name val="Times New Roman"/>
      <family val="1"/>
      <charset val="204"/>
    </font>
    <font>
      <b/>
      <sz val="11"/>
      <name val="Times New Roman"/>
      <family val="1"/>
      <charset val="204"/>
    </font>
    <font>
      <sz val="10"/>
      <name val="Times New Roman"/>
      <family val="1"/>
      <charset val="204"/>
    </font>
    <font>
      <b/>
      <sz val="8"/>
      <name val="Times New Roman"/>
      <family val="1"/>
      <charset val="204"/>
    </font>
    <font>
      <b/>
      <sz val="9"/>
      <name val="Times New Roman"/>
      <family val="1"/>
      <charset val="204"/>
    </font>
    <font>
      <b/>
      <sz val="6"/>
      <name val="Times New Roman"/>
      <family val="1"/>
      <charset val="204"/>
    </font>
    <font>
      <sz val="10"/>
      <name val="Arial"/>
      <family val="2"/>
      <charset val="204"/>
    </font>
    <font>
      <sz val="11"/>
      <color rgb="FF000000"/>
      <name val="Calibri"/>
      <family val="2"/>
      <charset val="204"/>
      <scheme val="minor"/>
    </font>
    <font>
      <sz val="8"/>
      <name val="Arial Cyr"/>
      <charset val="204"/>
    </font>
    <font>
      <b/>
      <u/>
      <sz val="8"/>
      <name val="Times New Roman"/>
      <family val="1"/>
      <charset val="204"/>
    </font>
    <font>
      <sz val="8"/>
      <color rgb="FF000000"/>
      <name val="Times New Roman"/>
      <family val="1"/>
      <charset val="204"/>
    </font>
    <font>
      <sz val="11"/>
      <color rgb="FF000000"/>
      <name val="Calibri"/>
      <family val="2"/>
      <scheme val="minor"/>
    </font>
    <font>
      <sz val="8"/>
      <color theme="1"/>
      <name val="Calibri"/>
      <family val="2"/>
      <charset val="204"/>
      <scheme val="minor"/>
    </font>
    <font>
      <sz val="7"/>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4">
    <xf numFmtId="0" fontId="0" fillId="0" borderId="0"/>
    <xf numFmtId="0" fontId="11" fillId="0" borderId="0"/>
    <xf numFmtId="0" fontId="12" fillId="0" borderId="0"/>
    <xf numFmtId="0" fontId="11" fillId="0" borderId="0"/>
    <xf numFmtId="0" fontId="16" fillId="0" borderId="0"/>
    <xf numFmtId="0" fontId="17"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 fillId="0" borderId="0" applyFont="0" applyFill="0" applyBorder="0" applyAlignment="0" applyProtection="0"/>
  </cellStyleXfs>
  <cellXfs count="160">
    <xf numFmtId="0" fontId="0" fillId="0" borderId="0" xfId="0"/>
    <xf numFmtId="0" fontId="3" fillId="0" borderId="0" xfId="0" applyFont="1" applyFill="1" applyAlignment="1">
      <alignment horizontal="justify"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0" xfId="0" applyFont="1" applyFill="1" applyAlignment="1">
      <alignment horizontal="center"/>
    </xf>
    <xf numFmtId="0" fontId="8" fillId="0"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justify" vertical="center"/>
    </xf>
    <xf numFmtId="164" fontId="9"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64" fontId="5" fillId="0" borderId="1" xfId="1" applyNumberFormat="1" applyFont="1" applyFill="1" applyBorder="1" applyAlignment="1">
      <alignment horizontal="center" vertical="center" wrapText="1"/>
    </xf>
    <xf numFmtId="0" fontId="3" fillId="0" borderId="1" xfId="0" applyFont="1" applyFill="1" applyBorder="1" applyAlignment="1">
      <alignment horizontal="justify" vertical="center"/>
    </xf>
    <xf numFmtId="0" fontId="3" fillId="0" borderId="1" xfId="2" applyNumberFormat="1"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0" fontId="3" fillId="0" borderId="2" xfId="0" applyFont="1" applyFill="1" applyBorder="1" applyAlignment="1">
      <alignment horizontal="justify"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lignment horizontal="center" vertical="center" wrapText="1"/>
    </xf>
    <xf numFmtId="164" fontId="5" fillId="0" borderId="1" xfId="3" applyNumberFormat="1" applyFont="1" applyFill="1" applyBorder="1" applyAlignment="1">
      <alignment horizontal="center" vertical="center" wrapText="1"/>
    </xf>
    <xf numFmtId="0" fontId="7" fillId="0" borderId="1" xfId="0" applyFont="1" applyFill="1" applyBorder="1" applyAlignment="1">
      <alignment horizontal="center" vertical="center"/>
    </xf>
    <xf numFmtId="164" fontId="5" fillId="2"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readingOrder="1"/>
      <protection locked="0"/>
    </xf>
    <xf numFmtId="0" fontId="4" fillId="0" borderId="1" xfId="0" applyFont="1" applyFill="1" applyBorder="1" applyAlignment="1" applyProtection="1">
      <alignment horizontal="center" vertical="top" wrapText="1" readingOrder="1"/>
      <protection locked="0"/>
    </xf>
    <xf numFmtId="49" fontId="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0" fontId="8" fillId="0" borderId="1" xfId="2" applyNumberFormat="1" applyFont="1" applyFill="1" applyBorder="1" applyAlignment="1">
      <alignment horizontal="justify" vertical="center" wrapText="1"/>
    </xf>
    <xf numFmtId="0" fontId="15" fillId="0" borderId="1" xfId="2" applyFont="1" applyFill="1" applyBorder="1" applyAlignment="1">
      <alignment horizontal="left" vertical="center" wrapText="1"/>
    </xf>
    <xf numFmtId="0" fontId="15" fillId="2" borderId="1" xfId="2"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0" xfId="0" applyFont="1" applyFill="1" applyAlignment="1">
      <alignment vertical="center"/>
    </xf>
    <xf numFmtId="14" fontId="4" fillId="0" borderId="1" xfId="0" applyNumberFormat="1" applyFont="1" applyFill="1" applyBorder="1" applyAlignment="1" applyProtection="1">
      <alignment horizontal="center" vertical="center" wrapText="1" readingOrder="1"/>
      <protection locked="0"/>
    </xf>
    <xf numFmtId="164" fontId="5" fillId="0" borderId="1" xfId="0" applyNumberFormat="1" applyFont="1" applyFill="1" applyBorder="1" applyAlignment="1" applyProtection="1">
      <alignment horizontal="center" vertical="center" wrapText="1"/>
    </xf>
    <xf numFmtId="49" fontId="3" fillId="0" borderId="1" xfId="2" applyNumberFormat="1" applyFont="1" applyFill="1" applyBorder="1" applyAlignment="1">
      <alignment horizontal="center" vertical="center"/>
    </xf>
    <xf numFmtId="14" fontId="4" fillId="0" borderId="1" xfId="0" applyNumberFormat="1" applyFont="1" applyFill="1" applyBorder="1" applyAlignment="1" applyProtection="1">
      <alignment horizontal="center" vertical="center" wrapText="1"/>
      <protection locked="0"/>
    </xf>
    <xf numFmtId="0" fontId="3" fillId="0" borderId="3" xfId="2" applyNumberFormat="1" applyFont="1" applyFill="1" applyBorder="1" applyAlignment="1">
      <alignment horizontal="justify" vertical="center" wrapText="1"/>
    </xf>
    <xf numFmtId="49" fontId="3" fillId="0" borderId="3" xfId="2" applyNumberFormat="1"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3" xfId="0" applyFont="1" applyFill="1" applyBorder="1" applyAlignment="1" applyProtection="1">
      <alignment horizontal="center" vertical="top" wrapText="1" readingOrder="1"/>
      <protection locked="0"/>
    </xf>
    <xf numFmtId="0" fontId="4" fillId="0" borderId="3" xfId="0" applyFont="1" applyFill="1" applyBorder="1" applyAlignment="1" applyProtection="1">
      <alignment horizontal="center" vertical="center" wrapText="1" readingOrder="1"/>
      <protection locked="0"/>
    </xf>
    <xf numFmtId="14" fontId="4" fillId="0" borderId="3" xfId="0" applyNumberFormat="1" applyFont="1" applyFill="1" applyBorder="1" applyAlignment="1" applyProtection="1">
      <alignment horizontal="center" vertical="center" wrapText="1" readingOrder="1"/>
      <protection locked="0"/>
    </xf>
    <xf numFmtId="49" fontId="8" fillId="0" borderId="1" xfId="2" applyNumberFormat="1" applyFont="1" applyFill="1" applyBorder="1" applyAlignment="1">
      <alignment horizontal="center" vertical="center"/>
    </xf>
    <xf numFmtId="0" fontId="10"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justify" vertical="center"/>
    </xf>
    <xf numFmtId="0" fontId="8"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164" fontId="9" fillId="0" borderId="1" xfId="0" applyNumberFormat="1" applyFont="1" applyFill="1" applyBorder="1" applyAlignment="1" applyProtection="1">
      <alignment horizontal="center" vertical="center" wrapText="1"/>
    </xf>
    <xf numFmtId="0" fontId="8" fillId="0" borderId="0" xfId="0" applyFont="1" applyFill="1"/>
    <xf numFmtId="0" fontId="5" fillId="0" borderId="0" xfId="0" applyFont="1" applyFill="1"/>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49"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64" fontId="5" fillId="0" borderId="0" xfId="0" applyNumberFormat="1" applyFont="1" applyFill="1" applyAlignment="1">
      <alignment horizontal="center" vertical="center"/>
    </xf>
    <xf numFmtId="164" fontId="5" fillId="3" borderId="0" xfId="0" applyNumberFormat="1" applyFont="1" applyFill="1" applyAlignment="1">
      <alignment horizontal="center" vertical="center"/>
    </xf>
    <xf numFmtId="49" fontId="8" fillId="0" borderId="1" xfId="0" applyNumberFormat="1" applyFont="1" applyFill="1" applyBorder="1" applyAlignment="1">
      <alignment horizontal="justify" vertical="center"/>
    </xf>
    <xf numFmtId="0" fontId="3" fillId="0" borderId="1" xfId="0" applyFont="1" applyFill="1" applyBorder="1" applyAlignment="1" applyProtection="1">
      <alignment horizontal="justify" vertical="center" wrapText="1"/>
      <protection locked="0"/>
    </xf>
    <xf numFmtId="49" fontId="3" fillId="0" borderId="1" xfId="0" applyNumberFormat="1"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49" fontId="8" fillId="0" borderId="1" xfId="0" applyNumberFormat="1" applyFont="1" applyFill="1" applyBorder="1" applyAlignment="1">
      <alignment horizontal="justify" vertical="center" wrapText="1"/>
    </xf>
    <xf numFmtId="0" fontId="3" fillId="0" borderId="0" xfId="0" applyFont="1" applyFill="1" applyAlignment="1">
      <alignment horizontal="justify"/>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49" fontId="3" fillId="0" borderId="2" xfId="0" applyNumberFormat="1"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horizontal="center" vertical="center" wrapText="1"/>
    </xf>
    <xf numFmtId="0" fontId="3" fillId="0" borderId="0" xfId="0" applyFont="1" applyFill="1" applyBorder="1"/>
    <xf numFmtId="164" fontId="3" fillId="0" borderId="0" xfId="0" applyNumberFormat="1" applyFont="1" applyFill="1" applyBorder="1"/>
    <xf numFmtId="0" fontId="3" fillId="0" borderId="2" xfId="0"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3" fillId="0" borderId="2" xfId="2" applyNumberFormat="1" applyFont="1" applyFill="1" applyBorder="1" applyAlignment="1">
      <alignment horizontal="justify" vertical="center" wrapText="1"/>
    </xf>
    <xf numFmtId="0" fontId="0" fillId="0" borderId="3" xfId="0" applyBorder="1" applyAlignment="1">
      <alignment horizontal="justify" vertical="center" wrapText="1"/>
    </xf>
    <xf numFmtId="0" fontId="3" fillId="0" borderId="2" xfId="0" applyFont="1" applyFill="1" applyBorder="1" applyAlignment="1" applyProtection="1">
      <alignment horizontal="justify" vertical="center" wrapText="1"/>
      <protection locked="0"/>
    </xf>
    <xf numFmtId="0" fontId="0" fillId="0" borderId="3" xfId="0" applyFont="1" applyBorder="1" applyAlignment="1">
      <alignment horizontal="justify" vertical="center" wrapText="1"/>
    </xf>
    <xf numFmtId="0" fontId="3" fillId="0" borderId="1" xfId="2"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49" fontId="3" fillId="0" borderId="1" xfId="2"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pplyProtection="1">
      <alignment horizontal="center" vertical="top" wrapText="1" readingOrder="1"/>
      <protection locked="0"/>
    </xf>
    <xf numFmtId="0" fontId="7" fillId="0" borderId="1" xfId="0" applyFont="1" applyFill="1" applyBorder="1" applyAlignment="1">
      <alignment horizontal="center" wrapText="1" readingOrder="1"/>
    </xf>
    <xf numFmtId="0" fontId="3" fillId="0" borderId="1" xfId="0" applyFont="1" applyFill="1" applyBorder="1" applyAlignment="1">
      <alignment horizontal="justify" vertical="center" wrapText="1"/>
    </xf>
    <xf numFmtId="0" fontId="7" fillId="0" borderId="1" xfId="0" applyFont="1" applyFill="1" applyBorder="1" applyAlignment="1">
      <alignmen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49" fontId="4" fillId="0" borderId="2" xfId="0" applyNumberFormat="1" applyFont="1"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top" wrapText="1" readingOrder="1"/>
      <protection locked="0"/>
    </xf>
    <xf numFmtId="0" fontId="0" fillId="0" borderId="4" xfId="0" applyBorder="1" applyAlignment="1">
      <alignment horizontal="center" vertical="top" wrapText="1" readingOrder="1"/>
    </xf>
    <xf numFmtId="0" fontId="0" fillId="0" borderId="3" xfId="0" applyBorder="1" applyAlignment="1">
      <alignment horizontal="center" vertical="top" wrapText="1" readingOrder="1"/>
    </xf>
    <xf numFmtId="0" fontId="3" fillId="0" borderId="2"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pplyProtection="1">
      <alignment horizontal="center" vertical="center" wrapText="1" readingOrder="1"/>
      <protection locked="0"/>
    </xf>
    <xf numFmtId="0" fontId="4" fillId="0" borderId="4" xfId="0" applyFont="1" applyFill="1" applyBorder="1" applyAlignment="1" applyProtection="1">
      <alignment horizontal="center" vertical="center" wrapText="1" readingOrder="1"/>
      <protection locked="0"/>
    </xf>
    <xf numFmtId="0" fontId="0" fillId="0" borderId="4" xfId="0" applyFont="1" applyFill="1" applyBorder="1" applyAlignment="1">
      <alignment horizontal="center" vertical="center" wrapText="1" readingOrder="1"/>
    </xf>
    <xf numFmtId="49" fontId="3" fillId="0" borderId="2" xfId="0" applyNumberFormat="1" applyFont="1" applyFill="1" applyBorder="1" applyAlignment="1">
      <alignment horizontal="justify" vertical="center" wrapText="1"/>
    </xf>
    <xf numFmtId="0" fontId="4"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3" fillId="0" borderId="2" xfId="0" applyNumberFormat="1" applyFont="1" applyFill="1" applyBorder="1" applyAlignment="1">
      <alignment horizontal="justify" vertical="center"/>
    </xf>
    <xf numFmtId="0" fontId="0" fillId="0" borderId="3" xfId="0" applyBorder="1" applyAlignment="1">
      <alignment horizontal="justify" vertical="center"/>
    </xf>
    <xf numFmtId="0" fontId="3" fillId="0" borderId="1" xfId="0" applyFont="1" applyFill="1" applyBorder="1" applyAlignment="1">
      <alignment horizontal="justify" vertical="center"/>
    </xf>
    <xf numFmtId="49" fontId="4" fillId="0" borderId="1" xfId="0" applyNumberFormat="1" applyFont="1" applyFill="1" applyBorder="1" applyAlignment="1">
      <alignment horizontal="center" vertical="center"/>
    </xf>
    <xf numFmtId="0" fontId="7" fillId="0" borderId="3" xfId="0" applyFont="1" applyFill="1" applyBorder="1" applyAlignment="1">
      <alignment horizontal="justify" vertical="center" wrapText="1"/>
    </xf>
    <xf numFmtId="0" fontId="0" fillId="0" borderId="4" xfId="0" applyBorder="1" applyAlignment="1">
      <alignment horizontal="center" vertical="center" wrapText="1" readingOrder="1"/>
    </xf>
    <xf numFmtId="0" fontId="0" fillId="0" borderId="3" xfId="0" applyBorder="1" applyAlignment="1">
      <alignment horizontal="center" vertical="center" wrapText="1" readingOrder="1"/>
    </xf>
    <xf numFmtId="14" fontId="3" fillId="0" borderId="2" xfId="0" applyNumberFormat="1" applyFont="1" applyFill="1" applyBorder="1" applyAlignment="1">
      <alignment horizontal="justify" vertical="center" wrapText="1"/>
    </xf>
    <xf numFmtId="14" fontId="3" fillId="0" borderId="4" xfId="0" applyNumberFormat="1" applyFont="1" applyFill="1" applyBorder="1" applyAlignment="1">
      <alignment horizontal="justify" vertical="center" wrapText="1"/>
    </xf>
    <xf numFmtId="0" fontId="13" fillId="0" borderId="4" xfId="0" applyFont="1" applyBorder="1" applyAlignment="1">
      <alignment horizontal="center" vertical="center" wrapText="1"/>
    </xf>
    <xf numFmtId="0" fontId="4" fillId="0" borderId="2" xfId="0" applyFont="1" applyFill="1" applyBorder="1" applyAlignment="1" applyProtection="1">
      <alignment horizontal="center" vertical="top" wrapText="1"/>
      <protection locked="0"/>
    </xf>
    <xf numFmtId="0" fontId="4" fillId="0" borderId="4" xfId="0" applyFont="1" applyFill="1" applyBorder="1" applyAlignment="1" applyProtection="1">
      <alignment horizontal="center" vertical="top" wrapText="1"/>
      <protection locked="0"/>
    </xf>
    <xf numFmtId="0" fontId="4" fillId="0"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0" xfId="0" applyFont="1" applyFill="1" applyAlignment="1">
      <alignment horizontal="center" wrapText="1"/>
    </xf>
    <xf numFmtId="0" fontId="6" fillId="0" borderId="0" xfId="0" applyFont="1" applyFill="1" applyAlignment="1">
      <alignment horizont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3" fillId="0" borderId="4" xfId="0" applyFont="1" applyFill="1" applyBorder="1" applyAlignment="1" applyProtection="1">
      <alignment horizontal="justify" vertical="center" wrapText="1"/>
      <protection locked="0"/>
    </xf>
    <xf numFmtId="0" fontId="18" fillId="0" borderId="1" xfId="0" applyFont="1" applyFill="1" applyBorder="1" applyAlignment="1">
      <alignment horizontal="center" vertical="center" wrapText="1"/>
    </xf>
  </cellXfs>
  <cellStyles count="14">
    <cellStyle name="Normal" xfId="4"/>
    <cellStyle name="Обычный" xfId="0" builtinId="0"/>
    <cellStyle name="Обычный 2" xfId="2"/>
    <cellStyle name="Обычный 3" xfId="3"/>
    <cellStyle name="Обычный 4" xfId="5"/>
    <cellStyle name="Обычный 5" xfId="1"/>
    <cellStyle name="Обычный 5 2" xfId="6"/>
    <cellStyle name="Обычный 5 3" xfId="7"/>
    <cellStyle name="Обычный 6" xfId="8"/>
    <cellStyle name="Обычный 6 2" xfId="9"/>
    <cellStyle name="Обычный 7" xfId="10"/>
    <cellStyle name="Обычный 7 2" xfId="11"/>
    <cellStyle name="Обычный 7 3" xfId="12"/>
    <cellStyle name="Финансовый 2 2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179"/>
  <sheetViews>
    <sheetView tabSelected="1" topLeftCell="A4" zoomScale="110" zoomScaleNormal="110" zoomScaleSheetLayoutView="100" workbookViewId="0">
      <pane xSplit="11" ySplit="6" topLeftCell="L124" activePane="bottomRight" state="frozen"/>
      <selection activeCell="A4" sqref="A4"/>
      <selection pane="topRight" activeCell="L4" sqref="L4"/>
      <selection pane="bottomLeft" activeCell="A11" sqref="A11"/>
      <selection pane="bottomRight" activeCell="I138" sqref="I138"/>
    </sheetView>
  </sheetViews>
  <sheetFormatPr defaultColWidth="5.140625" defaultRowHeight="12" outlineLevelRow="1" outlineLevelCol="1" x14ac:dyDescent="0.2"/>
  <cols>
    <col min="1" max="1" width="32.85546875" style="1" customWidth="1"/>
    <col min="2" max="2" width="5.5703125" style="2" customWidth="1"/>
    <col min="3" max="3" width="11.28515625" style="3" customWidth="1" outlineLevel="1"/>
    <col min="4" max="4" width="9.140625" style="3" customWidth="1" outlineLevel="1"/>
    <col min="5" max="5" width="9.7109375" style="3" customWidth="1" outlineLevel="1"/>
    <col min="6" max="6" width="13.28515625" style="3" customWidth="1" outlineLevel="1"/>
    <col min="7" max="7" width="9.140625" style="3" customWidth="1" outlineLevel="1"/>
    <col min="8" max="8" width="9.7109375" style="3" customWidth="1" outlineLevel="1"/>
    <col min="9" max="9" width="35" style="1" customWidth="1" outlineLevel="1"/>
    <col min="10" max="10" width="4.85546875" style="2" customWidth="1"/>
    <col min="11" max="11" width="5.7109375" style="2" customWidth="1"/>
    <col min="12" max="13" width="12" style="4" customWidth="1" outlineLevel="1"/>
    <col min="14" max="14" width="12.140625" style="4" customWidth="1" outlineLevel="1"/>
    <col min="15" max="16" width="5.140625" style="5"/>
    <col min="17" max="18" width="7.28515625" style="5" customWidth="1"/>
    <col min="19" max="16384" width="5.140625" style="5"/>
  </cols>
  <sheetData>
    <row r="1" spans="1:14" x14ac:dyDescent="0.2">
      <c r="N1" s="4" t="s">
        <v>0</v>
      </c>
    </row>
    <row r="2" spans="1:14" x14ac:dyDescent="0.2">
      <c r="N2" s="4" t="s">
        <v>1</v>
      </c>
    </row>
    <row r="3" spans="1:14" ht="14.25" x14ac:dyDescent="0.2">
      <c r="A3" s="150" t="s">
        <v>261</v>
      </c>
      <c r="B3" s="151"/>
      <c r="C3" s="151"/>
      <c r="D3" s="151"/>
      <c r="E3" s="151"/>
      <c r="F3" s="151"/>
      <c r="G3" s="151"/>
      <c r="H3" s="151"/>
      <c r="I3" s="151"/>
      <c r="J3" s="151"/>
      <c r="K3" s="151"/>
      <c r="L3" s="151"/>
      <c r="M3" s="151"/>
      <c r="N3" s="151"/>
    </row>
    <row r="4" spans="1:14" x14ac:dyDescent="0.2">
      <c r="N4" s="4" t="s">
        <v>2</v>
      </c>
    </row>
    <row r="5" spans="1:14" ht="26.25" customHeight="1" x14ac:dyDescent="0.2">
      <c r="A5" s="105" t="s">
        <v>3</v>
      </c>
      <c r="B5" s="107" t="s">
        <v>4</v>
      </c>
      <c r="C5" s="107" t="s">
        <v>5</v>
      </c>
      <c r="D5" s="107"/>
      <c r="E5" s="107"/>
      <c r="F5" s="107"/>
      <c r="G5" s="107"/>
      <c r="H5" s="107"/>
      <c r="I5" s="131"/>
      <c r="J5" s="107" t="s">
        <v>6</v>
      </c>
      <c r="K5" s="107"/>
      <c r="L5" s="152"/>
      <c r="M5" s="152"/>
      <c r="N5" s="152"/>
    </row>
    <row r="6" spans="1:14" ht="18.75" customHeight="1" x14ac:dyDescent="0.2">
      <c r="A6" s="105"/>
      <c r="B6" s="107"/>
      <c r="C6" s="102" t="s">
        <v>7</v>
      </c>
      <c r="D6" s="102"/>
      <c r="E6" s="102"/>
      <c r="F6" s="102" t="s">
        <v>8</v>
      </c>
      <c r="G6" s="102"/>
      <c r="H6" s="102"/>
      <c r="I6" s="159" t="s">
        <v>9</v>
      </c>
      <c r="J6" s="107"/>
      <c r="K6" s="107"/>
      <c r="L6" s="153" t="s">
        <v>10</v>
      </c>
      <c r="M6" s="154" t="s">
        <v>11</v>
      </c>
      <c r="N6" s="154"/>
    </row>
    <row r="7" spans="1:14" ht="11.25" customHeight="1" x14ac:dyDescent="0.2">
      <c r="A7" s="105"/>
      <c r="B7" s="107"/>
      <c r="C7" s="107" t="s">
        <v>12</v>
      </c>
      <c r="D7" s="107" t="s">
        <v>13</v>
      </c>
      <c r="E7" s="107" t="s">
        <v>14</v>
      </c>
      <c r="F7" s="107" t="s">
        <v>12</v>
      </c>
      <c r="G7" s="107" t="s">
        <v>13</v>
      </c>
      <c r="H7" s="107" t="s">
        <v>14</v>
      </c>
      <c r="I7" s="107" t="s">
        <v>15</v>
      </c>
      <c r="J7" s="107" t="s">
        <v>16</v>
      </c>
      <c r="K7" s="107" t="s">
        <v>17</v>
      </c>
      <c r="L7" s="113"/>
      <c r="M7" s="154"/>
      <c r="N7" s="154"/>
    </row>
    <row r="8" spans="1:14" ht="11.25" customHeight="1" x14ac:dyDescent="0.2">
      <c r="A8" s="105"/>
      <c r="B8" s="107"/>
      <c r="C8" s="107"/>
      <c r="D8" s="107"/>
      <c r="E8" s="107"/>
      <c r="F8" s="107"/>
      <c r="G8" s="107"/>
      <c r="H8" s="107"/>
      <c r="I8" s="107"/>
      <c r="J8" s="107"/>
      <c r="K8" s="107"/>
      <c r="L8" s="155">
        <v>2025</v>
      </c>
      <c r="M8" s="155">
        <v>2026</v>
      </c>
      <c r="N8" s="157">
        <v>2027</v>
      </c>
    </row>
    <row r="9" spans="1:14" ht="36" customHeight="1" x14ac:dyDescent="0.2">
      <c r="A9" s="105"/>
      <c r="B9" s="107"/>
      <c r="C9" s="107"/>
      <c r="D9" s="107"/>
      <c r="E9" s="107"/>
      <c r="F9" s="107"/>
      <c r="G9" s="107"/>
      <c r="H9" s="107"/>
      <c r="I9" s="107"/>
      <c r="J9" s="107"/>
      <c r="K9" s="107"/>
      <c r="L9" s="156"/>
      <c r="M9" s="156"/>
      <c r="N9" s="157"/>
    </row>
    <row r="10" spans="1:14" s="10" customFormat="1" x14ac:dyDescent="0.2">
      <c r="A10" s="8">
        <v>1</v>
      </c>
      <c r="B10" s="8">
        <v>2</v>
      </c>
      <c r="C10" s="8">
        <v>3</v>
      </c>
      <c r="D10" s="8">
        <v>4</v>
      </c>
      <c r="E10" s="8">
        <v>5</v>
      </c>
      <c r="F10" s="8">
        <v>6</v>
      </c>
      <c r="G10" s="8">
        <v>7</v>
      </c>
      <c r="H10" s="8">
        <v>8</v>
      </c>
      <c r="I10" s="8">
        <v>9</v>
      </c>
      <c r="J10" s="8">
        <v>10</v>
      </c>
      <c r="K10" s="8">
        <v>11</v>
      </c>
      <c r="L10" s="9">
        <v>12</v>
      </c>
      <c r="M10" s="9">
        <v>13</v>
      </c>
      <c r="N10" s="9">
        <v>14</v>
      </c>
    </row>
    <row r="11" spans="1:14" ht="63" x14ac:dyDescent="0.2">
      <c r="A11" s="11" t="s">
        <v>18</v>
      </c>
      <c r="B11" s="12" t="s">
        <v>19</v>
      </c>
      <c r="C11" s="13" t="s">
        <v>20</v>
      </c>
      <c r="D11" s="14" t="s">
        <v>20</v>
      </c>
      <c r="E11" s="14" t="s">
        <v>20</v>
      </c>
      <c r="F11" s="13" t="s">
        <v>20</v>
      </c>
      <c r="G11" s="14" t="s">
        <v>20</v>
      </c>
      <c r="H11" s="14" t="s">
        <v>20</v>
      </c>
      <c r="I11" s="15"/>
      <c r="J11" s="12" t="s">
        <v>20</v>
      </c>
      <c r="K11" s="12" t="s">
        <v>20</v>
      </c>
      <c r="L11" s="16">
        <f>SUM(L12+L61+L81+L88)+L84+L119+L124</f>
        <v>8483689.5999999996</v>
      </c>
      <c r="M11" s="16">
        <f>SUM(M12+M61+M81+M88)+M84+M119+M124</f>
        <v>8399039.3000000007</v>
      </c>
      <c r="N11" s="16">
        <f>SUM(N12+N61+N81+N88)+N84+N119+N124</f>
        <v>8703957.5</v>
      </c>
    </row>
    <row r="12" spans="1:14" ht="63" x14ac:dyDescent="0.2">
      <c r="A12" s="11" t="s">
        <v>21</v>
      </c>
      <c r="B12" s="17" t="s">
        <v>22</v>
      </c>
      <c r="C12" s="18" t="s">
        <v>20</v>
      </c>
      <c r="D12" s="19" t="s">
        <v>20</v>
      </c>
      <c r="E12" s="19" t="s">
        <v>20</v>
      </c>
      <c r="F12" s="18" t="s">
        <v>20</v>
      </c>
      <c r="G12" s="19" t="s">
        <v>20</v>
      </c>
      <c r="H12" s="19" t="s">
        <v>20</v>
      </c>
      <c r="I12" s="70"/>
      <c r="J12" s="17" t="s">
        <v>20</v>
      </c>
      <c r="K12" s="17" t="s">
        <v>20</v>
      </c>
      <c r="L12" s="16">
        <f>SUM(L13:L60)</f>
        <v>4579850.0999999987</v>
      </c>
      <c r="M12" s="16">
        <f>SUM(M13:M60)</f>
        <v>4301185.3999999994</v>
      </c>
      <c r="N12" s="16">
        <f>SUM(N13:N60)</f>
        <v>4249384.9999999991</v>
      </c>
    </row>
    <row r="13" spans="1:14" x14ac:dyDescent="0.2">
      <c r="A13" s="7" t="s">
        <v>23</v>
      </c>
      <c r="B13" s="12"/>
      <c r="C13" s="13"/>
      <c r="D13" s="14"/>
      <c r="E13" s="14"/>
      <c r="F13" s="13"/>
      <c r="G13" s="14"/>
      <c r="H13" s="14"/>
      <c r="I13" s="15"/>
      <c r="J13" s="12"/>
      <c r="K13" s="12"/>
      <c r="L13" s="21"/>
      <c r="M13" s="21"/>
      <c r="N13" s="21"/>
    </row>
    <row r="14" spans="1:14" ht="26.25" customHeight="1" x14ac:dyDescent="0.2">
      <c r="A14" s="105" t="s">
        <v>24</v>
      </c>
      <c r="B14" s="107">
        <v>2504</v>
      </c>
      <c r="C14" s="145" t="s">
        <v>262</v>
      </c>
      <c r="D14" s="136" t="s">
        <v>26</v>
      </c>
      <c r="E14" s="148" t="s">
        <v>27</v>
      </c>
      <c r="F14" s="130" t="s">
        <v>327</v>
      </c>
      <c r="G14" s="130" t="s">
        <v>28</v>
      </c>
      <c r="H14" s="130" t="s">
        <v>29</v>
      </c>
      <c r="I14" s="97" t="s">
        <v>30</v>
      </c>
      <c r="J14" s="12" t="s">
        <v>31</v>
      </c>
      <c r="K14" s="12" t="s">
        <v>32</v>
      </c>
      <c r="L14" s="23">
        <v>5053.7</v>
      </c>
      <c r="M14" s="23">
        <v>10053.700000000001</v>
      </c>
      <c r="N14" s="23">
        <v>10053.700000000001</v>
      </c>
    </row>
    <row r="15" spans="1:14" ht="30.75" customHeight="1" x14ac:dyDescent="0.2">
      <c r="A15" s="105"/>
      <c r="B15" s="107"/>
      <c r="C15" s="145"/>
      <c r="D15" s="136"/>
      <c r="E15" s="148"/>
      <c r="F15" s="130"/>
      <c r="G15" s="130"/>
      <c r="H15" s="130"/>
      <c r="I15" s="158"/>
      <c r="J15" s="12" t="s">
        <v>33</v>
      </c>
      <c r="K15" s="12" t="s">
        <v>38</v>
      </c>
      <c r="L15" s="23">
        <v>1300</v>
      </c>
      <c r="M15" s="23">
        <v>1300</v>
      </c>
      <c r="N15" s="23">
        <v>1300</v>
      </c>
    </row>
    <row r="16" spans="1:14" ht="24.75" customHeight="1" x14ac:dyDescent="0.2">
      <c r="A16" s="105"/>
      <c r="B16" s="107"/>
      <c r="C16" s="145"/>
      <c r="D16" s="147"/>
      <c r="E16" s="147"/>
      <c r="F16" s="131"/>
      <c r="G16" s="132"/>
      <c r="H16" s="132"/>
      <c r="I16" s="98"/>
      <c r="J16" s="12" t="s">
        <v>33</v>
      </c>
      <c r="K16" s="12" t="s">
        <v>34</v>
      </c>
      <c r="L16" s="23">
        <v>3365.8</v>
      </c>
      <c r="M16" s="23">
        <v>3365.8</v>
      </c>
      <c r="N16" s="23">
        <v>3365.8</v>
      </c>
    </row>
    <row r="17" spans="1:14" ht="54.75" customHeight="1" x14ac:dyDescent="0.2">
      <c r="A17" s="105" t="s">
        <v>35</v>
      </c>
      <c r="B17" s="107">
        <v>2505</v>
      </c>
      <c r="C17" s="145" t="s">
        <v>262</v>
      </c>
      <c r="D17" s="136" t="s">
        <v>36</v>
      </c>
      <c r="E17" s="148" t="s">
        <v>27</v>
      </c>
      <c r="F17" s="145" t="s">
        <v>37</v>
      </c>
      <c r="G17" s="136" t="s">
        <v>28</v>
      </c>
      <c r="H17" s="148"/>
      <c r="I17" s="24" t="s">
        <v>313</v>
      </c>
      <c r="J17" s="12" t="s">
        <v>33</v>
      </c>
      <c r="K17" s="12" t="s">
        <v>38</v>
      </c>
      <c r="L17" s="23">
        <f>89111.7-1900+180</f>
        <v>87391.7</v>
      </c>
      <c r="M17" s="23">
        <f>84211.5-1900</f>
        <v>82311.5</v>
      </c>
      <c r="N17" s="23">
        <f>84211.5-1900</f>
        <v>82311.5</v>
      </c>
    </row>
    <row r="18" spans="1:14" x14ac:dyDescent="0.2">
      <c r="A18" s="105"/>
      <c r="B18" s="107"/>
      <c r="C18" s="145"/>
      <c r="D18" s="147"/>
      <c r="E18" s="147"/>
      <c r="F18" s="145"/>
      <c r="G18" s="136"/>
      <c r="H18" s="132"/>
      <c r="I18" s="72"/>
      <c r="J18" s="12" t="s">
        <v>33</v>
      </c>
      <c r="K18" s="12" t="s">
        <v>33</v>
      </c>
      <c r="L18" s="23">
        <v>25995.200000000001</v>
      </c>
      <c r="M18" s="23">
        <v>24334</v>
      </c>
      <c r="N18" s="23">
        <v>24334</v>
      </c>
    </row>
    <row r="19" spans="1:14" ht="160.5" customHeight="1" x14ac:dyDescent="0.2">
      <c r="A19" s="25" t="s">
        <v>39</v>
      </c>
      <c r="B19" s="6">
        <v>2507</v>
      </c>
      <c r="C19" s="13" t="s">
        <v>262</v>
      </c>
      <c r="D19" s="14" t="s">
        <v>40</v>
      </c>
      <c r="E19" s="26" t="s">
        <v>27</v>
      </c>
      <c r="F19" s="13" t="s">
        <v>41</v>
      </c>
      <c r="G19" s="14" t="s">
        <v>28</v>
      </c>
      <c r="H19" s="26"/>
      <c r="I19" s="72" t="s">
        <v>314</v>
      </c>
      <c r="J19" s="12" t="s">
        <v>42</v>
      </c>
      <c r="K19" s="12" t="s">
        <v>43</v>
      </c>
      <c r="L19" s="23">
        <v>544939.69999999995</v>
      </c>
      <c r="M19" s="23">
        <v>293930.59999999998</v>
      </c>
      <c r="N19" s="23">
        <v>293872.59999999998</v>
      </c>
    </row>
    <row r="20" spans="1:14" ht="90" customHeight="1" x14ac:dyDescent="0.2">
      <c r="A20" s="105" t="s">
        <v>44</v>
      </c>
      <c r="B20" s="107">
        <v>2508</v>
      </c>
      <c r="C20" s="13" t="s">
        <v>262</v>
      </c>
      <c r="D20" s="14" t="s">
        <v>45</v>
      </c>
      <c r="E20" s="26" t="s">
        <v>27</v>
      </c>
      <c r="F20" s="13" t="s">
        <v>37</v>
      </c>
      <c r="G20" s="14" t="s">
        <v>28</v>
      </c>
      <c r="H20" s="14"/>
      <c r="I20" s="15" t="s">
        <v>321</v>
      </c>
      <c r="J20" s="12" t="s">
        <v>33</v>
      </c>
      <c r="K20" s="12" t="s">
        <v>31</v>
      </c>
      <c r="L20" s="23">
        <v>0</v>
      </c>
      <c r="M20" s="23">
        <v>0</v>
      </c>
      <c r="N20" s="23">
        <v>84937</v>
      </c>
    </row>
    <row r="21" spans="1:14" ht="36.75" customHeight="1" x14ac:dyDescent="0.2">
      <c r="A21" s="105"/>
      <c r="B21" s="107"/>
      <c r="C21" s="13"/>
      <c r="D21" s="14"/>
      <c r="E21" s="26"/>
      <c r="F21" s="13"/>
      <c r="G21" s="14"/>
      <c r="H21" s="14"/>
      <c r="I21" s="72"/>
      <c r="J21" s="12" t="s">
        <v>46</v>
      </c>
      <c r="K21" s="12" t="s">
        <v>42</v>
      </c>
      <c r="L21" s="23">
        <v>4739</v>
      </c>
      <c r="M21" s="23">
        <v>4739</v>
      </c>
      <c r="N21" s="23">
        <v>4739</v>
      </c>
    </row>
    <row r="22" spans="1:14" ht="73.5" customHeight="1" x14ac:dyDescent="0.2">
      <c r="A22" s="7" t="s">
        <v>47</v>
      </c>
      <c r="B22" s="6">
        <v>2511</v>
      </c>
      <c r="C22" s="13" t="s">
        <v>262</v>
      </c>
      <c r="D22" s="14" t="s">
        <v>48</v>
      </c>
      <c r="E22" s="26" t="s">
        <v>27</v>
      </c>
      <c r="F22" s="13" t="s">
        <v>49</v>
      </c>
      <c r="G22" s="14" t="s">
        <v>28</v>
      </c>
      <c r="H22" s="26" t="s">
        <v>50</v>
      </c>
      <c r="I22" s="72" t="s">
        <v>295</v>
      </c>
      <c r="J22" s="12" t="s">
        <v>42</v>
      </c>
      <c r="K22" s="12" t="s">
        <v>51</v>
      </c>
      <c r="L22" s="23">
        <f>19331.7+104464.3+3250+18719.1</f>
        <v>145765.1</v>
      </c>
      <c r="M22" s="23">
        <f>19331.7+174714.4+3250</f>
        <v>197296.1</v>
      </c>
      <c r="N22" s="23">
        <f>19331.7+174714.4+3250</f>
        <v>197296.1</v>
      </c>
    </row>
    <row r="23" spans="1:14" ht="71.25" customHeight="1" x14ac:dyDescent="0.2">
      <c r="A23" s="105" t="s">
        <v>52</v>
      </c>
      <c r="B23" s="107">
        <v>2513</v>
      </c>
      <c r="C23" s="13" t="s">
        <v>262</v>
      </c>
      <c r="D23" s="14" t="s">
        <v>48</v>
      </c>
      <c r="E23" s="26" t="s">
        <v>27</v>
      </c>
      <c r="F23" s="13" t="s">
        <v>49</v>
      </c>
      <c r="G23" s="14" t="s">
        <v>28</v>
      </c>
      <c r="H23" s="28"/>
      <c r="I23" s="24" t="s">
        <v>296</v>
      </c>
      <c r="J23" s="12" t="s">
        <v>42</v>
      </c>
      <c r="K23" s="12" t="s">
        <v>51</v>
      </c>
      <c r="L23" s="21">
        <f>192866.6+166977</f>
        <v>359843.6</v>
      </c>
      <c r="M23" s="21">
        <f>192866.6+166977</f>
        <v>359843.6</v>
      </c>
      <c r="N23" s="21">
        <f>192866.6+166977</f>
        <v>359843.6</v>
      </c>
    </row>
    <row r="24" spans="1:14" ht="71.25" customHeight="1" x14ac:dyDescent="0.2">
      <c r="A24" s="105"/>
      <c r="B24" s="107"/>
      <c r="C24" s="26" t="s">
        <v>326</v>
      </c>
      <c r="D24" s="26" t="s">
        <v>28</v>
      </c>
      <c r="E24" s="26" t="s">
        <v>53</v>
      </c>
      <c r="F24" s="13"/>
      <c r="G24" s="14"/>
      <c r="H24" s="28"/>
      <c r="I24" s="24" t="s">
        <v>297</v>
      </c>
      <c r="J24" s="12" t="s">
        <v>46</v>
      </c>
      <c r="K24" s="12" t="s">
        <v>34</v>
      </c>
      <c r="L24" s="23">
        <v>3988.5</v>
      </c>
      <c r="M24" s="23">
        <v>3988.5</v>
      </c>
      <c r="N24" s="23">
        <v>3988.5</v>
      </c>
    </row>
    <row r="25" spans="1:14" ht="78.75" customHeight="1" x14ac:dyDescent="0.2">
      <c r="A25" s="7" t="s">
        <v>54</v>
      </c>
      <c r="B25" s="6">
        <v>2515</v>
      </c>
      <c r="C25" s="13" t="s">
        <v>263</v>
      </c>
      <c r="D25" s="28" t="s">
        <v>55</v>
      </c>
      <c r="E25" s="29">
        <v>38786</v>
      </c>
      <c r="F25" s="13" t="s">
        <v>325</v>
      </c>
      <c r="G25" s="14" t="s">
        <v>28</v>
      </c>
      <c r="H25" s="13" t="s">
        <v>56</v>
      </c>
      <c r="I25" s="24" t="s">
        <v>298</v>
      </c>
      <c r="J25" s="12" t="s">
        <v>31</v>
      </c>
      <c r="K25" s="12" t="s">
        <v>32</v>
      </c>
      <c r="L25" s="30">
        <v>600</v>
      </c>
      <c r="M25" s="23">
        <v>600</v>
      </c>
      <c r="N25" s="23">
        <v>600</v>
      </c>
    </row>
    <row r="26" spans="1:14" ht="90.75" customHeight="1" x14ac:dyDescent="0.2">
      <c r="A26" s="88" t="s">
        <v>57</v>
      </c>
      <c r="B26" s="89">
        <v>2517</v>
      </c>
      <c r="C26" s="13" t="s">
        <v>262</v>
      </c>
      <c r="D26" s="14" t="s">
        <v>58</v>
      </c>
      <c r="E26" s="26" t="s">
        <v>27</v>
      </c>
      <c r="F26" s="13" t="s">
        <v>264</v>
      </c>
      <c r="G26" s="14" t="s">
        <v>28</v>
      </c>
      <c r="H26" s="26" t="s">
        <v>50</v>
      </c>
      <c r="I26" s="87" t="s">
        <v>323</v>
      </c>
      <c r="J26" s="12" t="s">
        <v>34</v>
      </c>
      <c r="K26" s="12" t="s">
        <v>43</v>
      </c>
      <c r="L26" s="23">
        <f>31026.6</f>
        <v>31026.6</v>
      </c>
      <c r="M26" s="23">
        <f>31026.6</f>
        <v>31026.6</v>
      </c>
      <c r="N26" s="23">
        <f>31026.6</f>
        <v>31026.6</v>
      </c>
    </row>
    <row r="27" spans="1:14" ht="57.75" x14ac:dyDescent="0.2">
      <c r="A27" s="7" t="s">
        <v>60</v>
      </c>
      <c r="B27" s="6">
        <v>2520</v>
      </c>
      <c r="C27" s="13" t="s">
        <v>262</v>
      </c>
      <c r="D27" s="14" t="s">
        <v>61</v>
      </c>
      <c r="E27" s="26" t="s">
        <v>27</v>
      </c>
      <c r="F27" s="13" t="s">
        <v>62</v>
      </c>
      <c r="G27" s="14" t="s">
        <v>28</v>
      </c>
      <c r="H27" s="26" t="s">
        <v>63</v>
      </c>
      <c r="I27" s="72" t="s">
        <v>299</v>
      </c>
      <c r="J27" s="12" t="s">
        <v>34</v>
      </c>
      <c r="K27" s="12" t="s">
        <v>46</v>
      </c>
      <c r="L27" s="23">
        <f>10494.1-12</f>
        <v>10482.1</v>
      </c>
      <c r="M27" s="23">
        <f>4894.1-12</f>
        <v>4882.1000000000004</v>
      </c>
      <c r="N27" s="23">
        <f>4894.1-12</f>
        <v>4882.1000000000004</v>
      </c>
    </row>
    <row r="28" spans="1:14" ht="28.5" customHeight="1" x14ac:dyDescent="0.2">
      <c r="A28" s="118" t="s">
        <v>64</v>
      </c>
      <c r="B28" s="122">
        <v>2521</v>
      </c>
      <c r="C28" s="108" t="s">
        <v>262</v>
      </c>
      <c r="D28" s="14" t="s">
        <v>65</v>
      </c>
      <c r="E28" s="26" t="s">
        <v>27</v>
      </c>
      <c r="F28" s="13" t="s">
        <v>66</v>
      </c>
      <c r="G28" s="14" t="s">
        <v>28</v>
      </c>
      <c r="H28" s="31"/>
      <c r="I28" s="97" t="s">
        <v>324</v>
      </c>
      <c r="J28" s="12" t="s">
        <v>67</v>
      </c>
      <c r="K28" s="12" t="s">
        <v>34</v>
      </c>
      <c r="L28" s="23">
        <v>11021.5</v>
      </c>
      <c r="M28" s="23">
        <v>11021.5</v>
      </c>
      <c r="N28" s="23">
        <v>11021.5</v>
      </c>
    </row>
    <row r="29" spans="1:14" ht="30" customHeight="1" x14ac:dyDescent="0.2">
      <c r="A29" s="137"/>
      <c r="B29" s="149"/>
      <c r="C29" s="110"/>
      <c r="D29" s="14"/>
      <c r="E29" s="26"/>
      <c r="F29" s="13"/>
      <c r="G29" s="14"/>
      <c r="H29" s="31"/>
      <c r="I29" s="137"/>
      <c r="J29" s="12" t="s">
        <v>67</v>
      </c>
      <c r="K29" s="12" t="s">
        <v>33</v>
      </c>
      <c r="L29" s="23">
        <f>2043.6+16542+15572.8-69.2</f>
        <v>34089.199999999997</v>
      </c>
      <c r="M29" s="23">
        <f>5821.4+8622.7-69.2</f>
        <v>14374.9</v>
      </c>
      <c r="N29" s="23">
        <f>6090.4+8622.7-69.2</f>
        <v>14643.9</v>
      </c>
    </row>
    <row r="30" spans="1:14" ht="58.5" customHeight="1" x14ac:dyDescent="0.2">
      <c r="A30" s="105" t="s">
        <v>68</v>
      </c>
      <c r="B30" s="107">
        <v>2522</v>
      </c>
      <c r="C30" s="13" t="s">
        <v>262</v>
      </c>
      <c r="D30" s="14" t="s">
        <v>69</v>
      </c>
      <c r="E30" s="26" t="s">
        <v>27</v>
      </c>
      <c r="F30" s="13" t="s">
        <v>70</v>
      </c>
      <c r="G30" s="14" t="s">
        <v>71</v>
      </c>
      <c r="H30" s="26" t="s">
        <v>72</v>
      </c>
      <c r="I30" s="72" t="s">
        <v>300</v>
      </c>
      <c r="J30" s="12" t="s">
        <v>59</v>
      </c>
      <c r="K30" s="12" t="s">
        <v>31</v>
      </c>
      <c r="L30" s="32">
        <f>1338547.3-794826.3-1679.4</f>
        <v>542041.59999999998</v>
      </c>
      <c r="M30" s="32">
        <f>1362792.1-774804.2-1679.4</f>
        <v>586308.50000000012</v>
      </c>
      <c r="N30" s="32">
        <f>1377676.7-775326.7-1679.4</f>
        <v>600670.6</v>
      </c>
    </row>
    <row r="31" spans="1:14" ht="63.75" customHeight="1" x14ac:dyDescent="0.2">
      <c r="A31" s="105"/>
      <c r="B31" s="107"/>
      <c r="C31" s="13" t="s">
        <v>265</v>
      </c>
      <c r="D31" s="14" t="s">
        <v>73</v>
      </c>
      <c r="E31" s="26" t="s">
        <v>74</v>
      </c>
      <c r="F31" s="13"/>
      <c r="G31" s="14"/>
      <c r="H31" s="26"/>
      <c r="I31" s="72"/>
      <c r="J31" s="12" t="s">
        <v>46</v>
      </c>
      <c r="K31" s="12" t="s">
        <v>42</v>
      </c>
      <c r="L31" s="32">
        <v>3427.2</v>
      </c>
      <c r="M31" s="32">
        <v>3427.2</v>
      </c>
      <c r="N31" s="32">
        <v>3427.2</v>
      </c>
    </row>
    <row r="32" spans="1:14" ht="130.5" customHeight="1" x14ac:dyDescent="0.2">
      <c r="A32" s="118" t="s">
        <v>75</v>
      </c>
      <c r="B32" s="122">
        <v>2523</v>
      </c>
      <c r="C32" s="108" t="s">
        <v>262</v>
      </c>
      <c r="D32" s="111" t="s">
        <v>69</v>
      </c>
      <c r="E32" s="114" t="s">
        <v>27</v>
      </c>
      <c r="F32" s="108" t="s">
        <v>70</v>
      </c>
      <c r="G32" s="111" t="s">
        <v>71</v>
      </c>
      <c r="H32" s="114" t="s">
        <v>72</v>
      </c>
      <c r="I32" s="129" t="s">
        <v>300</v>
      </c>
      <c r="J32" s="12" t="s">
        <v>59</v>
      </c>
      <c r="K32" s="12" t="s">
        <v>38</v>
      </c>
      <c r="L32" s="32">
        <f>2147039.8-1362795.1-24589.8-5444.6</f>
        <v>754210.2999999997</v>
      </c>
      <c r="M32" s="32">
        <f>2168660.7-1363452-24589.9-5444.6</f>
        <v>775174.20000000019</v>
      </c>
      <c r="N32" s="32">
        <f>2193886-1365722.3-24598.2-5444.6</f>
        <v>798120.9</v>
      </c>
    </row>
    <row r="33" spans="1:14" x14ac:dyDescent="0.2">
      <c r="A33" s="96"/>
      <c r="B33" s="110"/>
      <c r="C33" s="110"/>
      <c r="D33" s="113"/>
      <c r="E33" s="110"/>
      <c r="F33" s="110"/>
      <c r="G33" s="113"/>
      <c r="H33" s="110"/>
      <c r="I33" s="98"/>
      <c r="J33" s="12" t="s">
        <v>46</v>
      </c>
      <c r="K33" s="12" t="s">
        <v>42</v>
      </c>
      <c r="L33" s="32">
        <v>292.5</v>
      </c>
      <c r="M33" s="32">
        <v>585</v>
      </c>
      <c r="N33" s="32">
        <v>585</v>
      </c>
    </row>
    <row r="34" spans="1:14" ht="104.25" customHeight="1" x14ac:dyDescent="0.2">
      <c r="A34" s="7" t="s">
        <v>76</v>
      </c>
      <c r="B34" s="6">
        <v>2525</v>
      </c>
      <c r="C34" s="13" t="s">
        <v>262</v>
      </c>
      <c r="D34" s="14" t="s">
        <v>69</v>
      </c>
      <c r="E34" s="26" t="s">
        <v>27</v>
      </c>
      <c r="F34" s="13" t="s">
        <v>70</v>
      </c>
      <c r="G34" s="14" t="s">
        <v>71</v>
      </c>
      <c r="H34" s="26" t="s">
        <v>72</v>
      </c>
      <c r="I34" s="72" t="s">
        <v>301</v>
      </c>
      <c r="J34" s="12" t="s">
        <v>59</v>
      </c>
      <c r="K34" s="12" t="s">
        <v>34</v>
      </c>
      <c r="L34" s="35">
        <f>184453.5+223288-35603.6</f>
        <v>372137.9</v>
      </c>
      <c r="M34" s="35">
        <f>177174.5+225193.2-35603.6</f>
        <v>366764.10000000003</v>
      </c>
      <c r="N34" s="35">
        <f>196211.8+225294.3-35603.6</f>
        <v>385902.5</v>
      </c>
    </row>
    <row r="35" spans="1:14" ht="65.25" customHeight="1" x14ac:dyDescent="0.2">
      <c r="A35" s="7" t="s">
        <v>77</v>
      </c>
      <c r="B35" s="6">
        <v>2526</v>
      </c>
      <c r="C35" s="13" t="s">
        <v>262</v>
      </c>
      <c r="D35" s="14" t="s">
        <v>69</v>
      </c>
      <c r="E35" s="26" t="s">
        <v>27</v>
      </c>
      <c r="F35" s="13" t="s">
        <v>70</v>
      </c>
      <c r="G35" s="14" t="s">
        <v>71</v>
      </c>
      <c r="H35" s="26" t="s">
        <v>72</v>
      </c>
      <c r="I35" s="72" t="s">
        <v>300</v>
      </c>
      <c r="J35" s="12" t="s">
        <v>59</v>
      </c>
      <c r="K35" s="12" t="s">
        <v>43</v>
      </c>
      <c r="L35" s="35">
        <v>26014.400000000001</v>
      </c>
      <c r="M35" s="35">
        <v>28414.400000000001</v>
      </c>
      <c r="N35" s="35">
        <v>28414.400000000001</v>
      </c>
    </row>
    <row r="36" spans="1:14" ht="104.25" customHeight="1" x14ac:dyDescent="0.2">
      <c r="A36" s="7" t="s">
        <v>78</v>
      </c>
      <c r="B36" s="6">
        <v>2527</v>
      </c>
      <c r="C36" s="13" t="s">
        <v>262</v>
      </c>
      <c r="D36" s="14" t="s">
        <v>69</v>
      </c>
      <c r="E36" s="26" t="s">
        <v>27</v>
      </c>
      <c r="F36" s="13" t="s">
        <v>70</v>
      </c>
      <c r="G36" s="14" t="s">
        <v>71</v>
      </c>
      <c r="H36" s="26" t="s">
        <v>72</v>
      </c>
      <c r="I36" s="72" t="s">
        <v>300</v>
      </c>
      <c r="J36" s="12" t="s">
        <v>59</v>
      </c>
      <c r="K36" s="12" t="s">
        <v>43</v>
      </c>
      <c r="L36" s="35">
        <f>138771-26014.4+10000-28088.4-5395</f>
        <v>89273.200000000012</v>
      </c>
      <c r="M36" s="35">
        <f>145195.6-28414.4-28252.1-5409.7</f>
        <v>83119.400000000009</v>
      </c>
      <c r="N36" s="35">
        <f>145277.5-28414.4-28252.1-5424.9</f>
        <v>83186.100000000006</v>
      </c>
    </row>
    <row r="37" spans="1:14" ht="43.5" customHeight="1" x14ac:dyDescent="0.2">
      <c r="A37" s="118" t="s">
        <v>80</v>
      </c>
      <c r="B37" s="122">
        <v>2530</v>
      </c>
      <c r="C37" s="13" t="s">
        <v>262</v>
      </c>
      <c r="D37" s="14" t="s">
        <v>81</v>
      </c>
      <c r="E37" s="26" t="s">
        <v>27</v>
      </c>
      <c r="F37" s="13"/>
      <c r="G37" s="14"/>
      <c r="H37" s="26"/>
      <c r="I37" s="97" t="s">
        <v>302</v>
      </c>
      <c r="J37" s="12" t="s">
        <v>51</v>
      </c>
      <c r="K37" s="12" t="s">
        <v>31</v>
      </c>
      <c r="L37" s="32">
        <f>98177.4</f>
        <v>98177.4</v>
      </c>
      <c r="M37" s="32">
        <v>88126.8</v>
      </c>
      <c r="N37" s="32">
        <v>88126.8</v>
      </c>
    </row>
    <row r="38" spans="1:14" x14ac:dyDescent="0.2">
      <c r="A38" s="96"/>
      <c r="B38" s="110"/>
      <c r="C38" s="13"/>
      <c r="D38" s="14"/>
      <c r="E38" s="26"/>
      <c r="F38" s="13"/>
      <c r="G38" s="14"/>
      <c r="H38" s="26"/>
      <c r="I38" s="98"/>
      <c r="J38" s="12" t="s">
        <v>51</v>
      </c>
      <c r="K38" s="12" t="s">
        <v>42</v>
      </c>
      <c r="L38" s="32">
        <v>200</v>
      </c>
      <c r="M38" s="32">
        <v>200</v>
      </c>
      <c r="N38" s="32">
        <v>200</v>
      </c>
    </row>
    <row r="39" spans="1:14" ht="45" customHeight="1" x14ac:dyDescent="0.2">
      <c r="A39" s="105" t="s">
        <v>82</v>
      </c>
      <c r="B39" s="107">
        <v>2531</v>
      </c>
      <c r="C39" s="108" t="s">
        <v>262</v>
      </c>
      <c r="D39" s="14" t="s">
        <v>83</v>
      </c>
      <c r="E39" s="26" t="s">
        <v>84</v>
      </c>
      <c r="F39" s="130" t="s">
        <v>266</v>
      </c>
      <c r="G39" s="136" t="s">
        <v>28</v>
      </c>
      <c r="H39" s="130" t="s">
        <v>85</v>
      </c>
      <c r="I39" s="71" t="s">
        <v>315</v>
      </c>
      <c r="J39" s="12" t="s">
        <v>51</v>
      </c>
      <c r="K39" s="12" t="s">
        <v>31</v>
      </c>
      <c r="L39" s="33">
        <f>243141.9-98177.4-636.1-909.5</f>
        <v>143418.9</v>
      </c>
      <c r="M39" s="33">
        <f>244621.1-88126.8-15961.5-909.5+190390-57550</f>
        <v>272463.3</v>
      </c>
      <c r="N39" s="33">
        <f>237684.3-88126.8-9176.5-909.5</f>
        <v>139471.5</v>
      </c>
    </row>
    <row r="40" spans="1:14" ht="45" x14ac:dyDescent="0.2">
      <c r="A40" s="105"/>
      <c r="B40" s="107"/>
      <c r="C40" s="110"/>
      <c r="D40" s="14"/>
      <c r="E40" s="26"/>
      <c r="F40" s="130"/>
      <c r="G40" s="136"/>
      <c r="H40" s="130"/>
      <c r="I40" s="71" t="s">
        <v>302</v>
      </c>
      <c r="J40" s="12" t="s">
        <v>51</v>
      </c>
      <c r="K40" s="12" t="s">
        <v>42</v>
      </c>
      <c r="L40" s="33">
        <f>69078.7-6654.2-200</f>
        <v>62224.5</v>
      </c>
      <c r="M40" s="33">
        <f>70792-200-6964.5</f>
        <v>63627.5</v>
      </c>
      <c r="N40" s="33">
        <f>70792-200-6964.5</f>
        <v>63627.5</v>
      </c>
    </row>
    <row r="41" spans="1:14" ht="93" customHeight="1" x14ac:dyDescent="0.2">
      <c r="A41" s="118" t="s">
        <v>86</v>
      </c>
      <c r="B41" s="122">
        <v>2533</v>
      </c>
      <c r="C41" s="13" t="s">
        <v>262</v>
      </c>
      <c r="D41" s="14" t="s">
        <v>87</v>
      </c>
      <c r="E41" s="26" t="s">
        <v>27</v>
      </c>
      <c r="F41" s="13" t="s">
        <v>266</v>
      </c>
      <c r="G41" s="14" t="s">
        <v>28</v>
      </c>
      <c r="H41" s="26" t="s">
        <v>88</v>
      </c>
      <c r="I41" s="71" t="s">
        <v>307</v>
      </c>
      <c r="J41" s="12" t="s">
        <v>51</v>
      </c>
      <c r="K41" s="12" t="s">
        <v>31</v>
      </c>
      <c r="L41" s="33">
        <f>636.1+22720.6</f>
        <v>23356.699999999997</v>
      </c>
      <c r="M41" s="33">
        <f>15961.5+57550</f>
        <v>73511.5</v>
      </c>
      <c r="N41" s="33">
        <f>9176.5+57550</f>
        <v>66726.5</v>
      </c>
    </row>
    <row r="42" spans="1:14" hidden="1" x14ac:dyDescent="0.2">
      <c r="A42" s="96"/>
      <c r="B42" s="110"/>
      <c r="C42" s="13"/>
      <c r="D42" s="14"/>
      <c r="E42" s="26"/>
      <c r="F42" s="13"/>
      <c r="G42" s="14"/>
      <c r="H42" s="26"/>
      <c r="I42" s="71"/>
      <c r="J42" s="12" t="s">
        <v>51</v>
      </c>
      <c r="K42" s="12" t="s">
        <v>42</v>
      </c>
      <c r="L42" s="33"/>
      <c r="M42" s="33"/>
      <c r="N42" s="33"/>
    </row>
    <row r="43" spans="1:14" ht="57.75" x14ac:dyDescent="0.2">
      <c r="A43" s="105" t="s">
        <v>89</v>
      </c>
      <c r="B43" s="107">
        <v>2534</v>
      </c>
      <c r="C43" s="13" t="s">
        <v>262</v>
      </c>
      <c r="D43" s="14" t="s">
        <v>90</v>
      </c>
      <c r="E43" s="26" t="s">
        <v>27</v>
      </c>
      <c r="F43" s="145" t="s">
        <v>267</v>
      </c>
      <c r="G43" s="136" t="s">
        <v>28</v>
      </c>
      <c r="H43" s="130" t="s">
        <v>91</v>
      </c>
      <c r="I43" s="71" t="s">
        <v>303</v>
      </c>
      <c r="J43" s="12" t="s">
        <v>92</v>
      </c>
      <c r="K43" s="12" t="s">
        <v>31</v>
      </c>
      <c r="L43" s="23">
        <f>343552.4+7000</f>
        <v>350552.4</v>
      </c>
      <c r="M43" s="23">
        <v>363356.6</v>
      </c>
      <c r="N43" s="23">
        <v>363403.4</v>
      </c>
    </row>
    <row r="44" spans="1:14" ht="26.25" customHeight="1" x14ac:dyDescent="0.2">
      <c r="A44" s="105"/>
      <c r="B44" s="107"/>
      <c r="C44" s="145" t="s">
        <v>93</v>
      </c>
      <c r="D44" s="130" t="s">
        <v>94</v>
      </c>
      <c r="E44" s="130" t="s">
        <v>95</v>
      </c>
      <c r="F44" s="145"/>
      <c r="G44" s="136"/>
      <c r="H44" s="132"/>
      <c r="I44" s="135" t="s">
        <v>96</v>
      </c>
      <c r="J44" s="12" t="s">
        <v>92</v>
      </c>
      <c r="K44" s="12" t="s">
        <v>38</v>
      </c>
      <c r="L44" s="23">
        <v>34148.199999999997</v>
      </c>
      <c r="M44" s="23">
        <v>59881.2</v>
      </c>
      <c r="N44" s="23">
        <v>13031.6</v>
      </c>
    </row>
    <row r="45" spans="1:14" ht="26.25" customHeight="1" x14ac:dyDescent="0.2">
      <c r="A45" s="105"/>
      <c r="B45" s="107"/>
      <c r="C45" s="145"/>
      <c r="D45" s="130"/>
      <c r="E45" s="130"/>
      <c r="F45" s="145"/>
      <c r="G45" s="136"/>
      <c r="H45" s="132"/>
      <c r="I45" s="135"/>
      <c r="J45" s="12" t="s">
        <v>92</v>
      </c>
      <c r="K45" s="12" t="s">
        <v>34</v>
      </c>
      <c r="L45" s="23">
        <v>6278.6</v>
      </c>
      <c r="M45" s="23">
        <v>5096.6000000000004</v>
      </c>
      <c r="N45" s="23">
        <v>5096.6000000000004</v>
      </c>
    </row>
    <row r="46" spans="1:14" ht="32.25" customHeight="1" x14ac:dyDescent="0.2">
      <c r="A46" s="105"/>
      <c r="B46" s="107"/>
      <c r="C46" s="145"/>
      <c r="D46" s="130"/>
      <c r="E46" s="130"/>
      <c r="F46" s="145"/>
      <c r="G46" s="136"/>
      <c r="H46" s="132"/>
      <c r="I46" s="135"/>
      <c r="J46" s="12" t="s">
        <v>92</v>
      </c>
      <c r="K46" s="12" t="s">
        <v>33</v>
      </c>
      <c r="L46" s="23">
        <f>57750+3869</f>
        <v>61619</v>
      </c>
      <c r="M46" s="23">
        <v>3869</v>
      </c>
      <c r="N46" s="23">
        <v>3869</v>
      </c>
    </row>
    <row r="47" spans="1:14" ht="54.75" customHeight="1" x14ac:dyDescent="0.2">
      <c r="A47" s="7" t="s">
        <v>97</v>
      </c>
      <c r="B47" s="6">
        <v>2537</v>
      </c>
      <c r="C47" s="13" t="s">
        <v>262</v>
      </c>
      <c r="D47" s="14" t="s">
        <v>98</v>
      </c>
      <c r="E47" s="26" t="s">
        <v>27</v>
      </c>
      <c r="F47" s="13" t="s">
        <v>99</v>
      </c>
      <c r="G47" s="14" t="s">
        <v>28</v>
      </c>
      <c r="H47" s="34"/>
      <c r="I47" s="24" t="s">
        <v>308</v>
      </c>
      <c r="J47" s="12" t="s">
        <v>31</v>
      </c>
      <c r="K47" s="12" t="s">
        <v>32</v>
      </c>
      <c r="L47" s="23">
        <v>8592</v>
      </c>
      <c r="M47" s="23">
        <v>8592</v>
      </c>
      <c r="N47" s="23">
        <v>8592</v>
      </c>
    </row>
    <row r="48" spans="1:14" ht="60" customHeight="1" x14ac:dyDescent="0.2">
      <c r="A48" s="105" t="s">
        <v>100</v>
      </c>
      <c r="B48" s="107">
        <v>2538</v>
      </c>
      <c r="C48" s="31" t="s">
        <v>268</v>
      </c>
      <c r="D48" s="31" t="s">
        <v>101</v>
      </c>
      <c r="E48" s="31" t="s">
        <v>102</v>
      </c>
      <c r="F48" s="13"/>
      <c r="G48" s="14"/>
      <c r="H48" s="14"/>
      <c r="I48" s="15" t="s">
        <v>304</v>
      </c>
      <c r="J48" s="12" t="s">
        <v>33</v>
      </c>
      <c r="K48" s="12" t="s">
        <v>38</v>
      </c>
      <c r="L48" s="23">
        <v>1900</v>
      </c>
      <c r="M48" s="23">
        <v>1900</v>
      </c>
      <c r="N48" s="23">
        <v>1900</v>
      </c>
    </row>
    <row r="49" spans="1:14" ht="57.75" x14ac:dyDescent="0.2">
      <c r="A49" s="105"/>
      <c r="B49" s="107"/>
      <c r="C49" s="13" t="s">
        <v>262</v>
      </c>
      <c r="D49" s="14" t="s">
        <v>103</v>
      </c>
      <c r="E49" s="26" t="s">
        <v>27</v>
      </c>
      <c r="F49" s="13"/>
      <c r="G49" s="14"/>
      <c r="H49" s="14"/>
      <c r="I49" s="15" t="s">
        <v>305</v>
      </c>
      <c r="J49" s="12" t="s">
        <v>33</v>
      </c>
      <c r="K49" s="12" t="s">
        <v>34</v>
      </c>
      <c r="L49" s="23">
        <v>28002.400000000001</v>
      </c>
      <c r="M49" s="23">
        <v>28002.400000000001</v>
      </c>
      <c r="N49" s="23">
        <v>28002.400000000001</v>
      </c>
    </row>
    <row r="50" spans="1:14" ht="66" hidden="1" customHeight="1" x14ac:dyDescent="0.2">
      <c r="A50" s="105" t="s">
        <v>105</v>
      </c>
      <c r="B50" s="107">
        <v>2539</v>
      </c>
      <c r="C50" s="31" t="s">
        <v>269</v>
      </c>
      <c r="D50" s="31" t="s">
        <v>106</v>
      </c>
      <c r="E50" s="31" t="s">
        <v>107</v>
      </c>
      <c r="F50" s="13" t="s">
        <v>108</v>
      </c>
      <c r="G50" s="14" t="s">
        <v>71</v>
      </c>
      <c r="H50" s="26" t="s">
        <v>109</v>
      </c>
      <c r="I50" s="15" t="s">
        <v>104</v>
      </c>
      <c r="J50" s="12" t="s">
        <v>33</v>
      </c>
      <c r="K50" s="12" t="s">
        <v>34</v>
      </c>
      <c r="L50" s="32"/>
      <c r="M50" s="32"/>
      <c r="N50" s="32"/>
    </row>
    <row r="51" spans="1:14" ht="47.25" hidden="1" customHeight="1" x14ac:dyDescent="0.2">
      <c r="A51" s="105"/>
      <c r="B51" s="107"/>
      <c r="C51" s="31" t="s">
        <v>262</v>
      </c>
      <c r="D51" s="31" t="s">
        <v>110</v>
      </c>
      <c r="E51" s="26" t="s">
        <v>27</v>
      </c>
      <c r="F51" s="13"/>
      <c r="G51" s="14"/>
      <c r="H51" s="14"/>
      <c r="I51" s="15" t="s">
        <v>111</v>
      </c>
      <c r="J51" s="12"/>
      <c r="K51" s="12"/>
      <c r="L51" s="21"/>
      <c r="M51" s="21"/>
      <c r="N51" s="21"/>
    </row>
    <row r="52" spans="1:14" ht="59.25" customHeight="1" x14ac:dyDescent="0.2">
      <c r="A52" s="118" t="s">
        <v>112</v>
      </c>
      <c r="B52" s="122">
        <v>2541</v>
      </c>
      <c r="C52" s="120" t="s">
        <v>262</v>
      </c>
      <c r="D52" s="120" t="s">
        <v>113</v>
      </c>
      <c r="E52" s="114" t="s">
        <v>27</v>
      </c>
      <c r="F52" s="108" t="s">
        <v>114</v>
      </c>
      <c r="G52" s="14"/>
      <c r="H52" s="14"/>
      <c r="I52" s="133" t="s">
        <v>320</v>
      </c>
      <c r="J52" s="12" t="s">
        <v>33</v>
      </c>
      <c r="K52" s="12" t="s">
        <v>34</v>
      </c>
      <c r="L52" s="23">
        <f>255314.7+453289-28002.4-1231.3-3365.8-725.9</f>
        <v>675278.29999999981</v>
      </c>
      <c r="M52" s="23">
        <f>446723.3-28002.4-3365.8-725.9</f>
        <v>414629.19999999995</v>
      </c>
      <c r="N52" s="23">
        <f>439840.6-28002.4-3365.8-725.9</f>
        <v>407746.49999999994</v>
      </c>
    </row>
    <row r="53" spans="1:14" ht="56.25" customHeight="1" x14ac:dyDescent="0.2">
      <c r="A53" s="96"/>
      <c r="B53" s="110"/>
      <c r="C53" s="110"/>
      <c r="D53" s="110"/>
      <c r="E53" s="110"/>
      <c r="F53" s="110"/>
      <c r="G53" s="81"/>
      <c r="H53" s="81"/>
      <c r="I53" s="134"/>
      <c r="J53" s="12" t="s">
        <v>33</v>
      </c>
      <c r="K53" s="12" t="s">
        <v>33</v>
      </c>
      <c r="L53" s="23">
        <v>1425.1</v>
      </c>
      <c r="M53" s="23"/>
      <c r="N53" s="23"/>
    </row>
    <row r="54" spans="1:14" ht="114.75" customHeight="1" x14ac:dyDescent="0.2">
      <c r="A54" s="7" t="s">
        <v>115</v>
      </c>
      <c r="B54" s="6">
        <v>2544</v>
      </c>
      <c r="C54" s="31" t="s">
        <v>262</v>
      </c>
      <c r="D54" s="31" t="s">
        <v>116</v>
      </c>
      <c r="E54" s="26" t="s">
        <v>27</v>
      </c>
      <c r="F54" s="13"/>
      <c r="G54" s="14"/>
      <c r="H54" s="14"/>
      <c r="I54" s="15" t="s">
        <v>306</v>
      </c>
      <c r="J54" s="12" t="s">
        <v>42</v>
      </c>
      <c r="K54" s="12" t="s">
        <v>117</v>
      </c>
      <c r="L54" s="23">
        <v>12572.3</v>
      </c>
      <c r="M54" s="23">
        <v>12572.3</v>
      </c>
      <c r="N54" s="23">
        <v>12572.3</v>
      </c>
    </row>
    <row r="55" spans="1:14" ht="83.25" hidden="1" customHeight="1" x14ac:dyDescent="0.2">
      <c r="A55" s="105" t="s">
        <v>118</v>
      </c>
      <c r="B55" s="107">
        <v>2547</v>
      </c>
      <c r="C55" s="31" t="s">
        <v>262</v>
      </c>
      <c r="D55" s="31" t="s">
        <v>119</v>
      </c>
      <c r="E55" s="26" t="s">
        <v>27</v>
      </c>
      <c r="F55" s="130" t="s">
        <v>270</v>
      </c>
      <c r="G55" s="130" t="s">
        <v>28</v>
      </c>
      <c r="H55" s="130" t="s">
        <v>120</v>
      </c>
      <c r="I55" s="71" t="s">
        <v>121</v>
      </c>
      <c r="J55" s="12" t="s">
        <v>34</v>
      </c>
      <c r="K55" s="12" t="s">
        <v>43</v>
      </c>
      <c r="L55" s="23"/>
      <c r="M55" s="23"/>
      <c r="N55" s="23"/>
    </row>
    <row r="56" spans="1:14" ht="68.25" hidden="1" customHeight="1" x14ac:dyDescent="0.2">
      <c r="A56" s="105"/>
      <c r="B56" s="107"/>
      <c r="C56" s="31" t="s">
        <v>271</v>
      </c>
      <c r="D56" s="31" t="s">
        <v>122</v>
      </c>
      <c r="E56" s="31" t="s">
        <v>123</v>
      </c>
      <c r="F56" s="131"/>
      <c r="G56" s="132"/>
      <c r="H56" s="132"/>
      <c r="I56" s="24" t="s">
        <v>124</v>
      </c>
      <c r="J56" s="12"/>
      <c r="K56" s="12"/>
      <c r="L56" s="21"/>
      <c r="M56" s="21"/>
      <c r="N56" s="21"/>
    </row>
    <row r="57" spans="1:14" ht="92.25" customHeight="1" x14ac:dyDescent="0.2">
      <c r="A57" s="7" t="s">
        <v>125</v>
      </c>
      <c r="B57" s="6">
        <v>2553</v>
      </c>
      <c r="C57" s="31" t="s">
        <v>262</v>
      </c>
      <c r="D57" s="31" t="s">
        <v>126</v>
      </c>
      <c r="E57" s="31" t="s">
        <v>127</v>
      </c>
      <c r="F57" s="13" t="s">
        <v>128</v>
      </c>
      <c r="G57" s="14" t="s">
        <v>129</v>
      </c>
      <c r="H57" s="26" t="s">
        <v>130</v>
      </c>
      <c r="I57" s="72" t="s">
        <v>322</v>
      </c>
      <c r="J57" s="12" t="s">
        <v>42</v>
      </c>
      <c r="K57" s="12" t="s">
        <v>117</v>
      </c>
      <c r="L57" s="23">
        <f>1808.8+200+5750</f>
        <v>7758.8</v>
      </c>
      <c r="M57" s="23">
        <f>1200+5750</f>
        <v>6950</v>
      </c>
      <c r="N57" s="23">
        <f>1200+5750</f>
        <v>6950</v>
      </c>
    </row>
    <row r="58" spans="1:14" ht="59.25" customHeight="1" x14ac:dyDescent="0.2">
      <c r="A58" s="118" t="s">
        <v>131</v>
      </c>
      <c r="B58" s="122">
        <v>2554</v>
      </c>
      <c r="C58" s="114" t="s">
        <v>132</v>
      </c>
      <c r="D58" s="26" t="s">
        <v>28</v>
      </c>
      <c r="E58" s="26" t="s">
        <v>133</v>
      </c>
      <c r="F58" s="13" t="s">
        <v>134</v>
      </c>
      <c r="G58" s="14" t="s">
        <v>28</v>
      </c>
      <c r="H58" s="14"/>
      <c r="I58" s="129" t="s">
        <v>309</v>
      </c>
      <c r="J58" s="12" t="s">
        <v>46</v>
      </c>
      <c r="K58" s="12" t="s">
        <v>34</v>
      </c>
      <c r="L58" s="23">
        <f>310.8+1700</f>
        <v>2010.8</v>
      </c>
      <c r="M58" s="23">
        <f>1700+360</f>
        <v>2060</v>
      </c>
      <c r="N58" s="23">
        <v>2060</v>
      </c>
    </row>
    <row r="59" spans="1:14" x14ac:dyDescent="0.2">
      <c r="A59" s="96"/>
      <c r="B59" s="110"/>
      <c r="C59" s="110"/>
      <c r="D59" s="26"/>
      <c r="E59" s="26"/>
      <c r="F59" s="13"/>
      <c r="G59" s="14"/>
      <c r="H59" s="14"/>
      <c r="I59" s="98"/>
      <c r="J59" s="12" t="s">
        <v>46</v>
      </c>
      <c r="K59" s="12" t="s">
        <v>67</v>
      </c>
      <c r="L59" s="23">
        <v>500</v>
      </c>
      <c r="M59" s="23">
        <v>500</v>
      </c>
      <c r="N59" s="23">
        <v>500</v>
      </c>
    </row>
    <row r="60" spans="1:14" ht="57.75" x14ac:dyDescent="0.2">
      <c r="A60" s="27" t="s">
        <v>135</v>
      </c>
      <c r="B60" s="6">
        <v>2555</v>
      </c>
      <c r="C60" s="31" t="s">
        <v>262</v>
      </c>
      <c r="D60" s="31" t="s">
        <v>136</v>
      </c>
      <c r="E60" s="26" t="s">
        <v>27</v>
      </c>
      <c r="F60" s="31" t="s">
        <v>272</v>
      </c>
      <c r="G60" s="31" t="s">
        <v>28</v>
      </c>
      <c r="H60" s="31" t="s">
        <v>137</v>
      </c>
      <c r="I60" s="71" t="s">
        <v>300</v>
      </c>
      <c r="J60" s="12" t="s">
        <v>59</v>
      </c>
      <c r="K60" s="12" t="s">
        <v>59</v>
      </c>
      <c r="L60" s="32">
        <v>4835.8999999999996</v>
      </c>
      <c r="M60" s="32">
        <v>8986.2999999999993</v>
      </c>
      <c r="N60" s="32">
        <v>8986.2999999999993</v>
      </c>
    </row>
    <row r="61" spans="1:14" ht="84" x14ac:dyDescent="0.2">
      <c r="A61" s="11" t="s">
        <v>138</v>
      </c>
      <c r="B61" s="17" t="s">
        <v>139</v>
      </c>
      <c r="C61" s="18" t="s">
        <v>20</v>
      </c>
      <c r="D61" s="19" t="s">
        <v>20</v>
      </c>
      <c r="E61" s="19" t="s">
        <v>20</v>
      </c>
      <c r="F61" s="18" t="s">
        <v>20</v>
      </c>
      <c r="G61" s="19" t="s">
        <v>20</v>
      </c>
      <c r="H61" s="19" t="s">
        <v>20</v>
      </c>
      <c r="I61" s="70"/>
      <c r="J61" s="17" t="s">
        <v>20</v>
      </c>
      <c r="K61" s="17" t="s">
        <v>20</v>
      </c>
      <c r="L61" s="16">
        <f>SUM(L63:L80)</f>
        <v>661443.9</v>
      </c>
      <c r="M61" s="16">
        <f>SUM(M63:M80)</f>
        <v>699964.4</v>
      </c>
      <c r="N61" s="16">
        <f>SUM(N63:N80)</f>
        <v>847333.5</v>
      </c>
    </row>
    <row r="62" spans="1:14" x14ac:dyDescent="0.2">
      <c r="A62" s="7" t="s">
        <v>23</v>
      </c>
      <c r="B62" s="12"/>
      <c r="C62" s="13"/>
      <c r="D62" s="14"/>
      <c r="E62" s="14"/>
      <c r="F62" s="13"/>
      <c r="G62" s="14"/>
      <c r="H62" s="14"/>
      <c r="I62" s="15"/>
      <c r="J62" s="12"/>
      <c r="K62" s="12"/>
      <c r="L62" s="21"/>
      <c r="M62" s="21"/>
      <c r="N62" s="21"/>
    </row>
    <row r="63" spans="1:14" ht="57.75" x14ac:dyDescent="0.2">
      <c r="A63" s="105" t="s">
        <v>140</v>
      </c>
      <c r="B63" s="107" t="s">
        <v>141</v>
      </c>
      <c r="C63" s="31" t="s">
        <v>262</v>
      </c>
      <c r="D63" s="31" t="s">
        <v>142</v>
      </c>
      <c r="E63" s="26" t="s">
        <v>27</v>
      </c>
      <c r="F63" s="120" t="s">
        <v>273</v>
      </c>
      <c r="G63" s="31" t="s">
        <v>28</v>
      </c>
      <c r="H63" s="31"/>
      <c r="I63" s="15" t="s">
        <v>316</v>
      </c>
      <c r="J63" s="12" t="s">
        <v>31</v>
      </c>
      <c r="K63" s="12" t="s">
        <v>38</v>
      </c>
      <c r="L63" s="23">
        <v>5063.7</v>
      </c>
      <c r="M63" s="23">
        <v>5063.7</v>
      </c>
      <c r="N63" s="23">
        <v>5063.7</v>
      </c>
    </row>
    <row r="64" spans="1:14" ht="38.25" customHeight="1" x14ac:dyDescent="0.2">
      <c r="A64" s="105"/>
      <c r="B64" s="107"/>
      <c r="C64" s="31" t="s">
        <v>274</v>
      </c>
      <c r="D64" s="31" t="s">
        <v>143</v>
      </c>
      <c r="E64" s="31" t="s">
        <v>144</v>
      </c>
      <c r="F64" s="109"/>
      <c r="G64" s="14"/>
      <c r="H64" s="26"/>
      <c r="I64" s="15" t="s">
        <v>316</v>
      </c>
      <c r="J64" s="12" t="s">
        <v>31</v>
      </c>
      <c r="K64" s="12" t="s">
        <v>42</v>
      </c>
      <c r="L64" s="23">
        <f>235354.3-1037.3-6222.9-137.7</f>
        <v>227956.4</v>
      </c>
      <c r="M64" s="23">
        <f>235354.2-1037.3-6222.9-137.7</f>
        <v>227956.30000000002</v>
      </c>
      <c r="N64" s="23">
        <f>235354.3-1037.3-6222.9-137.8</f>
        <v>227956.30000000002</v>
      </c>
    </row>
    <row r="65" spans="1:14" ht="45" x14ac:dyDescent="0.2">
      <c r="A65" s="105"/>
      <c r="B65" s="107"/>
      <c r="C65" s="13"/>
      <c r="D65" s="14"/>
      <c r="E65" s="14"/>
      <c r="F65" s="13"/>
      <c r="G65" s="28"/>
      <c r="H65" s="28"/>
      <c r="I65" s="7" t="s">
        <v>317</v>
      </c>
      <c r="J65" s="12" t="s">
        <v>31</v>
      </c>
      <c r="K65" s="12" t="s">
        <v>67</v>
      </c>
      <c r="L65" s="23">
        <f>47484</f>
        <v>47484</v>
      </c>
      <c r="M65" s="23">
        <f>47484</f>
        <v>47484</v>
      </c>
      <c r="N65" s="23">
        <f>47484</f>
        <v>47484</v>
      </c>
    </row>
    <row r="66" spans="1:14" x14ac:dyDescent="0.2">
      <c r="A66" s="105"/>
      <c r="B66" s="107"/>
      <c r="C66" s="13"/>
      <c r="D66" s="14"/>
      <c r="E66" s="14"/>
      <c r="F66" s="13"/>
      <c r="G66" s="28"/>
      <c r="H66" s="28"/>
      <c r="I66" s="24"/>
      <c r="J66" s="12" t="s">
        <v>31</v>
      </c>
      <c r="K66" s="12" t="s">
        <v>92</v>
      </c>
      <c r="L66" s="23">
        <v>5000</v>
      </c>
      <c r="M66" s="23">
        <v>10000</v>
      </c>
      <c r="N66" s="23">
        <v>10000</v>
      </c>
    </row>
    <row r="67" spans="1:14" x14ac:dyDescent="0.2">
      <c r="A67" s="105"/>
      <c r="B67" s="107"/>
      <c r="C67" s="13"/>
      <c r="D67" s="14"/>
      <c r="E67" s="14"/>
      <c r="F67" s="31"/>
      <c r="G67" s="31"/>
      <c r="H67" s="31"/>
      <c r="I67" s="15"/>
      <c r="J67" s="12" t="s">
        <v>31</v>
      </c>
      <c r="K67" s="12" t="s">
        <v>32</v>
      </c>
      <c r="L67" s="23">
        <f>19384.1+62401.5-600-8592-5053.7-236.4</f>
        <v>67303.500000000015</v>
      </c>
      <c r="M67" s="23">
        <f>19384.1+77393.9-600-8592-10053.7-236.4+0.1</f>
        <v>77296.000000000015</v>
      </c>
      <c r="N67" s="23">
        <f>19384.1+77393.9-600-8592-10053.7-236.4+1.1</f>
        <v>77297.000000000015</v>
      </c>
    </row>
    <row r="68" spans="1:14" x14ac:dyDescent="0.2">
      <c r="A68" s="105"/>
      <c r="B68" s="107"/>
      <c r="C68" s="13"/>
      <c r="D68" s="14"/>
      <c r="E68" s="14"/>
      <c r="F68" s="31"/>
      <c r="G68" s="31"/>
      <c r="H68" s="31"/>
      <c r="I68" s="71"/>
      <c r="J68" s="12" t="s">
        <v>59</v>
      </c>
      <c r="K68" s="12" t="s">
        <v>33</v>
      </c>
      <c r="L68" s="23">
        <f>270.6</f>
        <v>270.60000000000002</v>
      </c>
      <c r="M68" s="23">
        <v>270.60000000000002</v>
      </c>
      <c r="N68" s="23">
        <v>270.60000000000002</v>
      </c>
    </row>
    <row r="69" spans="1:14" x14ac:dyDescent="0.2">
      <c r="A69" s="105"/>
      <c r="B69" s="107"/>
      <c r="C69" s="13"/>
      <c r="D69" s="14"/>
      <c r="E69" s="14"/>
      <c r="F69" s="31"/>
      <c r="G69" s="31"/>
      <c r="H69" s="31"/>
      <c r="I69" s="71"/>
      <c r="J69" s="12" t="s">
        <v>59</v>
      </c>
      <c r="K69" s="12" t="s">
        <v>43</v>
      </c>
      <c r="L69" s="23">
        <f>25431.7+428+1296.3+932.4</f>
        <v>28088.400000000001</v>
      </c>
      <c r="M69" s="23">
        <f>25431.7+578+1082.3+1160.1</f>
        <v>28252.1</v>
      </c>
      <c r="N69" s="23">
        <f>578+1082.3+1160.1+25431.7</f>
        <v>28252.1</v>
      </c>
    </row>
    <row r="70" spans="1:14" x14ac:dyDescent="0.2">
      <c r="A70" s="105"/>
      <c r="B70" s="107"/>
      <c r="C70" s="13"/>
      <c r="D70" s="14"/>
      <c r="E70" s="14"/>
      <c r="F70" s="31"/>
      <c r="G70" s="31"/>
      <c r="H70" s="31"/>
      <c r="I70" s="71"/>
      <c r="J70" s="12" t="s">
        <v>51</v>
      </c>
      <c r="K70" s="12" t="s">
        <v>42</v>
      </c>
      <c r="L70" s="23">
        <v>6654.2</v>
      </c>
      <c r="M70" s="23">
        <v>6964.5</v>
      </c>
      <c r="N70" s="23">
        <v>6964.5</v>
      </c>
    </row>
    <row r="71" spans="1:14" x14ac:dyDescent="0.2">
      <c r="A71" s="105"/>
      <c r="B71" s="107"/>
      <c r="C71" s="13"/>
      <c r="D71" s="14"/>
      <c r="E71" s="14"/>
      <c r="F71" s="31"/>
      <c r="G71" s="31"/>
      <c r="H71" s="31"/>
      <c r="I71" s="71"/>
      <c r="J71" s="12" t="s">
        <v>92</v>
      </c>
      <c r="K71" s="12" t="s">
        <v>33</v>
      </c>
      <c r="L71" s="23">
        <f>12292.6</f>
        <v>12292.6</v>
      </c>
      <c r="M71" s="23">
        <v>13315.4</v>
      </c>
      <c r="N71" s="23">
        <v>13315.4</v>
      </c>
    </row>
    <row r="72" spans="1:14" ht="45" x14ac:dyDescent="0.2">
      <c r="A72" s="105"/>
      <c r="B72" s="107"/>
      <c r="C72" s="13"/>
      <c r="D72" s="14"/>
      <c r="E72" s="14"/>
      <c r="F72" s="13"/>
      <c r="G72" s="14"/>
      <c r="H72" s="14"/>
      <c r="I72" s="15" t="s">
        <v>145</v>
      </c>
      <c r="J72" s="12" t="s">
        <v>46</v>
      </c>
      <c r="K72" s="12" t="s">
        <v>67</v>
      </c>
      <c r="L72" s="23">
        <v>42801.7</v>
      </c>
      <c r="M72" s="23">
        <v>41400.199999999997</v>
      </c>
      <c r="N72" s="23">
        <v>41400.199999999997</v>
      </c>
    </row>
    <row r="73" spans="1:14" ht="56.25" x14ac:dyDescent="0.2">
      <c r="A73" s="140" t="s">
        <v>146</v>
      </c>
      <c r="B73" s="122">
        <v>2606</v>
      </c>
      <c r="C73" s="143" t="s">
        <v>275</v>
      </c>
      <c r="D73" s="120" t="s">
        <v>147</v>
      </c>
      <c r="E73" s="120" t="s">
        <v>27</v>
      </c>
      <c r="F73" s="114" t="s">
        <v>148</v>
      </c>
      <c r="G73" s="124" t="s">
        <v>28</v>
      </c>
      <c r="H73" s="14"/>
      <c r="I73" s="71" t="s">
        <v>149</v>
      </c>
      <c r="J73" s="12" t="s">
        <v>31</v>
      </c>
      <c r="K73" s="12" t="s">
        <v>34</v>
      </c>
      <c r="L73" s="23">
        <v>26466.7</v>
      </c>
      <c r="M73" s="23">
        <v>26466.7</v>
      </c>
      <c r="N73" s="23">
        <v>26466.7</v>
      </c>
    </row>
    <row r="74" spans="1:14" x14ac:dyDescent="0.2">
      <c r="A74" s="141"/>
      <c r="B74" s="142"/>
      <c r="C74" s="144"/>
      <c r="D74" s="121"/>
      <c r="E74" s="121"/>
      <c r="F74" s="123"/>
      <c r="G74" s="125"/>
      <c r="H74" s="14"/>
      <c r="I74" s="71" t="s">
        <v>150</v>
      </c>
      <c r="J74" s="12" t="s">
        <v>31</v>
      </c>
      <c r="K74" s="12" t="s">
        <v>32</v>
      </c>
      <c r="L74" s="23">
        <v>5169.1000000000004</v>
      </c>
      <c r="M74" s="23">
        <v>5169.1000000000004</v>
      </c>
      <c r="N74" s="23">
        <v>5169.1000000000004</v>
      </c>
    </row>
    <row r="75" spans="1:14" ht="58.5" customHeight="1" x14ac:dyDescent="0.2">
      <c r="A75" s="105" t="s">
        <v>151</v>
      </c>
      <c r="B75" s="107">
        <v>2608</v>
      </c>
      <c r="C75" s="126" t="s">
        <v>275</v>
      </c>
      <c r="D75" s="36" t="s">
        <v>152</v>
      </c>
      <c r="E75" s="36" t="s">
        <v>27</v>
      </c>
      <c r="F75" s="13"/>
      <c r="G75" s="14"/>
      <c r="H75" s="14"/>
      <c r="I75" s="15" t="s">
        <v>316</v>
      </c>
      <c r="J75" s="12" t="s">
        <v>31</v>
      </c>
      <c r="K75" s="12" t="s">
        <v>32</v>
      </c>
      <c r="L75" s="23">
        <v>15458</v>
      </c>
      <c r="M75" s="23">
        <v>0</v>
      </c>
      <c r="N75" s="23">
        <v>117629.8</v>
      </c>
    </row>
    <row r="76" spans="1:14" x14ac:dyDescent="0.2">
      <c r="A76" s="105"/>
      <c r="B76" s="107"/>
      <c r="C76" s="127"/>
      <c r="D76" s="36"/>
      <c r="E76" s="36"/>
      <c r="F76" s="79"/>
      <c r="G76" s="80"/>
      <c r="H76" s="80"/>
      <c r="I76" s="15"/>
      <c r="J76" s="12" t="s">
        <v>42</v>
      </c>
      <c r="K76" s="12" t="s">
        <v>117</v>
      </c>
      <c r="L76" s="23">
        <v>15003.9</v>
      </c>
      <c r="M76" s="23">
        <v>15003.9</v>
      </c>
      <c r="N76" s="23">
        <v>15003.9</v>
      </c>
    </row>
    <row r="77" spans="1:14" ht="48.75" customHeight="1" x14ac:dyDescent="0.2">
      <c r="A77" s="105"/>
      <c r="B77" s="107"/>
      <c r="C77" s="128"/>
      <c r="D77" s="31"/>
      <c r="E77" s="26"/>
      <c r="F77" s="13"/>
      <c r="G77" s="14"/>
      <c r="H77" s="14"/>
      <c r="I77" s="24" t="s">
        <v>153</v>
      </c>
      <c r="J77" s="12" t="s">
        <v>46</v>
      </c>
      <c r="K77" s="12" t="s">
        <v>67</v>
      </c>
      <c r="L77" s="23">
        <f>112725.7-184.4-7000</f>
        <v>105541.3</v>
      </c>
      <c r="M77" s="23">
        <v>149432</v>
      </c>
      <c r="N77" s="23">
        <v>179163</v>
      </c>
    </row>
    <row r="78" spans="1:14" ht="67.5" customHeight="1" x14ac:dyDescent="0.2">
      <c r="A78" s="7" t="s">
        <v>276</v>
      </c>
      <c r="B78" s="6">
        <v>2613</v>
      </c>
      <c r="C78" s="63" t="s">
        <v>277</v>
      </c>
      <c r="D78" s="63" t="s">
        <v>278</v>
      </c>
      <c r="E78" s="63" t="s">
        <v>279</v>
      </c>
      <c r="F78" s="64" t="s">
        <v>280</v>
      </c>
      <c r="G78" s="63" t="s">
        <v>281</v>
      </c>
      <c r="H78" s="63" t="s">
        <v>282</v>
      </c>
      <c r="I78" s="73" t="s">
        <v>150</v>
      </c>
      <c r="J78" s="65" t="s">
        <v>31</v>
      </c>
      <c r="K78" s="65" t="s">
        <v>59</v>
      </c>
      <c r="L78" s="66">
        <v>5000</v>
      </c>
      <c r="M78" s="67"/>
      <c r="N78" s="20"/>
    </row>
    <row r="79" spans="1:14" ht="74.25" x14ac:dyDescent="0.2">
      <c r="A79" s="7" t="s">
        <v>154</v>
      </c>
      <c r="B79" s="6">
        <v>2623</v>
      </c>
      <c r="C79" s="37" t="s">
        <v>275</v>
      </c>
      <c r="D79" s="14" t="s">
        <v>155</v>
      </c>
      <c r="E79" s="36" t="s">
        <v>27</v>
      </c>
      <c r="F79" s="13"/>
      <c r="G79" s="14"/>
      <c r="H79" s="14"/>
      <c r="I79" s="15" t="s">
        <v>145</v>
      </c>
      <c r="J79" s="12" t="s">
        <v>46</v>
      </c>
      <c r="K79" s="12" t="s">
        <v>31</v>
      </c>
      <c r="L79" s="23">
        <v>21300</v>
      </c>
      <c r="M79" s="23">
        <v>21300</v>
      </c>
      <c r="N79" s="23">
        <v>21300</v>
      </c>
    </row>
    <row r="80" spans="1:14" ht="205.5" customHeight="1" x14ac:dyDescent="0.2">
      <c r="A80" s="7" t="s">
        <v>156</v>
      </c>
      <c r="B80" s="12" t="s">
        <v>157</v>
      </c>
      <c r="C80" s="13" t="s">
        <v>25</v>
      </c>
      <c r="D80" s="14" t="s">
        <v>69</v>
      </c>
      <c r="E80" s="26" t="s">
        <v>27</v>
      </c>
      <c r="F80" s="13" t="s">
        <v>70</v>
      </c>
      <c r="G80" s="14" t="s">
        <v>71</v>
      </c>
      <c r="H80" s="26" t="s">
        <v>72</v>
      </c>
      <c r="I80" s="72" t="s">
        <v>300</v>
      </c>
      <c r="J80" s="12" t="s">
        <v>59</v>
      </c>
      <c r="K80" s="12" t="s">
        <v>38</v>
      </c>
      <c r="L80" s="21">
        <v>24589.8</v>
      </c>
      <c r="M80" s="21">
        <v>24589.9</v>
      </c>
      <c r="N80" s="21">
        <v>24597.200000000001</v>
      </c>
    </row>
    <row r="81" spans="1:14" ht="105" x14ac:dyDescent="0.2">
      <c r="A81" s="11" t="s">
        <v>158</v>
      </c>
      <c r="B81" s="17" t="s">
        <v>159</v>
      </c>
      <c r="C81" s="18" t="s">
        <v>20</v>
      </c>
      <c r="D81" s="19" t="s">
        <v>20</v>
      </c>
      <c r="E81" s="19" t="s">
        <v>20</v>
      </c>
      <c r="F81" s="18" t="s">
        <v>20</v>
      </c>
      <c r="G81" s="19" t="s">
        <v>20</v>
      </c>
      <c r="H81" s="19" t="s">
        <v>20</v>
      </c>
      <c r="I81" s="70"/>
      <c r="J81" s="17" t="s">
        <v>20</v>
      </c>
      <c r="K81" s="17" t="s">
        <v>20</v>
      </c>
      <c r="L81" s="16">
        <f>SUM(L83:L83)</f>
        <v>725.9</v>
      </c>
      <c r="M81" s="16">
        <f>SUM(M83:M83)</f>
        <v>725.9</v>
      </c>
      <c r="N81" s="16">
        <f>SUM(N83:N83)</f>
        <v>725.9</v>
      </c>
    </row>
    <row r="82" spans="1:14" x14ac:dyDescent="0.2">
      <c r="A82" s="7" t="s">
        <v>23</v>
      </c>
      <c r="B82" s="12"/>
      <c r="C82" s="13"/>
      <c r="D82" s="14"/>
      <c r="E82" s="14"/>
      <c r="F82" s="13"/>
      <c r="G82" s="14"/>
      <c r="H82" s="14"/>
      <c r="I82" s="15"/>
      <c r="J82" s="12"/>
      <c r="K82" s="12"/>
      <c r="L82" s="21"/>
      <c r="M82" s="21"/>
      <c r="N82" s="21"/>
    </row>
    <row r="83" spans="1:14" ht="57.75" x14ac:dyDescent="0.2">
      <c r="A83" s="7" t="s">
        <v>160</v>
      </c>
      <c r="B83" s="12" t="s">
        <v>161</v>
      </c>
      <c r="C83" s="31" t="s">
        <v>262</v>
      </c>
      <c r="D83" s="14" t="s">
        <v>162</v>
      </c>
      <c r="E83" s="26" t="s">
        <v>27</v>
      </c>
      <c r="F83" s="13" t="s">
        <v>163</v>
      </c>
      <c r="G83" s="14"/>
      <c r="H83" s="14"/>
      <c r="I83" s="15" t="s">
        <v>310</v>
      </c>
      <c r="J83" s="12" t="s">
        <v>33</v>
      </c>
      <c r="K83" s="12" t="s">
        <v>34</v>
      </c>
      <c r="L83" s="23">
        <v>725.9</v>
      </c>
      <c r="M83" s="21">
        <v>725.9</v>
      </c>
      <c r="N83" s="21">
        <v>725.9</v>
      </c>
    </row>
    <row r="84" spans="1:14" ht="104.25" customHeight="1" outlineLevel="1" x14ac:dyDescent="0.2">
      <c r="A84" s="11" t="s">
        <v>164</v>
      </c>
      <c r="B84" s="17" t="s">
        <v>165</v>
      </c>
      <c r="C84" s="18"/>
      <c r="D84" s="19"/>
      <c r="E84" s="19"/>
      <c r="F84" s="18"/>
      <c r="G84" s="19"/>
      <c r="H84" s="19"/>
      <c r="I84" s="70"/>
      <c r="J84" s="17"/>
      <c r="K84" s="17"/>
      <c r="L84" s="16">
        <f>SUM(L85:L87)</f>
        <v>36814.6</v>
      </c>
      <c r="M84" s="16">
        <f>SUM(M85:M87)</f>
        <v>38216.1</v>
      </c>
      <c r="N84" s="16">
        <f>SUM(N85:N87)</f>
        <v>38214.400000000001</v>
      </c>
    </row>
    <row r="85" spans="1:14" ht="87.75" customHeight="1" outlineLevel="1" x14ac:dyDescent="0.2">
      <c r="A85" s="118" t="s">
        <v>166</v>
      </c>
      <c r="B85" s="146" t="s">
        <v>167</v>
      </c>
      <c r="C85" s="120" t="s">
        <v>262</v>
      </c>
      <c r="D85" s="111" t="s">
        <v>155</v>
      </c>
      <c r="E85" s="114" t="s">
        <v>27</v>
      </c>
      <c r="F85" s="13"/>
      <c r="G85" s="14"/>
      <c r="H85" s="14"/>
      <c r="I85" s="72" t="s">
        <v>318</v>
      </c>
      <c r="J85" s="12" t="s">
        <v>46</v>
      </c>
      <c r="K85" s="12" t="s">
        <v>34</v>
      </c>
      <c r="L85" s="21">
        <f>21169.6+645</f>
        <v>21814.6</v>
      </c>
      <c r="M85" s="21">
        <f>22571.1+645</f>
        <v>23216.1</v>
      </c>
      <c r="N85" s="21">
        <f>22569.4+645</f>
        <v>23214.400000000001</v>
      </c>
    </row>
    <row r="86" spans="1:14" ht="87.75" customHeight="1" outlineLevel="1" x14ac:dyDescent="0.2">
      <c r="A86" s="119"/>
      <c r="B86" s="112"/>
      <c r="C86" s="121"/>
      <c r="D86" s="112"/>
      <c r="E86" s="112"/>
      <c r="F86" s="26"/>
      <c r="G86" s="22"/>
      <c r="H86" s="22"/>
      <c r="I86" s="72" t="s">
        <v>79</v>
      </c>
      <c r="J86" s="12" t="s">
        <v>46</v>
      </c>
      <c r="K86" s="12" t="s">
        <v>34</v>
      </c>
      <c r="L86" s="21">
        <v>10000</v>
      </c>
      <c r="M86" s="21">
        <v>10000</v>
      </c>
      <c r="N86" s="21">
        <v>10000</v>
      </c>
    </row>
    <row r="87" spans="1:14" ht="78.75" outlineLevel="1" x14ac:dyDescent="0.2">
      <c r="A87" s="96"/>
      <c r="B87" s="113"/>
      <c r="C87" s="110"/>
      <c r="D87" s="113"/>
      <c r="E87" s="113"/>
      <c r="F87" s="13"/>
      <c r="G87" s="14"/>
      <c r="H87" s="14"/>
      <c r="I87" s="15" t="s">
        <v>319</v>
      </c>
      <c r="J87" s="12" t="s">
        <v>46</v>
      </c>
      <c r="K87" s="12" t="s">
        <v>34</v>
      </c>
      <c r="L87" s="32">
        <v>5000</v>
      </c>
      <c r="M87" s="32">
        <v>5000</v>
      </c>
      <c r="N87" s="32">
        <v>5000</v>
      </c>
    </row>
    <row r="88" spans="1:14" ht="127.5" customHeight="1" x14ac:dyDescent="0.2">
      <c r="A88" s="11" t="s">
        <v>168</v>
      </c>
      <c r="B88" s="17" t="s">
        <v>169</v>
      </c>
      <c r="C88" s="18" t="s">
        <v>20</v>
      </c>
      <c r="D88" s="19" t="s">
        <v>20</v>
      </c>
      <c r="E88" s="19" t="s">
        <v>20</v>
      </c>
      <c r="F88" s="18" t="s">
        <v>20</v>
      </c>
      <c r="G88" s="19" t="s">
        <v>20</v>
      </c>
      <c r="H88" s="19" t="s">
        <v>20</v>
      </c>
      <c r="I88" s="70"/>
      <c r="J88" s="17" t="s">
        <v>20</v>
      </c>
      <c r="K88" s="17" t="s">
        <v>20</v>
      </c>
      <c r="L88" s="16">
        <f>SUM(L89+L96)</f>
        <v>1034755.8</v>
      </c>
      <c r="M88" s="16">
        <f>SUM(M89+M96)</f>
        <v>1058440.2</v>
      </c>
      <c r="N88" s="16">
        <f>SUM(N89+N96)</f>
        <v>1085234.5</v>
      </c>
    </row>
    <row r="89" spans="1:14" ht="48.75" customHeight="1" x14ac:dyDescent="0.2">
      <c r="A89" s="11" t="s">
        <v>170</v>
      </c>
      <c r="B89" s="39" t="s">
        <v>171</v>
      </c>
      <c r="C89" s="13"/>
      <c r="D89" s="14"/>
      <c r="E89" s="14"/>
      <c r="F89" s="13"/>
      <c r="G89" s="14"/>
      <c r="H89" s="14"/>
      <c r="I89" s="71" t="s">
        <v>311</v>
      </c>
      <c r="J89" s="12"/>
      <c r="K89" s="12"/>
      <c r="L89" s="16">
        <f>SUM(L91:L95)</f>
        <v>99462.8</v>
      </c>
      <c r="M89" s="16">
        <f>SUM(M91:M95)</f>
        <v>98061.6</v>
      </c>
      <c r="N89" s="16">
        <f>SUM(N91:N95)</f>
        <v>97918.900000000009</v>
      </c>
    </row>
    <row r="90" spans="1:14" x14ac:dyDescent="0.2">
      <c r="A90" s="7" t="s">
        <v>23</v>
      </c>
      <c r="B90" s="12"/>
      <c r="C90" s="13"/>
      <c r="D90" s="14"/>
      <c r="E90" s="14"/>
      <c r="F90" s="13"/>
      <c r="G90" s="14"/>
      <c r="H90" s="14"/>
      <c r="I90" s="15"/>
      <c r="J90" s="12"/>
      <c r="K90" s="12"/>
      <c r="L90" s="21"/>
      <c r="M90" s="21"/>
      <c r="N90" s="21"/>
    </row>
    <row r="91" spans="1:14" ht="44.25" customHeight="1" x14ac:dyDescent="0.2">
      <c r="A91" s="25" t="s">
        <v>172</v>
      </c>
      <c r="B91" s="6">
        <v>3102</v>
      </c>
      <c r="C91" s="31" t="s">
        <v>283</v>
      </c>
      <c r="D91" s="31" t="s">
        <v>173</v>
      </c>
      <c r="E91" s="31" t="s">
        <v>174</v>
      </c>
      <c r="F91" s="31" t="s">
        <v>284</v>
      </c>
      <c r="G91" s="31" t="s">
        <v>175</v>
      </c>
      <c r="H91" s="31" t="s">
        <v>27</v>
      </c>
      <c r="I91" s="74" t="s">
        <v>176</v>
      </c>
      <c r="J91" s="12" t="s">
        <v>34</v>
      </c>
      <c r="K91" s="12" t="s">
        <v>42</v>
      </c>
      <c r="L91" s="21">
        <f>1503.8</f>
        <v>1503.8</v>
      </c>
      <c r="M91" s="21">
        <v>1503.8</v>
      </c>
      <c r="N91" s="21">
        <v>1503.8</v>
      </c>
    </row>
    <row r="92" spans="1:14" ht="82.5" customHeight="1" x14ac:dyDescent="0.2">
      <c r="A92" s="25" t="s">
        <v>177</v>
      </c>
      <c r="B92" s="6">
        <v>3103</v>
      </c>
      <c r="C92" s="13" t="s">
        <v>178</v>
      </c>
      <c r="D92" s="14" t="s">
        <v>28</v>
      </c>
      <c r="E92" s="26" t="s">
        <v>179</v>
      </c>
      <c r="F92" s="13" t="s">
        <v>180</v>
      </c>
      <c r="G92" s="14" t="s">
        <v>181</v>
      </c>
      <c r="H92" s="26" t="s">
        <v>182</v>
      </c>
      <c r="I92" s="74" t="s">
        <v>176</v>
      </c>
      <c r="J92" s="12" t="s">
        <v>31</v>
      </c>
      <c r="K92" s="12" t="s">
        <v>33</v>
      </c>
      <c r="L92" s="21">
        <v>12.5</v>
      </c>
      <c r="M92" s="21">
        <v>154.69999999999999</v>
      </c>
      <c r="N92" s="21">
        <v>12</v>
      </c>
    </row>
    <row r="93" spans="1:14" ht="90.75" x14ac:dyDescent="0.2">
      <c r="A93" s="95" t="s">
        <v>183</v>
      </c>
      <c r="B93" s="122">
        <v>3108</v>
      </c>
      <c r="C93" s="13" t="s">
        <v>184</v>
      </c>
      <c r="D93" s="26" t="s">
        <v>185</v>
      </c>
      <c r="E93" s="26" t="s">
        <v>186</v>
      </c>
      <c r="F93" s="37" t="s">
        <v>285</v>
      </c>
      <c r="G93" s="36" t="s">
        <v>187</v>
      </c>
      <c r="H93" s="36" t="s">
        <v>27</v>
      </c>
      <c r="I93" s="74" t="s">
        <v>176</v>
      </c>
      <c r="J93" s="12" t="s">
        <v>59</v>
      </c>
      <c r="K93" s="12" t="s">
        <v>33</v>
      </c>
      <c r="L93" s="21">
        <v>40</v>
      </c>
      <c r="M93" s="21">
        <v>40</v>
      </c>
      <c r="N93" s="21">
        <v>40</v>
      </c>
    </row>
    <row r="94" spans="1:14" x14ac:dyDescent="0.2">
      <c r="A94" s="96"/>
      <c r="B94" s="110"/>
      <c r="C94" s="13"/>
      <c r="D94" s="26"/>
      <c r="E94" s="26"/>
      <c r="F94" s="37"/>
      <c r="G94" s="36"/>
      <c r="H94" s="36"/>
      <c r="I94" s="74"/>
      <c r="J94" s="12" t="s">
        <v>46</v>
      </c>
      <c r="K94" s="12" t="s">
        <v>34</v>
      </c>
      <c r="L94" s="21">
        <f>97946.5-40</f>
        <v>97906.5</v>
      </c>
      <c r="M94" s="21">
        <f>96403.1-40</f>
        <v>96363.1</v>
      </c>
      <c r="N94" s="21">
        <f>96403.1-40</f>
        <v>96363.1</v>
      </c>
    </row>
    <row r="95" spans="1:14" ht="82.5" x14ac:dyDescent="0.2">
      <c r="A95" s="25" t="s">
        <v>188</v>
      </c>
      <c r="B95" s="6">
        <v>3109</v>
      </c>
      <c r="C95" s="13" t="s">
        <v>189</v>
      </c>
      <c r="D95" s="14" t="s">
        <v>28</v>
      </c>
      <c r="E95" s="26" t="s">
        <v>190</v>
      </c>
      <c r="F95" s="37" t="s">
        <v>285</v>
      </c>
      <c r="G95" s="36" t="s">
        <v>28</v>
      </c>
      <c r="H95" s="36" t="s">
        <v>27</v>
      </c>
      <c r="I95" s="74" t="s">
        <v>176</v>
      </c>
      <c r="J95" s="12" t="s">
        <v>46</v>
      </c>
      <c r="K95" s="12" t="s">
        <v>34</v>
      </c>
      <c r="L95" s="21">
        <v>0</v>
      </c>
      <c r="M95" s="21">
        <v>0</v>
      </c>
      <c r="N95" s="21">
        <v>0</v>
      </c>
    </row>
    <row r="96" spans="1:14" ht="62.25" customHeight="1" x14ac:dyDescent="0.2">
      <c r="A96" s="40" t="s">
        <v>191</v>
      </c>
      <c r="B96" s="6">
        <v>3200</v>
      </c>
      <c r="C96" s="13"/>
      <c r="D96" s="14"/>
      <c r="E96" s="26"/>
      <c r="F96" s="31"/>
      <c r="G96" s="31"/>
      <c r="H96" s="31"/>
      <c r="I96" s="71" t="s">
        <v>286</v>
      </c>
      <c r="J96" s="12"/>
      <c r="K96" s="12"/>
      <c r="L96" s="16">
        <f>SUM(L97:L118)</f>
        <v>935293</v>
      </c>
      <c r="M96" s="16">
        <f>SUM(M97:M118)</f>
        <v>960378.6</v>
      </c>
      <c r="N96" s="16">
        <f>SUM(N97:N118)</f>
        <v>987315.6</v>
      </c>
    </row>
    <row r="97" spans="1:14" s="44" customFormat="1" ht="49.5" x14ac:dyDescent="0.2">
      <c r="A97" s="41" t="s">
        <v>192</v>
      </c>
      <c r="B97" s="42" t="s">
        <v>193</v>
      </c>
      <c r="C97" s="43" t="s">
        <v>287</v>
      </c>
      <c r="D97" s="43" t="s">
        <v>194</v>
      </c>
      <c r="E97" s="43" t="s">
        <v>195</v>
      </c>
      <c r="F97" s="31"/>
      <c r="G97" s="31"/>
      <c r="H97" s="31"/>
      <c r="I97" s="71" t="s">
        <v>308</v>
      </c>
      <c r="J97" s="12" t="s">
        <v>31</v>
      </c>
      <c r="K97" s="12" t="s">
        <v>32</v>
      </c>
      <c r="L97" s="21">
        <v>236.4</v>
      </c>
      <c r="M97" s="21">
        <v>236.4</v>
      </c>
      <c r="N97" s="21">
        <v>236.4</v>
      </c>
    </row>
    <row r="98" spans="1:14" ht="106.5" customHeight="1" x14ac:dyDescent="0.2">
      <c r="A98" s="99" t="s">
        <v>196</v>
      </c>
      <c r="B98" s="101" t="s">
        <v>197</v>
      </c>
      <c r="C98" s="13" t="s">
        <v>198</v>
      </c>
      <c r="D98" s="14" t="s">
        <v>28</v>
      </c>
      <c r="E98" s="14" t="s">
        <v>199</v>
      </c>
      <c r="F98" s="103" t="s">
        <v>200</v>
      </c>
      <c r="G98" s="36" t="s">
        <v>28</v>
      </c>
      <c r="H98" s="45">
        <v>39126</v>
      </c>
      <c r="I98" s="74" t="s">
        <v>176</v>
      </c>
      <c r="J98" s="12" t="s">
        <v>46</v>
      </c>
      <c r="K98" s="12" t="s">
        <v>42</v>
      </c>
      <c r="L98" s="21">
        <f>38837+4656.8+31039.1</f>
        <v>74532.899999999994</v>
      </c>
      <c r="M98" s="21">
        <f>38837+4656.8+31039.1</f>
        <v>74532.899999999994</v>
      </c>
      <c r="N98" s="21">
        <f>38837+4656.8+31039.1</f>
        <v>74532.899999999994</v>
      </c>
    </row>
    <row r="99" spans="1:14" ht="22.5" customHeight="1" x14ac:dyDescent="0.2">
      <c r="A99" s="99"/>
      <c r="B99" s="101"/>
      <c r="C99" s="13"/>
      <c r="D99" s="14"/>
      <c r="E99" s="14"/>
      <c r="F99" s="103"/>
      <c r="G99" s="36"/>
      <c r="H99" s="45"/>
      <c r="I99" s="74" t="s">
        <v>176</v>
      </c>
      <c r="J99" s="12" t="s">
        <v>59</v>
      </c>
      <c r="K99" s="12" t="s">
        <v>38</v>
      </c>
      <c r="L99" s="21">
        <v>5669.9</v>
      </c>
      <c r="M99" s="21">
        <v>5896.7</v>
      </c>
      <c r="N99" s="21">
        <v>6132.6</v>
      </c>
    </row>
    <row r="100" spans="1:14" ht="59.25" customHeight="1" x14ac:dyDescent="0.2">
      <c r="A100" s="99"/>
      <c r="B100" s="101"/>
      <c r="C100" s="13" t="s">
        <v>201</v>
      </c>
      <c r="D100" s="14" t="s">
        <v>202</v>
      </c>
      <c r="E100" s="26" t="s">
        <v>74</v>
      </c>
      <c r="F100" s="104"/>
      <c r="G100" s="31"/>
      <c r="H100" s="26"/>
      <c r="I100" s="74" t="s">
        <v>176</v>
      </c>
      <c r="J100" s="12" t="s">
        <v>59</v>
      </c>
      <c r="K100" s="12" t="s">
        <v>43</v>
      </c>
      <c r="L100" s="21">
        <v>5395</v>
      </c>
      <c r="M100" s="23">
        <v>5409.7</v>
      </c>
      <c r="N100" s="23">
        <v>5424.9</v>
      </c>
    </row>
    <row r="101" spans="1:14" ht="102.75" customHeight="1" x14ac:dyDescent="0.2">
      <c r="A101" s="7" t="s">
        <v>203</v>
      </c>
      <c r="B101" s="8">
        <v>3228</v>
      </c>
      <c r="C101" s="13" t="s">
        <v>204</v>
      </c>
      <c r="D101" s="14"/>
      <c r="E101" s="26" t="s">
        <v>205</v>
      </c>
      <c r="F101" s="37" t="s">
        <v>206</v>
      </c>
      <c r="G101" s="36" t="s">
        <v>28</v>
      </c>
      <c r="H101" s="36" t="s">
        <v>207</v>
      </c>
      <c r="I101" s="74" t="s">
        <v>176</v>
      </c>
      <c r="J101" s="12" t="s">
        <v>46</v>
      </c>
      <c r="K101" s="12" t="s">
        <v>42</v>
      </c>
      <c r="L101" s="21">
        <v>84609.9</v>
      </c>
      <c r="M101" s="21">
        <v>84609.9</v>
      </c>
      <c r="N101" s="21">
        <v>84609.9</v>
      </c>
    </row>
    <row r="102" spans="1:14" ht="84" customHeight="1" x14ac:dyDescent="0.2">
      <c r="A102" s="105" t="s">
        <v>211</v>
      </c>
      <c r="B102" s="107">
        <v>3236</v>
      </c>
      <c r="C102" s="108" t="s">
        <v>208</v>
      </c>
      <c r="D102" s="111" t="s">
        <v>209</v>
      </c>
      <c r="E102" s="114" t="s">
        <v>210</v>
      </c>
      <c r="F102" s="115" t="s">
        <v>212</v>
      </c>
      <c r="G102" s="126" t="s">
        <v>28</v>
      </c>
      <c r="H102" s="126" t="s">
        <v>288</v>
      </c>
      <c r="I102" s="92" t="s">
        <v>176</v>
      </c>
      <c r="J102" s="12" t="s">
        <v>46</v>
      </c>
      <c r="K102" s="12" t="s">
        <v>34</v>
      </c>
      <c r="L102" s="21">
        <f>512364.8-2537.5</f>
        <v>509827.3</v>
      </c>
      <c r="M102" s="21">
        <f>532746.3-2537.5</f>
        <v>530208.80000000005</v>
      </c>
      <c r="N102" s="21">
        <f>553860.2-2537.5</f>
        <v>551322.69999999995</v>
      </c>
    </row>
    <row r="103" spans="1:14" x14ac:dyDescent="0.2">
      <c r="A103" s="105"/>
      <c r="B103" s="107"/>
      <c r="C103" s="109"/>
      <c r="D103" s="112"/>
      <c r="E103" s="109"/>
      <c r="F103" s="116"/>
      <c r="G103" s="138"/>
      <c r="H103" s="138"/>
      <c r="I103" s="93"/>
      <c r="J103" s="12" t="s">
        <v>59</v>
      </c>
      <c r="K103" s="12" t="s">
        <v>31</v>
      </c>
      <c r="L103" s="21">
        <v>1679.4</v>
      </c>
      <c r="M103" s="21">
        <v>1679.4</v>
      </c>
      <c r="N103" s="21">
        <v>1679.4</v>
      </c>
    </row>
    <row r="104" spans="1:14" x14ac:dyDescent="0.2">
      <c r="A104" s="105"/>
      <c r="B104" s="107"/>
      <c r="C104" s="109"/>
      <c r="D104" s="112"/>
      <c r="E104" s="109"/>
      <c r="F104" s="116"/>
      <c r="G104" s="138"/>
      <c r="H104" s="138"/>
      <c r="I104" s="93"/>
      <c r="J104" s="12" t="s">
        <v>59</v>
      </c>
      <c r="K104" s="12" t="s">
        <v>38</v>
      </c>
      <c r="L104" s="21">
        <v>5444.6</v>
      </c>
      <c r="M104" s="21">
        <v>5444.6</v>
      </c>
      <c r="N104" s="21">
        <v>5444.6</v>
      </c>
    </row>
    <row r="105" spans="1:14" x14ac:dyDescent="0.2">
      <c r="A105" s="105"/>
      <c r="B105" s="107"/>
      <c r="C105" s="110"/>
      <c r="D105" s="113"/>
      <c r="E105" s="110"/>
      <c r="F105" s="117"/>
      <c r="G105" s="139"/>
      <c r="H105" s="139"/>
      <c r="I105" s="94"/>
      <c r="J105" s="12" t="s">
        <v>51</v>
      </c>
      <c r="K105" s="12" t="s">
        <v>31</v>
      </c>
      <c r="L105" s="21">
        <v>909.5</v>
      </c>
      <c r="M105" s="21">
        <v>909.5</v>
      </c>
      <c r="N105" s="21">
        <v>909.5</v>
      </c>
    </row>
    <row r="106" spans="1:14" ht="75" customHeight="1" x14ac:dyDescent="0.2">
      <c r="A106" s="106"/>
      <c r="B106" s="102"/>
      <c r="C106" s="13" t="s">
        <v>204</v>
      </c>
      <c r="D106" s="14"/>
      <c r="E106" s="26" t="s">
        <v>205</v>
      </c>
      <c r="F106" s="37" t="s">
        <v>213</v>
      </c>
      <c r="G106" s="36" t="s">
        <v>28</v>
      </c>
      <c r="H106" s="36" t="s">
        <v>214</v>
      </c>
      <c r="I106" s="74" t="s">
        <v>176</v>
      </c>
      <c r="J106" s="12" t="s">
        <v>46</v>
      </c>
      <c r="K106" s="12" t="s">
        <v>42</v>
      </c>
      <c r="L106" s="21">
        <v>6308.9</v>
      </c>
      <c r="M106" s="46">
        <v>6561.2999999999993</v>
      </c>
      <c r="N106" s="46">
        <v>6823.8</v>
      </c>
    </row>
    <row r="107" spans="1:14" ht="115.5" customHeight="1" x14ac:dyDescent="0.2">
      <c r="A107" s="106"/>
      <c r="B107" s="102"/>
      <c r="C107" s="13" t="s">
        <v>215</v>
      </c>
      <c r="D107" s="14"/>
      <c r="E107" s="26" t="s">
        <v>216</v>
      </c>
      <c r="F107" s="13" t="s">
        <v>217</v>
      </c>
      <c r="G107" s="14" t="s">
        <v>28</v>
      </c>
      <c r="H107" s="26" t="s">
        <v>218</v>
      </c>
      <c r="I107" s="74" t="s">
        <v>176</v>
      </c>
      <c r="J107" s="12" t="s">
        <v>46</v>
      </c>
      <c r="K107" s="12" t="s">
        <v>67</v>
      </c>
      <c r="L107" s="21">
        <f>27970.8-8628.2</f>
        <v>19342.599999999999</v>
      </c>
      <c r="M107" s="21">
        <f>28083.3-8628.2</f>
        <v>19455.099999999999</v>
      </c>
      <c r="N107" s="21">
        <f>28179.6-8628.2</f>
        <v>19551.399999999998</v>
      </c>
    </row>
    <row r="108" spans="1:14" ht="327" customHeight="1" x14ac:dyDescent="0.2">
      <c r="A108" s="7" t="s">
        <v>219</v>
      </c>
      <c r="B108" s="8">
        <v>3237</v>
      </c>
      <c r="C108" s="13"/>
      <c r="D108" s="14"/>
      <c r="E108" s="14"/>
      <c r="F108" s="31" t="s">
        <v>220</v>
      </c>
      <c r="G108" s="31" t="s">
        <v>28</v>
      </c>
      <c r="H108" s="48">
        <v>41275</v>
      </c>
      <c r="I108" s="74" t="s">
        <v>176</v>
      </c>
      <c r="J108" s="12" t="s">
        <v>59</v>
      </c>
      <c r="K108" s="12" t="s">
        <v>38</v>
      </c>
      <c r="L108" s="21">
        <v>17832.5</v>
      </c>
      <c r="M108" s="46">
        <v>17832.5</v>
      </c>
      <c r="N108" s="46">
        <v>17832.5</v>
      </c>
    </row>
    <row r="109" spans="1:14" x14ac:dyDescent="0.2">
      <c r="A109" s="82"/>
      <c r="B109" s="83"/>
      <c r="C109" s="84"/>
      <c r="D109" s="85"/>
      <c r="E109" s="85"/>
      <c r="F109" s="86"/>
      <c r="G109" s="86"/>
      <c r="H109" s="48"/>
      <c r="I109" s="74"/>
      <c r="J109" s="12" t="s">
        <v>46</v>
      </c>
      <c r="K109" s="12" t="s">
        <v>42</v>
      </c>
      <c r="L109" s="21">
        <f>50342.1+19708.7</f>
        <v>70050.8</v>
      </c>
      <c r="M109" s="46">
        <f>52355.8+18491.6</f>
        <v>70847.399999999994</v>
      </c>
      <c r="N109" s="46">
        <f>54450.1+16896.7</f>
        <v>71346.8</v>
      </c>
    </row>
    <row r="110" spans="1:14" ht="196.5" customHeight="1" x14ac:dyDescent="0.2">
      <c r="A110" s="24" t="s">
        <v>221</v>
      </c>
      <c r="B110" s="8">
        <v>3238</v>
      </c>
      <c r="C110" s="13"/>
      <c r="D110" s="14"/>
      <c r="E110" s="14"/>
      <c r="F110" s="36" t="s">
        <v>206</v>
      </c>
      <c r="G110" s="36" t="s">
        <v>28</v>
      </c>
      <c r="H110" s="36" t="s">
        <v>207</v>
      </c>
      <c r="I110" s="74" t="s">
        <v>176</v>
      </c>
      <c r="J110" s="12" t="s">
        <v>46</v>
      </c>
      <c r="K110" s="12" t="s">
        <v>42</v>
      </c>
      <c r="L110" s="21">
        <v>113309.8</v>
      </c>
      <c r="M110" s="21">
        <v>117842.2</v>
      </c>
      <c r="N110" s="21">
        <v>122555.9</v>
      </c>
    </row>
    <row r="111" spans="1:14" ht="141" customHeight="1" x14ac:dyDescent="0.2">
      <c r="A111" s="25" t="s">
        <v>222</v>
      </c>
      <c r="B111" s="6">
        <v>3239</v>
      </c>
      <c r="C111" s="13" t="s">
        <v>223</v>
      </c>
      <c r="D111" s="14" t="s">
        <v>224</v>
      </c>
      <c r="E111" s="26" t="s">
        <v>53</v>
      </c>
      <c r="F111" s="37" t="s">
        <v>225</v>
      </c>
      <c r="G111" s="36" t="s">
        <v>28</v>
      </c>
      <c r="H111" s="36" t="s">
        <v>226</v>
      </c>
      <c r="I111" s="74" t="s">
        <v>176</v>
      </c>
      <c r="J111" s="12" t="s">
        <v>31</v>
      </c>
      <c r="K111" s="12" t="s">
        <v>42</v>
      </c>
      <c r="L111" s="21">
        <f>137.7+6222.9</f>
        <v>6360.5999999999995</v>
      </c>
      <c r="M111" s="21">
        <f t="shared" ref="M111" si="0">137.7+6222.9</f>
        <v>6360.5999999999995</v>
      </c>
      <c r="N111" s="21">
        <f>137.8+6222.9</f>
        <v>6360.7</v>
      </c>
    </row>
    <row r="112" spans="1:14" ht="59.25" customHeight="1" x14ac:dyDescent="0.2">
      <c r="A112" s="25" t="s">
        <v>227</v>
      </c>
      <c r="B112" s="6">
        <v>3240</v>
      </c>
      <c r="C112" s="13" t="s">
        <v>228</v>
      </c>
      <c r="D112" s="36" t="s">
        <v>28</v>
      </c>
      <c r="E112" s="26" t="s">
        <v>229</v>
      </c>
      <c r="F112" s="37" t="s">
        <v>289</v>
      </c>
      <c r="G112" s="36" t="s">
        <v>28</v>
      </c>
      <c r="H112" s="36" t="s">
        <v>230</v>
      </c>
      <c r="I112" s="74" t="s">
        <v>176</v>
      </c>
      <c r="J112" s="12" t="s">
        <v>46</v>
      </c>
      <c r="K112" s="12" t="s">
        <v>67</v>
      </c>
      <c r="L112" s="21">
        <v>8628.2000000000007</v>
      </c>
      <c r="M112" s="21">
        <v>8628.2000000000007</v>
      </c>
      <c r="N112" s="21">
        <v>8628.2000000000007</v>
      </c>
    </row>
    <row r="113" spans="1:16" ht="53.25" customHeight="1" x14ac:dyDescent="0.2">
      <c r="A113" s="7" t="s">
        <v>231</v>
      </c>
      <c r="B113" s="6">
        <v>3248</v>
      </c>
      <c r="C113" s="36" t="s">
        <v>290</v>
      </c>
      <c r="D113" s="36" t="s">
        <v>28</v>
      </c>
      <c r="E113" s="36" t="s">
        <v>232</v>
      </c>
      <c r="F113" s="37" t="s">
        <v>291</v>
      </c>
      <c r="G113" s="36" t="s">
        <v>28</v>
      </c>
      <c r="H113" s="36" t="s">
        <v>27</v>
      </c>
      <c r="I113" s="74" t="s">
        <v>176</v>
      </c>
      <c r="J113" s="12" t="s">
        <v>46</v>
      </c>
      <c r="K113" s="12" t="s">
        <v>34</v>
      </c>
      <c r="L113" s="21">
        <v>2537.5</v>
      </c>
      <c r="M113" s="21">
        <v>2537.5</v>
      </c>
      <c r="N113" s="21">
        <v>2537.5</v>
      </c>
    </row>
    <row r="114" spans="1:16" ht="96.75" customHeight="1" x14ac:dyDescent="0.2">
      <c r="A114" s="7" t="s">
        <v>233</v>
      </c>
      <c r="B114" s="6">
        <v>3251</v>
      </c>
      <c r="C114" s="13" t="s">
        <v>223</v>
      </c>
      <c r="D114" s="36" t="s">
        <v>28</v>
      </c>
      <c r="E114" s="26" t="s">
        <v>53</v>
      </c>
      <c r="F114" s="13" t="s">
        <v>234</v>
      </c>
      <c r="G114" s="14" t="s">
        <v>235</v>
      </c>
      <c r="H114" s="26" t="s">
        <v>236</v>
      </c>
      <c r="I114" s="74" t="s">
        <v>176</v>
      </c>
      <c r="J114" s="12" t="s">
        <v>31</v>
      </c>
      <c r="K114" s="12" t="s">
        <v>42</v>
      </c>
      <c r="L114" s="21">
        <v>1037.3</v>
      </c>
      <c r="M114" s="21">
        <v>1037.3</v>
      </c>
      <c r="N114" s="21">
        <v>1037.3</v>
      </c>
    </row>
    <row r="115" spans="1:16" ht="105" customHeight="1" x14ac:dyDescent="0.2">
      <c r="A115" s="25" t="s">
        <v>237</v>
      </c>
      <c r="B115" s="47" t="s">
        <v>238</v>
      </c>
      <c r="C115" s="13" t="s">
        <v>223</v>
      </c>
      <c r="D115" s="36" t="s">
        <v>239</v>
      </c>
      <c r="E115" s="26" t="s">
        <v>53</v>
      </c>
      <c r="F115" s="37" t="s">
        <v>285</v>
      </c>
      <c r="G115" s="36" t="s">
        <v>240</v>
      </c>
      <c r="H115" s="36" t="s">
        <v>27</v>
      </c>
      <c r="I115" s="74" t="s">
        <v>176</v>
      </c>
      <c r="J115" s="12" t="s">
        <v>33</v>
      </c>
      <c r="K115" s="12" t="s">
        <v>33</v>
      </c>
      <c r="L115" s="21">
        <v>267.39999999999998</v>
      </c>
      <c r="M115" s="21">
        <v>267.39999999999998</v>
      </c>
      <c r="N115" s="21">
        <v>267.39999999999998</v>
      </c>
    </row>
    <row r="116" spans="1:16" ht="192" customHeight="1" x14ac:dyDescent="0.2">
      <c r="A116" s="95" t="s">
        <v>292</v>
      </c>
      <c r="B116" s="47" t="s">
        <v>241</v>
      </c>
      <c r="C116" s="13" t="s">
        <v>293</v>
      </c>
      <c r="D116" s="13" t="s">
        <v>194</v>
      </c>
      <c r="E116" s="26" t="s">
        <v>242</v>
      </c>
      <c r="F116" s="31" t="s">
        <v>243</v>
      </c>
      <c r="G116" s="31" t="s">
        <v>28</v>
      </c>
      <c r="H116" s="48">
        <v>44652</v>
      </c>
      <c r="I116" s="97" t="s">
        <v>312</v>
      </c>
      <c r="J116" s="12" t="s">
        <v>67</v>
      </c>
      <c r="K116" s="12" t="s">
        <v>33</v>
      </c>
      <c r="L116" s="21">
        <v>69.2</v>
      </c>
      <c r="M116" s="21">
        <v>69.2</v>
      </c>
      <c r="N116" s="21">
        <v>69.2</v>
      </c>
    </row>
    <row r="117" spans="1:16" x14ac:dyDescent="0.2">
      <c r="A117" s="96"/>
      <c r="B117" s="50"/>
      <c r="C117" s="13"/>
      <c r="D117" s="13"/>
      <c r="E117" s="26"/>
      <c r="F117" s="31"/>
      <c r="G117" s="31"/>
      <c r="H117" s="48"/>
      <c r="I117" s="98"/>
      <c r="J117" s="12" t="s">
        <v>34</v>
      </c>
      <c r="K117" s="12" t="s">
        <v>46</v>
      </c>
      <c r="L117" s="21">
        <v>12</v>
      </c>
      <c r="M117" s="21">
        <v>12</v>
      </c>
      <c r="N117" s="21">
        <v>12</v>
      </c>
    </row>
    <row r="118" spans="1:16" ht="123.75" x14ac:dyDescent="0.2">
      <c r="A118" s="49" t="s">
        <v>244</v>
      </c>
      <c r="B118" s="50" t="s">
        <v>245</v>
      </c>
      <c r="C118" s="51" t="s">
        <v>294</v>
      </c>
      <c r="D118" s="51" t="s">
        <v>194</v>
      </c>
      <c r="E118" s="51" t="s">
        <v>246</v>
      </c>
      <c r="F118" s="52" t="s">
        <v>247</v>
      </c>
      <c r="G118" s="53" t="s">
        <v>240</v>
      </c>
      <c r="H118" s="54">
        <v>43831</v>
      </c>
      <c r="I118" s="75" t="s">
        <v>176</v>
      </c>
      <c r="J118" s="12" t="s">
        <v>33</v>
      </c>
      <c r="K118" s="12" t="s">
        <v>34</v>
      </c>
      <c r="L118" s="21">
        <v>1231.3</v>
      </c>
      <c r="M118" s="21"/>
      <c r="N118" s="21"/>
    </row>
    <row r="119" spans="1:16" ht="63" x14ac:dyDescent="0.2">
      <c r="A119" s="40" t="s">
        <v>248</v>
      </c>
      <c r="B119" s="55" t="s">
        <v>249</v>
      </c>
      <c r="C119" s="18"/>
      <c r="D119" s="19"/>
      <c r="E119" s="19"/>
      <c r="F119" s="56"/>
      <c r="G119" s="56"/>
      <c r="H119" s="56"/>
      <c r="I119" s="76"/>
      <c r="J119" s="17"/>
      <c r="K119" s="17"/>
      <c r="L119" s="16">
        <f>SUM(L120:L123)</f>
        <v>2170099.3000000003</v>
      </c>
      <c r="M119" s="16">
        <f>SUM(M120:M123)</f>
        <v>2150507.2999999998</v>
      </c>
      <c r="N119" s="16">
        <f>SUM(N120:N123)</f>
        <v>2153064.2000000002</v>
      </c>
      <c r="P119" s="90"/>
    </row>
    <row r="120" spans="1:16" ht="267" customHeight="1" x14ac:dyDescent="0.2">
      <c r="A120" s="25" t="s">
        <v>250</v>
      </c>
      <c r="B120" s="47" t="s">
        <v>251</v>
      </c>
      <c r="C120" s="13" t="s">
        <v>201</v>
      </c>
      <c r="D120" s="14" t="s">
        <v>252</v>
      </c>
      <c r="E120" s="26" t="s">
        <v>74</v>
      </c>
      <c r="F120" s="31" t="s">
        <v>253</v>
      </c>
      <c r="G120" s="31" t="s">
        <v>254</v>
      </c>
      <c r="H120" s="31" t="s">
        <v>255</v>
      </c>
      <c r="I120" s="74" t="s">
        <v>176</v>
      </c>
      <c r="J120" s="12" t="s">
        <v>59</v>
      </c>
      <c r="K120" s="12" t="s">
        <v>38</v>
      </c>
      <c r="L120" s="21">
        <f>1362795.1-5669.9-17832.5</f>
        <v>1339292.7000000002</v>
      </c>
      <c r="M120" s="21">
        <f>1363452-5896.7-17832.5</f>
        <v>1339722.8</v>
      </c>
      <c r="N120" s="21">
        <f>1365722.3-6132.6-17832.5</f>
        <v>1341757.2</v>
      </c>
      <c r="P120" s="90"/>
    </row>
    <row r="121" spans="1:16" x14ac:dyDescent="0.2">
      <c r="A121" s="25"/>
      <c r="B121" s="47"/>
      <c r="C121" s="13"/>
      <c r="D121" s="14"/>
      <c r="E121" s="26"/>
      <c r="F121" s="31"/>
      <c r="G121" s="31"/>
      <c r="H121" s="31"/>
      <c r="I121" s="74" t="s">
        <v>176</v>
      </c>
      <c r="J121" s="12" t="s">
        <v>59</v>
      </c>
      <c r="K121" s="12" t="s">
        <v>34</v>
      </c>
      <c r="L121" s="21">
        <f>19218.7+16384.9</f>
        <v>35603.600000000006</v>
      </c>
      <c r="M121" s="21">
        <f>19218.7+16384.9</f>
        <v>35603.600000000006</v>
      </c>
      <c r="N121" s="21">
        <v>35603.599999999999</v>
      </c>
      <c r="P121" s="90"/>
    </row>
    <row r="122" spans="1:16" x14ac:dyDescent="0.2">
      <c r="A122" s="99" t="s">
        <v>256</v>
      </c>
      <c r="B122" s="101" t="s">
        <v>257</v>
      </c>
      <c r="C122" s="13"/>
      <c r="D122" s="14"/>
      <c r="E122" s="14"/>
      <c r="F122" s="13"/>
      <c r="G122" s="31"/>
      <c r="H122" s="26"/>
      <c r="I122" s="38" t="s">
        <v>176</v>
      </c>
      <c r="J122" s="12" t="s">
        <v>46</v>
      </c>
      <c r="K122" s="12" t="s">
        <v>42</v>
      </c>
      <c r="L122" s="21">
        <v>376.7</v>
      </c>
      <c r="M122" s="46">
        <v>376.7</v>
      </c>
      <c r="N122" s="46">
        <v>376.7</v>
      </c>
      <c r="P122" s="91"/>
    </row>
    <row r="123" spans="1:16" ht="272.25" customHeight="1" x14ac:dyDescent="0.2">
      <c r="A123" s="100"/>
      <c r="B123" s="102"/>
      <c r="C123" s="13" t="s">
        <v>201</v>
      </c>
      <c r="D123" s="14" t="s">
        <v>252</v>
      </c>
      <c r="E123" s="26" t="s">
        <v>74</v>
      </c>
      <c r="F123" s="13" t="s">
        <v>253</v>
      </c>
      <c r="G123" s="31" t="s">
        <v>254</v>
      </c>
      <c r="H123" s="26" t="s">
        <v>255</v>
      </c>
      <c r="I123" s="38" t="s">
        <v>176</v>
      </c>
      <c r="J123" s="12" t="s">
        <v>59</v>
      </c>
      <c r="K123" s="12" t="s">
        <v>31</v>
      </c>
      <c r="L123" s="21">
        <v>794826.3</v>
      </c>
      <c r="M123" s="21">
        <v>774804.2</v>
      </c>
      <c r="N123" s="21">
        <v>775326.7</v>
      </c>
    </row>
    <row r="124" spans="1:16" s="61" customFormat="1" ht="18" customHeight="1" x14ac:dyDescent="0.15">
      <c r="A124" s="57" t="s">
        <v>258</v>
      </c>
      <c r="B124" s="58"/>
      <c r="C124" s="18"/>
      <c r="D124" s="19"/>
      <c r="E124" s="19"/>
      <c r="F124" s="18"/>
      <c r="G124" s="56"/>
      <c r="H124" s="59"/>
      <c r="I124" s="77"/>
      <c r="J124" s="17"/>
      <c r="K124" s="17"/>
      <c r="L124" s="16"/>
      <c r="M124" s="60">
        <v>150000</v>
      </c>
      <c r="N124" s="60">
        <v>330000</v>
      </c>
    </row>
    <row r="125" spans="1:16" ht="21" x14ac:dyDescent="0.2">
      <c r="A125" s="11" t="s">
        <v>259</v>
      </c>
      <c r="B125" s="39" t="s">
        <v>260</v>
      </c>
      <c r="C125" s="28"/>
      <c r="D125" s="28"/>
      <c r="E125" s="28"/>
      <c r="F125" s="28"/>
      <c r="G125" s="28"/>
      <c r="H125" s="28"/>
      <c r="I125" s="24"/>
      <c r="J125" s="8"/>
      <c r="K125" s="8"/>
      <c r="L125" s="16">
        <f>SUM(L11)</f>
        <v>8483689.5999999996</v>
      </c>
      <c r="M125" s="16">
        <f>SUM(M11)</f>
        <v>8399039.3000000007</v>
      </c>
      <c r="N125" s="16">
        <f>SUM(N11)</f>
        <v>8703957.5</v>
      </c>
    </row>
    <row r="126" spans="1:16" x14ac:dyDescent="0.2">
      <c r="A126" s="44"/>
      <c r="B126" s="5"/>
      <c r="C126" s="2"/>
      <c r="D126" s="44"/>
      <c r="E126" s="44"/>
      <c r="F126" s="2"/>
      <c r="G126" s="44"/>
      <c r="H126" s="44"/>
      <c r="I126" s="78"/>
      <c r="J126" s="5"/>
      <c r="K126" s="5"/>
      <c r="L126" s="62"/>
      <c r="M126" s="62"/>
      <c r="N126" s="62"/>
    </row>
    <row r="127" spans="1:16" x14ac:dyDescent="0.2">
      <c r="A127" s="44"/>
      <c r="B127" s="5"/>
      <c r="C127" s="2"/>
      <c r="D127" s="44"/>
      <c r="E127" s="44"/>
      <c r="F127" s="2"/>
      <c r="G127" s="44"/>
      <c r="H127" s="44"/>
      <c r="I127" s="78"/>
      <c r="J127" s="5"/>
      <c r="K127" s="5"/>
      <c r="L127" s="62"/>
      <c r="M127" s="62"/>
      <c r="N127" s="62"/>
    </row>
    <row r="128" spans="1:16" x14ac:dyDescent="0.2">
      <c r="A128" s="44"/>
      <c r="B128" s="5"/>
      <c r="C128" s="2"/>
      <c r="D128" s="44"/>
      <c r="E128" s="44"/>
      <c r="F128" s="2"/>
      <c r="G128" s="44"/>
      <c r="H128" s="44"/>
      <c r="I128" s="78"/>
      <c r="J128" s="5"/>
      <c r="K128" s="5"/>
      <c r="L128" s="62"/>
      <c r="M128" s="62"/>
      <c r="N128" s="62"/>
    </row>
    <row r="129" spans="1:14" x14ac:dyDescent="0.2">
      <c r="A129" s="44"/>
      <c r="B129" s="5"/>
      <c r="C129" s="2"/>
      <c r="D129" s="44"/>
      <c r="E129" s="44"/>
      <c r="F129" s="2"/>
      <c r="G129" s="44"/>
      <c r="H129" s="44"/>
      <c r="I129" s="78"/>
      <c r="J129" s="5"/>
      <c r="K129" s="5"/>
      <c r="L129" s="62"/>
      <c r="M129" s="62"/>
      <c r="N129" s="62"/>
    </row>
    <row r="130" spans="1:14" x14ac:dyDescent="0.2">
      <c r="A130" s="44"/>
      <c r="B130" s="5"/>
      <c r="C130" s="2"/>
      <c r="D130" s="44"/>
      <c r="E130" s="44"/>
      <c r="F130" s="2"/>
      <c r="G130" s="44"/>
      <c r="H130" s="44"/>
      <c r="I130" s="78"/>
      <c r="J130" s="5"/>
      <c r="K130" s="5"/>
      <c r="L130" s="62"/>
      <c r="M130" s="62"/>
      <c r="N130" s="62"/>
    </row>
    <row r="131" spans="1:14" x14ac:dyDescent="0.2">
      <c r="A131" s="44"/>
      <c r="B131" s="5"/>
      <c r="C131" s="2"/>
      <c r="D131" s="44"/>
      <c r="E131" s="44"/>
      <c r="F131" s="2"/>
      <c r="G131" s="44"/>
      <c r="H131" s="44"/>
      <c r="I131" s="78"/>
      <c r="J131" s="5"/>
      <c r="K131" s="5"/>
      <c r="L131" s="62"/>
      <c r="M131" s="62"/>
      <c r="N131" s="62"/>
    </row>
    <row r="132" spans="1:14" x14ac:dyDescent="0.2">
      <c r="A132" s="44"/>
      <c r="B132" s="5"/>
      <c r="C132" s="2"/>
      <c r="D132" s="44"/>
      <c r="E132" s="44"/>
      <c r="F132" s="2"/>
      <c r="G132" s="44"/>
      <c r="H132" s="44"/>
      <c r="I132" s="78"/>
      <c r="J132" s="5"/>
      <c r="K132" s="5"/>
      <c r="L132" s="62"/>
      <c r="M132" s="62"/>
      <c r="N132" s="62"/>
    </row>
    <row r="133" spans="1:14" x14ac:dyDescent="0.2">
      <c r="A133" s="44"/>
      <c r="B133" s="5"/>
      <c r="C133" s="2"/>
      <c r="D133" s="44"/>
      <c r="E133" s="44"/>
      <c r="F133" s="2"/>
      <c r="G133" s="44"/>
      <c r="H133" s="44"/>
      <c r="I133" s="78"/>
      <c r="J133" s="5"/>
      <c r="K133" s="5"/>
      <c r="L133" s="62"/>
      <c r="M133" s="62"/>
      <c r="N133" s="62"/>
    </row>
    <row r="134" spans="1:14" x14ac:dyDescent="0.2">
      <c r="A134" s="44"/>
      <c r="B134" s="5"/>
      <c r="C134" s="2"/>
      <c r="D134" s="44"/>
      <c r="E134" s="44"/>
      <c r="F134" s="2"/>
      <c r="G134" s="44"/>
      <c r="H134" s="44"/>
      <c r="I134" s="78"/>
      <c r="J134" s="5"/>
      <c r="K134" s="5"/>
      <c r="L134" s="62"/>
      <c r="M134" s="62"/>
      <c r="N134" s="62"/>
    </row>
    <row r="135" spans="1:14" x14ac:dyDescent="0.2">
      <c r="A135" s="44"/>
      <c r="B135" s="5"/>
      <c r="C135" s="2"/>
      <c r="D135" s="44"/>
      <c r="E135" s="44"/>
      <c r="F135" s="2"/>
      <c r="G135" s="44"/>
      <c r="H135" s="44"/>
      <c r="I135" s="78"/>
      <c r="J135" s="5"/>
      <c r="K135" s="5"/>
      <c r="L135" s="62"/>
      <c r="M135" s="62"/>
      <c r="N135" s="62"/>
    </row>
    <row r="136" spans="1:14" x14ac:dyDescent="0.2">
      <c r="A136" s="44"/>
      <c r="B136" s="5"/>
      <c r="C136" s="2"/>
      <c r="D136" s="44"/>
      <c r="E136" s="44"/>
      <c r="F136" s="2"/>
      <c r="G136" s="44"/>
      <c r="H136" s="44"/>
      <c r="I136" s="78"/>
      <c r="J136" s="5"/>
      <c r="K136" s="5"/>
      <c r="L136" s="62"/>
      <c r="M136" s="62"/>
      <c r="N136" s="62"/>
    </row>
    <row r="137" spans="1:14" x14ac:dyDescent="0.2">
      <c r="A137" s="44"/>
      <c r="B137" s="5"/>
      <c r="C137" s="2"/>
      <c r="D137" s="44"/>
      <c r="E137" s="44"/>
      <c r="F137" s="2"/>
      <c r="G137" s="44"/>
      <c r="H137" s="44"/>
      <c r="I137" s="78"/>
      <c r="J137" s="5"/>
      <c r="K137" s="5"/>
      <c r="L137" s="62"/>
      <c r="M137" s="62"/>
      <c r="N137" s="62"/>
    </row>
    <row r="138" spans="1:14" x14ac:dyDescent="0.2">
      <c r="A138" s="44"/>
      <c r="B138" s="5"/>
      <c r="C138" s="2"/>
      <c r="D138" s="44"/>
      <c r="E138" s="44"/>
      <c r="F138" s="2"/>
      <c r="G138" s="44"/>
      <c r="H138" s="44"/>
      <c r="I138" s="78"/>
      <c r="J138" s="5"/>
      <c r="K138" s="5"/>
      <c r="L138" s="62"/>
      <c r="M138" s="62"/>
      <c r="N138" s="62"/>
    </row>
    <row r="139" spans="1:14" x14ac:dyDescent="0.2">
      <c r="A139" s="44"/>
      <c r="B139" s="5"/>
      <c r="C139" s="2"/>
      <c r="D139" s="44"/>
      <c r="E139" s="44"/>
      <c r="F139" s="2"/>
      <c r="G139" s="44"/>
      <c r="H139" s="44"/>
      <c r="I139" s="78"/>
      <c r="J139" s="5"/>
      <c r="K139" s="5"/>
      <c r="L139" s="62"/>
      <c r="M139" s="62"/>
      <c r="N139" s="62"/>
    </row>
    <row r="140" spans="1:14" x14ac:dyDescent="0.2">
      <c r="A140" s="44"/>
      <c r="B140" s="5"/>
      <c r="C140" s="2"/>
      <c r="D140" s="44"/>
      <c r="E140" s="44"/>
      <c r="F140" s="2"/>
      <c r="G140" s="44"/>
      <c r="H140" s="44"/>
      <c r="I140" s="78"/>
      <c r="J140" s="5"/>
      <c r="K140" s="5"/>
      <c r="L140" s="62"/>
      <c r="M140" s="62"/>
      <c r="N140" s="62"/>
    </row>
    <row r="141" spans="1:14" x14ac:dyDescent="0.2">
      <c r="A141" s="44"/>
      <c r="B141" s="5"/>
      <c r="C141" s="2"/>
      <c r="D141" s="44"/>
      <c r="E141" s="44"/>
      <c r="F141" s="2"/>
      <c r="G141" s="44"/>
      <c r="H141" s="44"/>
      <c r="I141" s="78"/>
      <c r="J141" s="5"/>
      <c r="K141" s="5"/>
      <c r="L141" s="62"/>
      <c r="M141" s="62"/>
      <c r="N141" s="62"/>
    </row>
    <row r="142" spans="1:14" x14ac:dyDescent="0.2">
      <c r="A142" s="44"/>
      <c r="B142" s="5"/>
      <c r="C142" s="2"/>
      <c r="D142" s="44"/>
      <c r="E142" s="44"/>
      <c r="F142" s="2"/>
      <c r="G142" s="44"/>
      <c r="H142" s="44"/>
      <c r="I142" s="78"/>
      <c r="J142" s="5"/>
      <c r="K142" s="5"/>
      <c r="L142" s="62"/>
      <c r="M142" s="62"/>
      <c r="N142" s="62"/>
    </row>
    <row r="143" spans="1:14" x14ac:dyDescent="0.2">
      <c r="A143" s="44"/>
      <c r="B143" s="5"/>
      <c r="C143" s="2"/>
      <c r="D143" s="44"/>
      <c r="E143" s="44"/>
      <c r="F143" s="2"/>
      <c r="G143" s="44"/>
      <c r="H143" s="44"/>
      <c r="I143" s="78"/>
      <c r="J143" s="5"/>
      <c r="K143" s="5"/>
      <c r="L143" s="62"/>
      <c r="M143" s="62"/>
      <c r="N143" s="62"/>
    </row>
    <row r="144" spans="1:14" x14ac:dyDescent="0.2">
      <c r="A144" s="44"/>
      <c r="B144" s="5"/>
      <c r="C144" s="2"/>
      <c r="D144" s="44"/>
      <c r="E144" s="44"/>
      <c r="F144" s="2"/>
      <c r="G144" s="44"/>
      <c r="H144" s="44"/>
      <c r="I144" s="78"/>
      <c r="J144" s="5"/>
      <c r="K144" s="5"/>
      <c r="L144" s="62"/>
      <c r="M144" s="62"/>
      <c r="N144" s="62"/>
    </row>
    <row r="145" spans="1:14" x14ac:dyDescent="0.2">
      <c r="A145" s="44"/>
      <c r="B145" s="5"/>
      <c r="C145" s="2"/>
      <c r="D145" s="44"/>
      <c r="E145" s="44"/>
      <c r="F145" s="2"/>
      <c r="G145" s="44"/>
      <c r="H145" s="44"/>
      <c r="I145" s="78"/>
      <c r="J145" s="5"/>
      <c r="K145" s="5"/>
      <c r="L145" s="62"/>
      <c r="M145" s="62"/>
      <c r="N145" s="62"/>
    </row>
    <row r="146" spans="1:14" x14ac:dyDescent="0.2">
      <c r="A146" s="44"/>
      <c r="B146" s="5"/>
      <c r="C146" s="2"/>
      <c r="D146" s="44"/>
      <c r="E146" s="44"/>
      <c r="F146" s="2"/>
      <c r="G146" s="44"/>
      <c r="H146" s="44"/>
      <c r="I146" s="78"/>
      <c r="J146" s="5"/>
      <c r="K146" s="5"/>
      <c r="L146" s="62"/>
      <c r="M146" s="62"/>
      <c r="N146" s="62"/>
    </row>
    <row r="147" spans="1:14" x14ac:dyDescent="0.2">
      <c r="A147" s="44"/>
      <c r="B147" s="5"/>
      <c r="C147" s="2"/>
      <c r="D147" s="44"/>
      <c r="E147" s="44"/>
      <c r="F147" s="2"/>
      <c r="G147" s="44"/>
      <c r="H147" s="44"/>
      <c r="I147" s="78"/>
      <c r="J147" s="5"/>
      <c r="K147" s="5"/>
      <c r="L147" s="62"/>
      <c r="M147" s="62"/>
      <c r="N147" s="62"/>
    </row>
    <row r="148" spans="1:14" x14ac:dyDescent="0.2">
      <c r="A148" s="44"/>
      <c r="B148" s="5"/>
      <c r="C148" s="2"/>
      <c r="D148" s="44"/>
      <c r="E148" s="44"/>
      <c r="F148" s="2"/>
      <c r="G148" s="44"/>
      <c r="H148" s="44"/>
      <c r="I148" s="78"/>
      <c r="J148" s="5"/>
      <c r="K148" s="5"/>
      <c r="L148" s="62"/>
      <c r="M148" s="62"/>
      <c r="N148" s="62"/>
    </row>
    <row r="149" spans="1:14" x14ac:dyDescent="0.2">
      <c r="A149" s="44"/>
      <c r="B149" s="5"/>
      <c r="C149" s="2"/>
      <c r="D149" s="44"/>
      <c r="E149" s="44"/>
      <c r="F149" s="2"/>
      <c r="G149" s="44"/>
      <c r="H149" s="44"/>
      <c r="I149" s="78"/>
      <c r="J149" s="5"/>
      <c r="K149" s="5"/>
      <c r="L149" s="62"/>
      <c r="M149" s="62"/>
      <c r="N149" s="62"/>
    </row>
    <row r="150" spans="1:14" x14ac:dyDescent="0.2">
      <c r="A150" s="44"/>
      <c r="B150" s="5"/>
      <c r="C150" s="2"/>
      <c r="D150" s="44"/>
      <c r="E150" s="44"/>
      <c r="F150" s="2"/>
      <c r="G150" s="44"/>
      <c r="H150" s="44"/>
      <c r="I150" s="78"/>
      <c r="J150" s="5"/>
      <c r="K150" s="5"/>
      <c r="L150" s="62"/>
      <c r="M150" s="62"/>
      <c r="N150" s="62"/>
    </row>
    <row r="151" spans="1:14" x14ac:dyDescent="0.2">
      <c r="A151" s="44"/>
      <c r="B151" s="5"/>
      <c r="C151" s="2"/>
      <c r="D151" s="44"/>
      <c r="E151" s="44"/>
      <c r="F151" s="2"/>
      <c r="G151" s="44"/>
      <c r="H151" s="44"/>
      <c r="I151" s="78"/>
      <c r="J151" s="5"/>
      <c r="K151" s="5"/>
      <c r="L151" s="62"/>
      <c r="M151" s="62"/>
      <c r="N151" s="62"/>
    </row>
    <row r="152" spans="1:14" x14ac:dyDescent="0.2">
      <c r="A152" s="44"/>
      <c r="B152" s="5"/>
      <c r="C152" s="2"/>
      <c r="D152" s="44"/>
      <c r="E152" s="44"/>
      <c r="F152" s="2"/>
      <c r="G152" s="44"/>
      <c r="H152" s="44"/>
      <c r="I152" s="78"/>
      <c r="J152" s="5"/>
      <c r="K152" s="5"/>
      <c r="L152" s="62"/>
      <c r="M152" s="62"/>
      <c r="N152" s="62"/>
    </row>
    <row r="153" spans="1:14" x14ac:dyDescent="0.2">
      <c r="A153" s="44"/>
      <c r="B153" s="5"/>
      <c r="C153" s="2"/>
      <c r="D153" s="44"/>
      <c r="E153" s="44"/>
      <c r="F153" s="2"/>
      <c r="G153" s="44"/>
      <c r="H153" s="44"/>
      <c r="I153" s="78"/>
      <c r="J153" s="5"/>
      <c r="K153" s="5"/>
      <c r="L153" s="62"/>
      <c r="M153" s="62"/>
      <c r="N153" s="62"/>
    </row>
    <row r="154" spans="1:14" x14ac:dyDescent="0.2">
      <c r="A154" s="44"/>
      <c r="B154" s="5"/>
      <c r="C154" s="2"/>
      <c r="D154" s="44"/>
      <c r="E154" s="44"/>
      <c r="F154" s="2"/>
      <c r="G154" s="44"/>
      <c r="H154" s="44"/>
      <c r="I154" s="78"/>
      <c r="J154" s="5"/>
      <c r="K154" s="5"/>
      <c r="L154" s="62"/>
      <c r="M154" s="62"/>
      <c r="N154" s="62"/>
    </row>
    <row r="155" spans="1:14" x14ac:dyDescent="0.2">
      <c r="A155" s="44"/>
      <c r="B155" s="5"/>
      <c r="C155" s="2"/>
      <c r="D155" s="44"/>
      <c r="E155" s="44"/>
      <c r="F155" s="2"/>
      <c r="G155" s="44"/>
      <c r="H155" s="44"/>
      <c r="I155" s="78"/>
      <c r="J155" s="5"/>
      <c r="K155" s="5"/>
      <c r="L155" s="62"/>
      <c r="M155" s="62"/>
      <c r="N155" s="62"/>
    </row>
    <row r="156" spans="1:14" x14ac:dyDescent="0.2">
      <c r="A156" s="44"/>
      <c r="B156" s="5"/>
      <c r="C156" s="2"/>
      <c r="D156" s="44"/>
      <c r="E156" s="44"/>
      <c r="F156" s="2"/>
      <c r="G156" s="44"/>
      <c r="H156" s="44"/>
      <c r="I156" s="78"/>
      <c r="J156" s="5"/>
      <c r="K156" s="5"/>
      <c r="L156" s="62"/>
      <c r="M156" s="62"/>
      <c r="N156" s="62"/>
    </row>
    <row r="157" spans="1:14" x14ac:dyDescent="0.2">
      <c r="A157" s="44"/>
      <c r="B157" s="5"/>
      <c r="C157" s="2"/>
      <c r="D157" s="44"/>
      <c r="E157" s="44"/>
      <c r="F157" s="2"/>
      <c r="G157" s="44"/>
      <c r="H157" s="44"/>
      <c r="I157" s="78"/>
      <c r="J157" s="5"/>
      <c r="K157" s="5"/>
      <c r="L157" s="62"/>
      <c r="M157" s="62"/>
      <c r="N157" s="62"/>
    </row>
    <row r="158" spans="1:14" x14ac:dyDescent="0.2">
      <c r="A158" s="44"/>
      <c r="B158" s="5"/>
      <c r="C158" s="2"/>
      <c r="D158" s="44"/>
      <c r="E158" s="44"/>
      <c r="F158" s="2"/>
      <c r="G158" s="44"/>
      <c r="H158" s="44"/>
      <c r="I158" s="78"/>
      <c r="J158" s="5"/>
      <c r="K158" s="5"/>
      <c r="L158" s="62"/>
      <c r="M158" s="62"/>
      <c r="N158" s="62"/>
    </row>
    <row r="159" spans="1:14" x14ac:dyDescent="0.2">
      <c r="A159" s="44"/>
      <c r="B159" s="5"/>
      <c r="C159" s="2"/>
      <c r="D159" s="44"/>
      <c r="E159" s="44"/>
      <c r="F159" s="2"/>
      <c r="G159" s="44"/>
      <c r="H159" s="44"/>
      <c r="I159" s="78"/>
      <c r="J159" s="5"/>
      <c r="K159" s="5"/>
      <c r="L159" s="62"/>
      <c r="M159" s="62"/>
      <c r="N159" s="62"/>
    </row>
    <row r="160" spans="1:14" x14ac:dyDescent="0.2">
      <c r="A160" s="44"/>
      <c r="B160" s="5"/>
      <c r="C160" s="2"/>
      <c r="D160" s="44"/>
      <c r="E160" s="44"/>
      <c r="F160" s="2"/>
      <c r="G160" s="44"/>
      <c r="H160" s="44"/>
      <c r="I160" s="78"/>
      <c r="J160" s="5"/>
      <c r="K160" s="5"/>
      <c r="L160" s="62"/>
      <c r="M160" s="62"/>
      <c r="N160" s="62"/>
    </row>
    <row r="161" spans="1:14" x14ac:dyDescent="0.2">
      <c r="A161" s="44"/>
      <c r="B161" s="5"/>
      <c r="C161" s="2"/>
      <c r="D161" s="44"/>
      <c r="E161" s="44"/>
      <c r="F161" s="2"/>
      <c r="G161" s="44"/>
      <c r="H161" s="44"/>
      <c r="I161" s="78"/>
      <c r="J161" s="5"/>
      <c r="K161" s="5"/>
      <c r="L161" s="62"/>
      <c r="M161" s="62"/>
      <c r="N161" s="62"/>
    </row>
    <row r="162" spans="1:14" x14ac:dyDescent="0.2">
      <c r="A162" s="44"/>
      <c r="B162" s="5"/>
      <c r="C162" s="2"/>
      <c r="D162" s="44"/>
      <c r="E162" s="44"/>
      <c r="F162" s="2"/>
      <c r="G162" s="44"/>
      <c r="H162" s="44"/>
      <c r="I162" s="78"/>
      <c r="J162" s="5"/>
      <c r="K162" s="5"/>
      <c r="L162" s="62"/>
      <c r="M162" s="62"/>
      <c r="N162" s="62"/>
    </row>
    <row r="163" spans="1:14" x14ac:dyDescent="0.2">
      <c r="A163" s="44"/>
      <c r="B163" s="5"/>
      <c r="C163" s="2"/>
      <c r="D163" s="44"/>
      <c r="E163" s="44"/>
      <c r="F163" s="2"/>
      <c r="G163" s="44"/>
      <c r="H163" s="44"/>
      <c r="I163" s="78"/>
      <c r="J163" s="5"/>
      <c r="K163" s="5"/>
      <c r="L163" s="62"/>
      <c r="M163" s="62"/>
      <c r="N163" s="62"/>
    </row>
    <row r="164" spans="1:14" x14ac:dyDescent="0.2">
      <c r="A164" s="44"/>
      <c r="B164" s="5"/>
      <c r="C164" s="2"/>
      <c r="D164" s="44"/>
      <c r="E164" s="44"/>
      <c r="F164" s="2"/>
      <c r="G164" s="44"/>
      <c r="H164" s="44"/>
      <c r="I164" s="78"/>
      <c r="J164" s="5"/>
      <c r="K164" s="5"/>
      <c r="L164" s="62"/>
      <c r="M164" s="62"/>
      <c r="N164" s="62"/>
    </row>
    <row r="166" spans="1:14" x14ac:dyDescent="0.2">
      <c r="L166" s="68" t="e">
        <f>L24+L58+L85+#REF!+L87+L94+L95+L102+L113</f>
        <v>#REF!</v>
      </c>
      <c r="M166" s="68" t="e">
        <f>M24+M58+M85+#REF!+M87+M94+M95+M102+M113</f>
        <v>#REF!</v>
      </c>
      <c r="N166" s="68" t="e">
        <f>N24+N58+N85+#REF!+N87+N94+N95+N102+N113</f>
        <v>#REF!</v>
      </c>
    </row>
    <row r="168" spans="1:14" x14ac:dyDescent="0.2">
      <c r="L168" s="4">
        <v>750926.7</v>
      </c>
      <c r="M168" s="4">
        <v>805816.40000000014</v>
      </c>
      <c r="N168" s="4">
        <v>844938.89999999991</v>
      </c>
    </row>
    <row r="170" spans="1:14" x14ac:dyDescent="0.2">
      <c r="L170" s="68" t="e">
        <f>L168-L166</f>
        <v>#REF!</v>
      </c>
      <c r="M170" s="68" t="e">
        <f t="shared" ref="M170:N170" si="1">M168-M166</f>
        <v>#REF!</v>
      </c>
      <c r="N170" s="68" t="e">
        <f t="shared" si="1"/>
        <v>#REF!</v>
      </c>
    </row>
    <row r="172" spans="1:14" x14ac:dyDescent="0.2">
      <c r="L172" s="68" t="e">
        <f>L21+L31+L33+L98+#REF!+L101+L106+L108+L110+L122</f>
        <v>#REF!</v>
      </c>
      <c r="M172" s="68" t="e">
        <f>M21+M31+M33+M98+#REF!+M101+M106+M108+M110+M122</f>
        <v>#REF!</v>
      </c>
      <c r="N172" s="68" t="e">
        <f>N21+N31+N33+N98+#REF!+N101+N106+N108+N110+N122</f>
        <v>#REF!</v>
      </c>
    </row>
    <row r="173" spans="1:14" x14ac:dyDescent="0.2">
      <c r="L173" s="4">
        <v>333879.5</v>
      </c>
      <c r="M173" s="4">
        <v>337164</v>
      </c>
      <c r="N173" s="4">
        <v>346492.19999999995</v>
      </c>
    </row>
    <row r="175" spans="1:14" x14ac:dyDescent="0.2">
      <c r="L175" s="68" t="e">
        <f>L173-L172</f>
        <v>#REF!</v>
      </c>
      <c r="M175" s="68" t="e">
        <f t="shared" ref="M175:N175" si="2">M173-M172</f>
        <v>#REF!</v>
      </c>
      <c r="N175" s="68" t="e">
        <f t="shared" si="2"/>
        <v>#REF!</v>
      </c>
    </row>
    <row r="177" spans="1:14" x14ac:dyDescent="0.2">
      <c r="L177" s="68">
        <f>L72+L77+L112+L107</f>
        <v>176313.80000000002</v>
      </c>
      <c r="M177" s="68">
        <f>M72+M77+M112+M107</f>
        <v>218915.50000000003</v>
      </c>
      <c r="N177" s="68">
        <f>N72+N77+N112+N107</f>
        <v>248742.80000000002</v>
      </c>
    </row>
    <row r="178" spans="1:14" x14ac:dyDescent="0.2">
      <c r="A178" s="5"/>
      <c r="B178" s="5"/>
      <c r="C178" s="5"/>
      <c r="D178" s="5"/>
      <c r="E178" s="5"/>
      <c r="F178" s="5"/>
      <c r="G178" s="5"/>
      <c r="H178" s="5"/>
      <c r="I178" s="5"/>
      <c r="J178" s="5"/>
      <c r="K178" s="5"/>
      <c r="L178" s="4">
        <v>176272.09999999998</v>
      </c>
      <c r="M178" s="4">
        <v>74914.799999999988</v>
      </c>
      <c r="N178" s="4">
        <v>177991</v>
      </c>
    </row>
    <row r="179" spans="1:14" x14ac:dyDescent="0.2">
      <c r="A179" s="5"/>
      <c r="B179" s="5"/>
      <c r="C179" s="5"/>
      <c r="D179" s="5"/>
      <c r="E179" s="5"/>
      <c r="F179" s="5"/>
      <c r="G179" s="5"/>
      <c r="H179" s="5"/>
      <c r="I179" s="5"/>
      <c r="J179" s="5"/>
      <c r="K179" s="5"/>
      <c r="L179" s="68">
        <f>L178-L177</f>
        <v>-41.700000000040745</v>
      </c>
      <c r="M179" s="69">
        <f t="shared" ref="M179:N179" si="3">M178-M177</f>
        <v>-144000.70000000004</v>
      </c>
      <c r="N179" s="69">
        <f t="shared" si="3"/>
        <v>-70751.800000000017</v>
      </c>
    </row>
  </sheetData>
  <mergeCells count="134">
    <mergeCell ref="A3:N3"/>
    <mergeCell ref="A5:A9"/>
    <mergeCell ref="B5:B9"/>
    <mergeCell ref="C5:I5"/>
    <mergeCell ref="J5:K6"/>
    <mergeCell ref="L5:N5"/>
    <mergeCell ref="C6:E6"/>
    <mergeCell ref="F6:H6"/>
    <mergeCell ref="L6:L7"/>
    <mergeCell ref="M6:N7"/>
    <mergeCell ref="C7:C9"/>
    <mergeCell ref="D7:D9"/>
    <mergeCell ref="E7:E9"/>
    <mergeCell ref="F7:F9"/>
    <mergeCell ref="G7:G9"/>
    <mergeCell ref="H7:H9"/>
    <mergeCell ref="I7:I9"/>
    <mergeCell ref="J7:J9"/>
    <mergeCell ref="K7:K9"/>
    <mergeCell ref="L8:L9"/>
    <mergeCell ref="M8:M9"/>
    <mergeCell ref="N8:N9"/>
    <mergeCell ref="A14:A16"/>
    <mergeCell ref="B14:B16"/>
    <mergeCell ref="C14:C16"/>
    <mergeCell ref="D14:D16"/>
    <mergeCell ref="E14:E16"/>
    <mergeCell ref="F14:F16"/>
    <mergeCell ref="A28:A29"/>
    <mergeCell ref="B28:B29"/>
    <mergeCell ref="H17:H18"/>
    <mergeCell ref="G14:G16"/>
    <mergeCell ref="H14:H16"/>
    <mergeCell ref="I14:I16"/>
    <mergeCell ref="A17:A18"/>
    <mergeCell ref="B17:B18"/>
    <mergeCell ref="C17:C18"/>
    <mergeCell ref="D17:D18"/>
    <mergeCell ref="E17:E18"/>
    <mergeCell ref="F17:F18"/>
    <mergeCell ref="G17:G18"/>
    <mergeCell ref="A20:A21"/>
    <mergeCell ref="B20:B21"/>
    <mergeCell ref="A23:A24"/>
    <mergeCell ref="B23:B24"/>
    <mergeCell ref="G102:G105"/>
    <mergeCell ref="H102:H105"/>
    <mergeCell ref="A73:A74"/>
    <mergeCell ref="B73:B74"/>
    <mergeCell ref="C73:C74"/>
    <mergeCell ref="D73:D74"/>
    <mergeCell ref="A55:A56"/>
    <mergeCell ref="B55:B56"/>
    <mergeCell ref="A43:A46"/>
    <mergeCell ref="B43:B46"/>
    <mergeCell ref="F43:F46"/>
    <mergeCell ref="A41:A42"/>
    <mergeCell ref="B41:B42"/>
    <mergeCell ref="A37:A38"/>
    <mergeCell ref="A32:A33"/>
    <mergeCell ref="B32:B33"/>
    <mergeCell ref="B85:B87"/>
    <mergeCell ref="G43:G46"/>
    <mergeCell ref="H43:H46"/>
    <mergeCell ref="C44:C46"/>
    <mergeCell ref="D44:D46"/>
    <mergeCell ref="E44:E46"/>
    <mergeCell ref="I28:I29"/>
    <mergeCell ref="A30:A31"/>
    <mergeCell ref="B30:B31"/>
    <mergeCell ref="C32:C33"/>
    <mergeCell ref="D32:D33"/>
    <mergeCell ref="E32:E33"/>
    <mergeCell ref="F32:F33"/>
    <mergeCell ref="G32:G33"/>
    <mergeCell ref="H32:H33"/>
    <mergeCell ref="I32:I33"/>
    <mergeCell ref="C28:C29"/>
    <mergeCell ref="I44:I46"/>
    <mergeCell ref="B37:B38"/>
    <mergeCell ref="I37:I38"/>
    <mergeCell ref="A39:A40"/>
    <mergeCell ref="B39:B40"/>
    <mergeCell ref="F39:F40"/>
    <mergeCell ref="G39:G40"/>
    <mergeCell ref="H39:H40"/>
    <mergeCell ref="H55:H56"/>
    <mergeCell ref="C39:C40"/>
    <mergeCell ref="A58:A59"/>
    <mergeCell ref="B58:B59"/>
    <mergeCell ref="C58:C59"/>
    <mergeCell ref="I58:I59"/>
    <mergeCell ref="A63:A72"/>
    <mergeCell ref="B63:B72"/>
    <mergeCell ref="F63:F64"/>
    <mergeCell ref="A48:A49"/>
    <mergeCell ref="B48:B49"/>
    <mergeCell ref="A50:A51"/>
    <mergeCell ref="B50:B51"/>
    <mergeCell ref="F55:F56"/>
    <mergeCell ref="G55:G56"/>
    <mergeCell ref="I52:I53"/>
    <mergeCell ref="A52:A53"/>
    <mergeCell ref="B52:B53"/>
    <mergeCell ref="C52:C53"/>
    <mergeCell ref="D52:D53"/>
    <mergeCell ref="E52:E53"/>
    <mergeCell ref="F52:F53"/>
    <mergeCell ref="A85:A87"/>
    <mergeCell ref="C85:C87"/>
    <mergeCell ref="A93:A94"/>
    <mergeCell ref="B93:B94"/>
    <mergeCell ref="A98:A100"/>
    <mergeCell ref="B98:B100"/>
    <mergeCell ref="E73:E74"/>
    <mergeCell ref="F73:F74"/>
    <mergeCell ref="G73:G74"/>
    <mergeCell ref="A75:A77"/>
    <mergeCell ref="B75:B77"/>
    <mergeCell ref="C75:C77"/>
    <mergeCell ref="D85:D87"/>
    <mergeCell ref="E85:E87"/>
    <mergeCell ref="I102:I105"/>
    <mergeCell ref="A116:A117"/>
    <mergeCell ref="I116:I117"/>
    <mergeCell ref="A122:A123"/>
    <mergeCell ref="B122:B123"/>
    <mergeCell ref="F98:F100"/>
    <mergeCell ref="A102:A107"/>
    <mergeCell ref="B102:B107"/>
    <mergeCell ref="C102:C105"/>
    <mergeCell ref="D102:D105"/>
    <mergeCell ref="E102:E105"/>
    <mergeCell ref="F102:F105"/>
  </mergeCells>
  <pageMargins left="0.39370078740157483" right="0.31496062992125984" top="0.55118110236220474" bottom="0.15748031496062992" header="0.19685039370078741" footer="0.15748031496062992"/>
  <pageSetup paperSize="9" scale="77" fitToHeight="14" orientation="landscape" r:id="rId1"/>
  <headerFooter alignWithMargins="0">
    <oddHeader>&amp;Я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 проекту</vt:lpstr>
      <vt:lpstr>'к проекту'!Заголовки_для_печати</vt:lpstr>
      <vt:lpstr>'к проекту'!Область_печати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2024-11-13T09:39:03Z</cp:lastPrinted>
  <dcterms:created xsi:type="dcterms:W3CDTF">2024-09-20T05:53:35Z</dcterms:created>
  <dcterms:modified xsi:type="dcterms:W3CDTF">2024-11-13T09:39:04Z</dcterms:modified>
</cp:coreProperties>
</file>