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0" windowWidth="27795" windowHeight="12225"/>
  </bookViews>
  <sheets>
    <sheet name="прилож 5" sheetId="1" r:id="rId1"/>
  </sheets>
  <definedNames>
    <definedName name="_PBuh_">#REF!</definedName>
    <definedName name="_PRuk_">#REF!</definedName>
    <definedName name="_xlnm.Print_Titles" localSheetId="0">'прилож 5'!$4:$5</definedName>
  </definedNames>
  <calcPr calcId="145621"/>
</workbook>
</file>

<file path=xl/calcChain.xml><?xml version="1.0" encoding="utf-8"?>
<calcChain xmlns="http://schemas.openxmlformats.org/spreadsheetml/2006/main">
  <c r="D92" i="1"/>
  <c r="E92"/>
  <c r="D87"/>
  <c r="D14"/>
  <c r="D66"/>
  <c r="F69"/>
  <c r="F16"/>
  <c r="F15"/>
  <c r="D37"/>
  <c r="F56"/>
  <c r="F12"/>
  <c r="F8"/>
  <c r="D7"/>
  <c r="D82"/>
  <c r="D98" l="1"/>
  <c r="D21" l="1"/>
  <c r="D19"/>
  <c r="E98" l="1"/>
  <c r="E97"/>
  <c r="E95"/>
  <c r="F94"/>
  <c r="D94"/>
  <c r="C94"/>
  <c r="E93"/>
  <c r="F86"/>
  <c r="E91"/>
  <c r="E90"/>
  <c r="E89"/>
  <c r="E87"/>
  <c r="D86"/>
  <c r="C86"/>
  <c r="F84"/>
  <c r="E84"/>
  <c r="E82"/>
  <c r="D81"/>
  <c r="C81"/>
  <c r="E80"/>
  <c r="E79"/>
  <c r="E78"/>
  <c r="E77"/>
  <c r="F76"/>
  <c r="E76"/>
  <c r="E75"/>
  <c r="F73"/>
  <c r="E73"/>
  <c r="F66"/>
  <c r="E66"/>
  <c r="D65"/>
  <c r="C65"/>
  <c r="E64"/>
  <c r="E61"/>
  <c r="F60"/>
  <c r="D60"/>
  <c r="C60"/>
  <c r="F59"/>
  <c r="E59"/>
  <c r="F49"/>
  <c r="F43"/>
  <c r="F42"/>
  <c r="F40"/>
  <c r="F38"/>
  <c r="E37"/>
  <c r="D36"/>
  <c r="C36"/>
  <c r="F33"/>
  <c r="F32"/>
  <c r="F23"/>
  <c r="F22"/>
  <c r="E21"/>
  <c r="D20"/>
  <c r="C20"/>
  <c r="E19"/>
  <c r="F18"/>
  <c r="D18"/>
  <c r="C18"/>
  <c r="E17"/>
  <c r="E14"/>
  <c r="E13"/>
  <c r="F9"/>
  <c r="F6" s="1"/>
  <c r="E7"/>
  <c r="D6"/>
  <c r="C6"/>
  <c r="E60" l="1"/>
  <c r="H60" s="1"/>
  <c r="F20"/>
  <c r="E86"/>
  <c r="H86" s="1"/>
  <c r="C99"/>
  <c r="E20"/>
  <c r="D99"/>
  <c r="E65"/>
  <c r="F65"/>
  <c r="E18"/>
  <c r="H18" s="1"/>
  <c r="E36"/>
  <c r="E81"/>
  <c r="F81"/>
  <c r="F36"/>
  <c r="E6"/>
  <c r="E94"/>
  <c r="H94" s="1"/>
  <c r="H36" l="1"/>
  <c r="H20"/>
  <c r="H65"/>
  <c r="H81"/>
  <c r="E99"/>
  <c r="F99"/>
  <c r="H6"/>
  <c r="H99" l="1"/>
</calcChain>
</file>

<file path=xl/sharedStrings.xml><?xml version="1.0" encoding="utf-8"?>
<sst xmlns="http://schemas.openxmlformats.org/spreadsheetml/2006/main" count="131" uniqueCount="118">
  <si>
    <t>Информация об изменении ассигнований бюджета Миасского городского округа в 2024 году (после принятия решения Собранием депутатов МГО от 09.02.2024г. № 1)</t>
  </si>
  <si>
    <t>тыс. рублей</t>
  </si>
  <si>
    <t xml:space="preserve"> Раз дел</t>
  </si>
  <si>
    <t>Наименование разделов/ ГРБС</t>
  </si>
  <si>
    <t>Утвержденный бюджет на 2024 год</t>
  </si>
  <si>
    <t>Ассигнования на 2024 год</t>
  </si>
  <si>
    <t>Отклонение</t>
  </si>
  <si>
    <t>проверка (скрыть)</t>
  </si>
  <si>
    <t>Пояснение</t>
  </si>
  <si>
    <t>1</t>
  </si>
  <si>
    <t>0100</t>
  </si>
  <si>
    <t>Общегосударственные вопросы, в том числе</t>
  </si>
  <si>
    <t>Администрация МГО</t>
  </si>
  <si>
    <t>Собрание депутатов МГО</t>
  </si>
  <si>
    <t>Увеличение (перемещение) ассигнований в сумме 743,2 тыс. рублей на увеличение фонда оплаты труда Председателю Собрания депутатов МГО с раздела 1000</t>
  </si>
  <si>
    <t>Финансовое управление  Администрации МГО</t>
  </si>
  <si>
    <t>Уменьшение (перемещение) ассигнований в сумме 1071,3 тыс. рублей с зарезервированных средств на оплату расходов по исполнительным листам на Администрацию МГО на раздел 0100</t>
  </si>
  <si>
    <t>в т.ч.</t>
  </si>
  <si>
    <t>резервный фонд Администрации МГО, зарезервированные на выполнение обязательств по исполнению судебных решений по искам, удовлетворяемых за счет бюджета Округа и иных незапланированных расходов бюджета Округа</t>
  </si>
  <si>
    <t>0300</t>
  </si>
  <si>
    <t>Национальная безопасность и правоохранительная деятельность,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</si>
  <si>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>(в том числе Управление ГО и ЧС, отдел ЗАГС)</t>
    </r>
  </si>
  <si>
    <t>Уменьшение (перемещение) ассигнований в сумме 75,0 тыс. рублей  между разделами, в соответствии с  бюджетной классификацией,  расходов по повышению квалификации на раздел 0700</t>
  </si>
  <si>
    <t>0400</t>
  </si>
  <si>
    <t>Национальная экономика, в том числе</t>
  </si>
  <si>
    <r>
      <t>Администрация</t>
    </r>
    <r>
      <rPr>
        <i/>
        <sz val="11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 (транспорт))</t>
    </r>
  </si>
  <si>
    <t>Увеличение (перемещение) ассигнований  в сумме 26411,3 тыс.рублей, в том числе:</t>
  </si>
  <si>
    <t xml:space="preserve">в сумме 7105,6 тыс. рублей перемещение  по наказам избирателей между разделами с раздела 0500 </t>
  </si>
  <si>
    <t>в сумме 13696,7 тыс. рублей на содержание и уборку дорог с разделов 0100, 0500</t>
  </si>
  <si>
    <t>в сумме 1075,0 тыс. рублей на разработку документации по благоустройству территорий с раздела 0500</t>
  </si>
  <si>
    <t>в сумме 282,1 тыс. рублей на возмещение затрат в рамках выполнения мер по частичной мобилизации с раздела 0100</t>
  </si>
  <si>
    <t>в сумме 99,9 тыс. рублей приведение в соответствие бюджетной классификации по стройконтролю за проведением работ по благоустройству  общественных территорий с раздела 0500</t>
  </si>
  <si>
    <t>в сумме 270,0 тыс. рублей на ремонт ливнеперехватов с раздела 0500</t>
  </si>
  <si>
    <t>в сумме 2461,0 тыс. рублей на асфальтирование проездов с раздела 0500</t>
  </si>
  <si>
    <t>в сумме 1200,0 тыс. рублей с зарезервированных средств между ГРБС на решение вопросов местного значения с раздела 0100</t>
  </si>
  <si>
    <t>в сумме 221,0 тыс. рублей на стройконтроль по объекту "Строительство автомобильной дороги от ул. Олимпийская в г. Миассе до автодороги Миасс-Карабаш-Кыштым Челябинской области" с раздела 0500</t>
  </si>
  <si>
    <t>Уменьшение (перемещение) ассигнований  в сумме 31508,3 тыс.рублей, в том числе:</t>
  </si>
  <si>
    <t xml:space="preserve">в сумме 20520,6 тыс. рублей с расходов на регулярные перевозки пассажиров автобусом на разделы 0500, 0600 </t>
  </si>
  <si>
    <t>в сумме 4543,0 тыс. рублей  перемещение  по инициативному бюджетированию между разделами на раздел 0500</t>
  </si>
  <si>
    <t>в сумме 6405,7 тыс. рублей с расходов на строительство автомобильной дороги от ул. Олимпийская в г. Миассе до автодороги Миасс-Карабаш-Кыштым Челябинской области на раздел 0500</t>
  </si>
  <si>
    <t>в сумме 39,0 тыс. рублей с объекта "Ливневая канализация по ул.Ветеранов, ул.Богдана Хмельницкого, ул.Циолковского, пр.Октября, ул.Уральской" на раздел 0500</t>
  </si>
  <si>
    <t>0500</t>
  </si>
  <si>
    <t>Жилищно-коммунальное хоз-во, в том числе</t>
  </si>
  <si>
    <r>
      <t>Администрация</t>
    </r>
    <r>
      <rPr>
        <i/>
        <sz val="11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транспорта)</t>
    </r>
  </si>
  <si>
    <t>Увеличение (перемещение) ассигнований  в сумме 51535,4 тыс. рублей, в том числе:</t>
  </si>
  <si>
    <t>в  сумме  1208,2 тыс.  рублей  на  проведение  гос.экспертизы  проектно-сметной   документации   по   объекту   "Распределительный  газопровод                             с. Новоандреевка – с. Селянкино Миасского городского округа 1 этап до поселка Новотагилка" с раздела 0400</t>
  </si>
  <si>
    <r>
      <t>в сумме 17592,6 тыс. рублей на</t>
    </r>
    <r>
      <rPr>
        <sz val="10.5"/>
        <color rgb="FFFF0000"/>
        <rFont val="Times New Roman"/>
        <family val="1"/>
        <charset val="204"/>
      </rPr>
      <t xml:space="preserve"> </t>
    </r>
    <r>
      <rPr>
        <sz val="10.5"/>
        <rFont val="Times New Roman"/>
        <family val="1"/>
        <charset val="204"/>
      </rPr>
      <t>подготовку проекта «Золотой старт. Создание общественного пространства Набережной в центральной части г.Миасс» с разделов 0100, 0700, 1100</t>
    </r>
  </si>
  <si>
    <t>в сумме 5559,1 тыс. рублей на работы по благоустройству, устройству лестниц на общегородских территориях с раздела 0400</t>
  </si>
  <si>
    <t>в сумме 4031,8 тыс. рублей на строительство линии наружного освещения автомобильной объездной дороги Тургоякского шоссе с раздела 0400</t>
  </si>
  <si>
    <t>в сумме 4543,0 тыс. рублей  перемещение  по инициативному бюджетированию между разделами с раздела 0400</t>
  </si>
  <si>
    <t>в сумме 2214,3 тыс. рублей на обслуживание газопровода п. Сыростан, содержание имущества  с разделов 0100,1000</t>
  </si>
  <si>
    <t>в сумме 6705,9 тыс. рублей на содержание МКУ "ЦКОБ" с раздела 0400</t>
  </si>
  <si>
    <t>в сумме 7730,9 тыс. рублей на капитальный ремонт тепловых сетей с раздела 0400</t>
  </si>
  <si>
    <t>в сумме 1949,6 тыс. рублей на эксплуатацию и разработку декларации безопасности ГТС с раздела 0400</t>
  </si>
  <si>
    <t>в сумме 5250,0 тыс. рублей с приобретения материалов для подготовки к отопительному сезону на раздел 0400</t>
  </si>
  <si>
    <t>в сумме 7609,1 тыс. рублей перемещение  по наказам избирателей между разделами на разделы 0400, 0700</t>
  </si>
  <si>
    <t>в сумме 41224,2 тыс. рублей  между учреждениями по ликвидации несанкционированных свалок на раздел 0600</t>
  </si>
  <si>
    <t>в сумме 4481,9 тыс. рублей с расходов на содержание фонтанов, снос аварийного жилого фонда, объекта "Строительство системы водоснабжения (скважина, водонапорная башня, водовод)" на раздел 0400</t>
  </si>
  <si>
    <t xml:space="preserve">в сумме 211992,6 тыс. рублей  между ГРБС по  проекту «Золотой старт. Создание общественного пространства Набережной в центральной части г.Миасс» </t>
  </si>
  <si>
    <t>в сумме 1075,0 тыс. рублей с благоустройства общественных территорий на раздел 0400</t>
  </si>
  <si>
    <t>в сумме 99,9 тыс. рублей приведение в соответствие бюджетной классификации по стройконтролю за проведением работ по благоустройству общественных территорий на раздел 0500</t>
  </si>
  <si>
    <t>в сумме 1510,0 тыс. рублей с устройства зимних городков на раздел 0400</t>
  </si>
  <si>
    <t>в сумме 2300,0 тыс. рублей с работ по строительству сетей теплоснабжения ж/д №1,2,3,4 на пл.Революции</t>
  </si>
  <si>
    <t xml:space="preserve">в сумме 221,0 тыс. рублей с объекта Строительство линии освещения с ул. Бакулина д. 31 до ул. Мало-Ильменской д. 23 г. Миасс </t>
  </si>
  <si>
    <t>Управление ФКиС АМГО</t>
  </si>
  <si>
    <t>Увеличение (перемещение) ассигнований в сумме 212306,9 тыс. рублей  между ГРБС по  проекту «Золотой старт. Создание общественного пространства Набережной в центральной части г.Миасс» (перемещение по разделу 0500 в сумме 211992,6 тыс. рублей, перемещение с раздела 0100  всумме 314,3 тыс. рублей)</t>
  </si>
  <si>
    <t>0600</t>
  </si>
  <si>
    <t>Охрана  окружающей  среды,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</si>
  <si>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>(в том числе МКУ "УЭП", МКУ "Комитет по строительству")</t>
    </r>
  </si>
  <si>
    <t>Увеличение (перемещение) ассигнований в сумме 41224,2 тыс. рублей  между учреждениями по ликвидации несанкционированных свалок с раздела 0500</t>
  </si>
  <si>
    <t>Увеличение (перемещение) ассигнований в сумме 1020,0 тыс. рублей  на приобретение автомобиля для МКУ "УЭП" с раздела 0400</t>
  </si>
  <si>
    <t>Уменьшение (перемещение) ассигнований в сумме 8,1 тыс. рублей   между разделами, в соответствии с  бюджетной классификацией,  расходов по повышению квалификации  на раздел 0700</t>
  </si>
  <si>
    <t>0700</t>
  </si>
  <si>
    <t>Образование, в том числе</t>
  </si>
  <si>
    <t>Управление образования Администрации МГО</t>
  </si>
  <si>
    <t>Увеличение (перемещение)  ассигнований в сумме 503,3 тыс. рублей между ГРБС по наказам избирателей с раздела 0500</t>
  </si>
  <si>
    <t>Увеличение (перемещение) ассигнований в сумме 1711,4 тыс. рублей на ремонт кровли МБДОУ № 48 с раздела 1100</t>
  </si>
  <si>
    <t>Увеличение (перемещение) ассигнований в сумме 1000,0 тыс. рублей с зарезервированных средств между ГРБС на решение вопросов местного значения с раздела 0100</t>
  </si>
  <si>
    <t>Уменьшение (перемещение) ассигнований в сумме 7100,0 тыс. рублей с расходов на оплату налогов на раздел 0500</t>
  </si>
  <si>
    <t>Уменьшение (перемещение) ассигнований в сумме 67,0 тыс. рублей  по                      МП "Профилактика и противодействие проявлениям экстремизма в МГО"  на раздел 0100</t>
  </si>
  <si>
    <t>Уменьшение (перемещение) ассигнований в сумме 714,0 тыс. рублей по трудовой занятости подростков между ГРБС</t>
  </si>
  <si>
    <r>
      <t xml:space="preserve">Управление культуры Администрации МГО </t>
    </r>
    <r>
      <rPr>
        <i/>
        <sz val="11"/>
        <rFont val="Times New Roman"/>
        <family val="1"/>
        <charset val="204"/>
      </rPr>
      <t>(муз.школы)</t>
    </r>
  </si>
  <si>
    <t>Увеличение (перемещение) ассигнований в сумме 357,0 тыс. рублей по трудовой занятости подростков между ГРБС</t>
  </si>
  <si>
    <t>Управление социальной защиты населения Администрации МГО</t>
  </si>
  <si>
    <t>Увеличение (перемещение) ассигнований в сумме 83,0 тыс. рублей  между разделами, в соответствии с  бюджетной классификацией,  расходов по повышению квалификации с разделов 0300, 0600</t>
  </si>
  <si>
    <t xml:space="preserve">Управление социальной защиты населения Администрации МГО </t>
  </si>
  <si>
    <t>0800</t>
  </si>
  <si>
    <t>Культура,  в том числе</t>
  </si>
  <si>
    <t>Управление культуры Администрации МГО</t>
  </si>
  <si>
    <t>Увеличение (перемещение) ассигнований в сумме 1000,0 тыс. рублей на предоставление субсидии НКО на  возмещение затрат для реализации социально значимых проектов в сфере культуры с раздела 0100</t>
  </si>
  <si>
    <t>Увеличение (перемещение) ассигнований в сумме 1361,3 тыс. рублей  на хозяйственные нужды учреждений, на фонд оплаты труда вновь введенных ставок дворников с раздела 1000</t>
  </si>
  <si>
    <t>Увеличение (перемещение) ассигнований в сумме 7200,0 тыс. рублей  на разработку ПСД "Памятник на братской могиле, где похоронены 70 человек жертв колчаковской расправы в г.Миассе" с разделов 0500,1100</t>
  </si>
  <si>
    <t>1000</t>
  </si>
  <si>
    <t>Социальная политика, в том числе</t>
  </si>
  <si>
    <r>
      <t>Управление социальной защиты населения Администрации МГО (</t>
    </r>
    <r>
      <rPr>
        <i/>
        <sz val="11"/>
        <rFont val="Times New Roman"/>
        <family val="1"/>
        <charset val="204"/>
      </rPr>
      <t>в том числе содержание аппарата,  учреждений социального обслуживания населения, детские дома, пособия, пенсии, компенсации и т.д.)</t>
    </r>
  </si>
  <si>
    <t>Уменьшение (перемещение) ассигнований в сумме 1174,9 тыс. рублей с экономии расходов по софинансированию на приобретение  жилья для молодых семей на раздел 0500</t>
  </si>
  <si>
    <r>
      <t xml:space="preserve">Финансовое управление Администрации МГО  </t>
    </r>
    <r>
      <rPr>
        <i/>
        <sz val="11"/>
        <rFont val="Times New Roman"/>
        <family val="1"/>
        <charset val="204"/>
      </rPr>
      <t>(в том числе резерв на з/плату, испол.листы)</t>
    </r>
  </si>
  <si>
    <t>1100</t>
  </si>
  <si>
    <t>Физическая культура и спорт,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</si>
  <si>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 xml:space="preserve">(в том числе МКУ "Комитет по строительству") </t>
    </r>
  </si>
  <si>
    <t>Уменьшение (перемещение) ассигнований в сумме 9950,0 тыс. рублей с расходов на подготовку  гос.экспертизы проектно-сметной документации по объекту "Модульный бассейн в Северной части города" на раздел 0500</t>
  </si>
  <si>
    <t>Уменьшение (перемещение) ассигнований в сумме 4900,0 тыс. рублей с реконструкции здания спортивной школы адаптивных видов спорта по адресу ул. Чучева д. 5 г. Миасс  на раздел 0800</t>
  </si>
  <si>
    <t>Уменьшение (перемещение) ассигнований в сумме 1711,4,0 тыс. рублей  с командировочных расходов на раздел 0700</t>
  </si>
  <si>
    <t>ВСЕГО</t>
  </si>
  <si>
    <t>Приложение 5 к реестру</t>
  </si>
  <si>
    <t>Уменьшение (перемещение) ассигнований в сумме 5546,7 тыс. рублей с расходов на оплату налогов, муниципальных гарантий, с содержания имущества  на разделы 0400,0500</t>
  </si>
  <si>
    <t>Увеличение ассигнований в сумме 2981,6 тыс. рублей, в том числе:</t>
  </si>
  <si>
    <t xml:space="preserve">в сумме 1071,3 тыс. рублей с зарезервированных средств на оплату расходов по исполнительным листам с раздела 0100 </t>
  </si>
  <si>
    <t>в сумме 67,0 тыс. рублей  по МП "Профилактика и противодействие проявлениям экстремизма в МГО"  с раздела 0700</t>
  </si>
  <si>
    <t>в сумме 543,3 тыс. рублей на оплату штрафа за нарушение соглашения по инициативному бюджетированию с раздела 0500</t>
  </si>
  <si>
    <t>в сумме 3004,3 тыс. рублей с содержания общегородских территорий, кладбищ, актуализации Схемы теплоснабжения МГО на раздел 0400</t>
  </si>
  <si>
    <t>Уменьшение (перемещение) ассигнований  в сумме 278768,0 тыс.рублей, в том числе:</t>
  </si>
  <si>
    <t>Уменьшение (перемещение) ассигнований с резервного фонда Администрации МГО в сумме 2284,7 тыс. рублей , в т.ч.  на раздел 0800 в сумме 1000,0 тыс. рублей, на раздел 0400 в сумме 282,1 тыс. рублей, на раздел 0700 в сумме 1002,6 тыс. рублей</t>
  </si>
  <si>
    <t>Увеличение (перемещение) ассигнований в сумме 2021,9 тыс. рублей  из резервного фонда и зарезервированных средств на ремонт образовательных учреждений</t>
  </si>
  <si>
    <t>Увеличение (перемещение) ассигнований в сумме 2400,0 тыс. рублей на увеличение фонда оплаты труда с зарезервированных средств с раздела 1000</t>
  </si>
  <si>
    <t>Уменьшение (перемещение) ассигнований в сумме 4504,5 тыс. рублей с зарезервированных средств на разделы 0100, 0800,1000</t>
  </si>
  <si>
    <t>в сумме 1300,0 тыс. рублей  с зарезервированных средств между ГРБС на решение вопросов местного значения (в том числе в части обеспечения деятельности ТИК) с раздела 0100</t>
  </si>
  <si>
    <t>Уменьшение (перемещение) ассигнований в сумме 5904,9 тыс. рублей с зарезервированных средств (в том числе по разделам: на раздел 0100 в сумме 2371,3 тыс. рублей, на раздел 0400 в сумме 1200,0 тыс. рублей, на раздел 0500 в сумме 314,3 тыс. рублей, на раздел 0700 в сумме 1000,0 тыс. рублей, на раздел 0700 в сумме 1019,3 тыс. рублей)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</si>
</sst>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_-* #,##0.00_р_._-;\-* #,##0.00_р_._-;_-* &quot;-&quot;??_р_._-;_-@_-"/>
    <numFmt numFmtId="166" formatCode="0.0"/>
  </numFmts>
  <fonts count="2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11"/>
      <name val="Calibri"/>
      <family val="2"/>
      <scheme val="minor"/>
    </font>
    <font>
      <sz val="12"/>
      <color theme="1"/>
      <name val="Times New Roman"/>
      <family val="2"/>
      <charset val="204"/>
    </font>
    <font>
      <b/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.5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7" fillId="0" borderId="0"/>
    <xf numFmtId="0" fontId="8" fillId="0" borderId="0"/>
    <xf numFmtId="0" fontId="9" fillId="0" borderId="0"/>
    <xf numFmtId="0" fontId="7" fillId="0" borderId="0"/>
    <xf numFmtId="0" fontId="9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1" fillId="0" borderId="0"/>
    <xf numFmtId="0" fontId="3" fillId="0" borderId="0" applyFont="0" applyFill="0" applyBorder="0" applyAlignment="0" applyProtection="0"/>
    <xf numFmtId="0" fontId="9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83">
    <xf numFmtId="0" fontId="0" fillId="0" borderId="0" xfId="0"/>
    <xf numFmtId="0" fontId="5" fillId="0" borderId="0" xfId="0" applyFont="1" applyFill="1"/>
    <xf numFmtId="0" fontId="5" fillId="2" borderId="0" xfId="0" applyFont="1" applyFill="1"/>
    <xf numFmtId="49" fontId="4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justify" vertical="center"/>
    </xf>
    <xf numFmtId="164" fontId="5" fillId="2" borderId="0" xfId="0" applyNumberFormat="1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0" xfId="0" applyFont="1" applyFill="1"/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justify" vertical="center" wrapText="1"/>
    </xf>
    <xf numFmtId="164" fontId="15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justify" vertical="center" wrapText="1"/>
    </xf>
    <xf numFmtId="164" fontId="5" fillId="2" borderId="0" xfId="0" applyNumberFormat="1" applyFont="1" applyFill="1"/>
    <xf numFmtId="164" fontId="14" fillId="2" borderId="1" xfId="0" applyNumberFormat="1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justify" vertical="center" wrapText="1"/>
    </xf>
    <xf numFmtId="49" fontId="17" fillId="2" borderId="1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8" fillId="2" borderId="0" xfId="0" applyFont="1" applyFill="1" applyAlignment="1"/>
    <xf numFmtId="164" fontId="6" fillId="2" borderId="4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justify" vertical="center" wrapText="1"/>
    </xf>
    <xf numFmtId="0" fontId="17" fillId="2" borderId="1" xfId="0" applyFont="1" applyFill="1" applyBorder="1" applyAlignment="1">
      <alignment horizontal="justify" vertical="center" wrapText="1"/>
    </xf>
    <xf numFmtId="0" fontId="21" fillId="2" borderId="1" xfId="0" applyFont="1" applyFill="1" applyBorder="1" applyAlignment="1">
      <alignment horizontal="justify" vertical="center" wrapText="1"/>
    </xf>
    <xf numFmtId="164" fontId="6" fillId="2" borderId="3" xfId="0" applyNumberFormat="1" applyFont="1" applyFill="1" applyBorder="1" applyAlignment="1">
      <alignment vertical="center"/>
    </xf>
    <xf numFmtId="164" fontId="6" fillId="2" borderId="4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0" xfId="0" applyFont="1" applyFill="1" applyBorder="1"/>
    <xf numFmtId="16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/>
    </xf>
    <xf numFmtId="0" fontId="6" fillId="2" borderId="1" xfId="0" applyFont="1" applyFill="1" applyBorder="1" applyAlignment="1">
      <alignment vertical="center" wrapText="1"/>
    </xf>
    <xf numFmtId="0" fontId="18" fillId="2" borderId="0" xfId="0" applyFont="1" applyFill="1"/>
    <xf numFmtId="49" fontId="4" fillId="2" borderId="1" xfId="0" applyNumberFormat="1" applyFont="1" applyFill="1" applyBorder="1" applyAlignment="1">
      <alignment horizontal="center"/>
    </xf>
    <xf numFmtId="166" fontId="15" fillId="2" borderId="1" xfId="0" applyNumberFormat="1" applyFont="1" applyFill="1" applyBorder="1" applyAlignment="1">
      <alignment horizontal="justify" vertical="center"/>
    </xf>
    <xf numFmtId="164" fontId="21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164" fontId="15" fillId="0" borderId="1" xfId="0" applyNumberFormat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justify" vertical="center" wrapText="1"/>
    </xf>
    <xf numFmtId="49" fontId="13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164" fontId="6" fillId="2" borderId="4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7" fillId="2" borderId="1" xfId="0" applyNumberFormat="1" applyFont="1" applyFill="1" applyBorder="1" applyAlignment="1">
      <alignment horizontal="justify" vertical="center" wrapText="1"/>
    </xf>
  </cellXfs>
  <cellStyles count="23">
    <cellStyle name="Normal" xfId="1"/>
    <cellStyle name="Обычный" xfId="0" builtinId="0"/>
    <cellStyle name="Обычный 2" xfId="2"/>
    <cellStyle name="Обычный 2 2" xfId="3"/>
    <cellStyle name="Обычный 2 2 2" xfId="17"/>
    <cellStyle name="Обычный 2 3" xfId="16"/>
    <cellStyle name="Обычный 3" xfId="4"/>
    <cellStyle name="Обычный 4" xfId="5"/>
    <cellStyle name="Обычный 5" xfId="6"/>
    <cellStyle name="Обычный 5 2" xfId="7"/>
    <cellStyle name="Обычный 5 3" xfId="8"/>
    <cellStyle name="Обычный 6" xfId="9"/>
    <cellStyle name="Обычный 6 2" xfId="10"/>
    <cellStyle name="Обычный 7" xfId="11"/>
    <cellStyle name="Обычный 7 2" xfId="12"/>
    <cellStyle name="Обычный 7 3" xfId="13"/>
    <cellStyle name="Обычный 8" xfId="14"/>
    <cellStyle name="Обычный 9" xfId="18"/>
    <cellStyle name="Процентный 2" xfId="19"/>
    <cellStyle name="Финансовый 2" xfId="20"/>
    <cellStyle name="Финансовый 2 2 2" xfId="15"/>
    <cellStyle name="Финансовый 2 5" xfId="21"/>
    <cellStyle name="Финансовый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J99"/>
  <sheetViews>
    <sheetView tabSelected="1" workbookViewId="0">
      <pane xSplit="2" ySplit="4" topLeftCell="C66" activePane="bottomRight" state="frozen"/>
      <selection pane="topRight" activeCell="C1" sqref="C1"/>
      <selection pane="bottomLeft" activeCell="A5" sqref="A5"/>
      <selection pane="bottomRight" activeCell="G16" sqref="G16"/>
    </sheetView>
  </sheetViews>
  <sheetFormatPr defaultColWidth="14.42578125" defaultRowHeight="15.75"/>
  <cols>
    <col min="1" max="1" width="7.5703125" style="47" customWidth="1"/>
    <col min="2" max="2" width="48.5703125" style="4" customWidth="1"/>
    <col min="3" max="3" width="16.85546875" style="5" customWidth="1"/>
    <col min="4" max="4" width="15.140625" style="5" customWidth="1"/>
    <col min="5" max="5" width="13.140625" style="5" customWidth="1"/>
    <col min="6" max="6" width="14.140625" style="5" hidden="1" customWidth="1"/>
    <col min="7" max="7" width="71.7109375" style="48" customWidth="1"/>
    <col min="8" max="8" width="15" style="2" hidden="1" customWidth="1"/>
    <col min="9" max="126" width="9.140625" style="2" customWidth="1"/>
    <col min="127" max="127" width="60.42578125" style="2" customWidth="1"/>
    <col min="128" max="128" width="0" style="2" hidden="1" customWidth="1"/>
    <col min="129" max="129" width="14.7109375" style="2" customWidth="1"/>
    <col min="130" max="130" width="14.5703125" style="2" customWidth="1"/>
    <col min="131" max="131" width="0" style="2" hidden="1" customWidth="1"/>
    <col min="132" max="132" width="14.5703125" style="2" customWidth="1"/>
    <col min="133" max="133" width="15" style="2" customWidth="1"/>
    <col min="134" max="135" width="14.5703125" style="2" customWidth="1"/>
    <col min="136" max="16384" width="14.42578125" style="2"/>
  </cols>
  <sheetData>
    <row r="1" spans="1:10">
      <c r="G1" s="49" t="s">
        <v>104</v>
      </c>
    </row>
    <row r="2" spans="1:10">
      <c r="A2" s="56" t="s">
        <v>0</v>
      </c>
      <c r="B2" s="56"/>
      <c r="C2" s="56"/>
      <c r="D2" s="56"/>
      <c r="E2" s="56"/>
      <c r="F2" s="56"/>
      <c r="G2" s="57"/>
      <c r="I2" s="1"/>
      <c r="J2" s="1"/>
    </row>
    <row r="3" spans="1:10">
      <c r="A3" s="3"/>
      <c r="G3" s="6" t="s">
        <v>1</v>
      </c>
      <c r="I3" s="1"/>
      <c r="J3" s="1"/>
    </row>
    <row r="4" spans="1:10" s="12" customFormat="1" ht="45">
      <c r="A4" s="7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10" t="s">
        <v>7</v>
      </c>
      <c r="G4" s="11" t="s">
        <v>8</v>
      </c>
    </row>
    <row r="5" spans="1:10">
      <c r="A5" s="54" t="s">
        <v>9</v>
      </c>
      <c r="B5" s="11">
        <v>2</v>
      </c>
      <c r="C5" s="14">
        <v>3</v>
      </c>
      <c r="D5" s="14">
        <v>4</v>
      </c>
      <c r="E5" s="14">
        <v>5</v>
      </c>
      <c r="F5" s="15"/>
      <c r="G5" s="11">
        <v>6</v>
      </c>
    </row>
    <row r="6" spans="1:10">
      <c r="A6" s="16" t="s">
        <v>10</v>
      </c>
      <c r="B6" s="17" t="s">
        <v>11</v>
      </c>
      <c r="C6" s="18">
        <f>SUM(C7:C17)-C17</f>
        <v>392483.9</v>
      </c>
      <c r="D6" s="18">
        <f>SUM(D7:D17)-D17</f>
        <v>382472.39999999997</v>
      </c>
      <c r="E6" s="18">
        <f t="shared" ref="E6:E60" si="0">D6-C6</f>
        <v>-10011.500000000058</v>
      </c>
      <c r="F6" s="19">
        <f>SUM(F7:F16)</f>
        <v>-10011.5</v>
      </c>
      <c r="G6" s="20"/>
      <c r="H6" s="21">
        <f>E6-F6</f>
        <v>-5.8207660913467407E-11</v>
      </c>
    </row>
    <row r="7" spans="1:10">
      <c r="A7" s="58"/>
      <c r="B7" s="60" t="s">
        <v>12</v>
      </c>
      <c r="C7" s="62">
        <v>300017.2</v>
      </c>
      <c r="D7" s="62">
        <f>296908.6+0.2+543.3</f>
        <v>297452.09999999998</v>
      </c>
      <c r="E7" s="62">
        <f>D7-C7</f>
        <v>-2565.1000000000349</v>
      </c>
      <c r="F7" s="22"/>
      <c r="G7" s="23" t="s">
        <v>106</v>
      </c>
      <c r="H7" s="21"/>
    </row>
    <row r="8" spans="1:10" ht="27">
      <c r="A8" s="59"/>
      <c r="B8" s="61"/>
      <c r="C8" s="63"/>
      <c r="D8" s="63"/>
      <c r="E8" s="63"/>
      <c r="F8" s="22">
        <f>987.2+84.1</f>
        <v>1071.3</v>
      </c>
      <c r="G8" s="23" t="s">
        <v>107</v>
      </c>
      <c r="H8" s="21"/>
    </row>
    <row r="9" spans="1:10" ht="40.5">
      <c r="A9" s="59"/>
      <c r="B9" s="61"/>
      <c r="C9" s="63"/>
      <c r="D9" s="63"/>
      <c r="E9" s="63"/>
      <c r="F9" s="22">
        <f>315.7+984.3</f>
        <v>1300</v>
      </c>
      <c r="G9" s="24" t="s">
        <v>116</v>
      </c>
      <c r="H9" s="21"/>
    </row>
    <row r="10" spans="1:10" ht="27">
      <c r="A10" s="59"/>
      <c r="B10" s="61"/>
      <c r="C10" s="63"/>
      <c r="D10" s="63"/>
      <c r="E10" s="63"/>
      <c r="F10" s="22">
        <v>67</v>
      </c>
      <c r="G10" s="24" t="s">
        <v>108</v>
      </c>
      <c r="H10" s="21"/>
    </row>
    <row r="11" spans="1:10" ht="27">
      <c r="A11" s="59"/>
      <c r="B11" s="61"/>
      <c r="C11" s="63"/>
      <c r="D11" s="63"/>
      <c r="E11" s="63"/>
      <c r="F11" s="22">
        <v>543.29999999999995</v>
      </c>
      <c r="G11" s="23" t="s">
        <v>109</v>
      </c>
      <c r="H11" s="21"/>
    </row>
    <row r="12" spans="1:10" ht="40.5">
      <c r="A12" s="59"/>
      <c r="B12" s="61"/>
      <c r="C12" s="63"/>
      <c r="D12" s="63"/>
      <c r="E12" s="63"/>
      <c r="F12" s="22">
        <f>-478.5-4029-1039.4+0.2</f>
        <v>-5546.7</v>
      </c>
      <c r="G12" s="23" t="s">
        <v>105</v>
      </c>
      <c r="H12" s="21"/>
    </row>
    <row r="13" spans="1:10" ht="40.5">
      <c r="A13" s="59"/>
      <c r="B13" s="25" t="s">
        <v>13</v>
      </c>
      <c r="C13" s="9">
        <v>30413.9</v>
      </c>
      <c r="D13" s="9">
        <v>31157.1</v>
      </c>
      <c r="E13" s="26">
        <f>D13-C13</f>
        <v>743.19999999999709</v>
      </c>
      <c r="F13" s="22">
        <v>743.2</v>
      </c>
      <c r="G13" s="23" t="s">
        <v>14</v>
      </c>
      <c r="H13" s="21"/>
    </row>
    <row r="14" spans="1:10" s="28" customFormat="1" ht="40.5">
      <c r="A14" s="59"/>
      <c r="B14" s="60" t="s">
        <v>15</v>
      </c>
      <c r="C14" s="62">
        <v>62052.800000000003</v>
      </c>
      <c r="D14" s="62">
        <f>61167.2-5282.1-1002.6-1019.3</f>
        <v>53863.199999999997</v>
      </c>
      <c r="E14" s="62">
        <f t="shared" ref="E14" si="1">D14-C14</f>
        <v>-8189.6000000000058</v>
      </c>
      <c r="F14" s="27"/>
      <c r="G14" s="55" t="s">
        <v>16</v>
      </c>
      <c r="H14" s="21"/>
    </row>
    <row r="15" spans="1:10" s="28" customFormat="1" ht="54">
      <c r="A15" s="59"/>
      <c r="B15" s="61"/>
      <c r="C15" s="63"/>
      <c r="D15" s="63"/>
      <c r="E15" s="63"/>
      <c r="F15" s="22">
        <f>-1000-282.1-1002.6</f>
        <v>-2284.6999999999998</v>
      </c>
      <c r="G15" s="23" t="s">
        <v>112</v>
      </c>
      <c r="H15" s="21"/>
    </row>
    <row r="16" spans="1:10" s="28" customFormat="1" ht="67.5">
      <c r="A16" s="59"/>
      <c r="B16" s="61"/>
      <c r="C16" s="63"/>
      <c r="D16" s="63"/>
      <c r="E16" s="63"/>
      <c r="F16" s="22">
        <f>-3500-314.3-1071.3-1019.3</f>
        <v>-5904.9000000000005</v>
      </c>
      <c r="G16" s="82" t="s">
        <v>117</v>
      </c>
      <c r="H16" s="21"/>
    </row>
    <row r="17" spans="1:8" s="12" customFormat="1" ht="63.75">
      <c r="A17" s="30" t="s">
        <v>17</v>
      </c>
      <c r="B17" s="31" t="s">
        <v>18</v>
      </c>
      <c r="C17" s="22">
        <v>5267.1</v>
      </c>
      <c r="D17" s="22">
        <v>4381.5</v>
      </c>
      <c r="E17" s="22">
        <f>D17-C17</f>
        <v>-885.60000000000036</v>
      </c>
      <c r="F17" s="26"/>
      <c r="G17" s="32"/>
      <c r="H17" s="21"/>
    </row>
    <row r="18" spans="1:8" s="12" customFormat="1" ht="42.75">
      <c r="A18" s="16" t="s">
        <v>19</v>
      </c>
      <c r="B18" s="17" t="s">
        <v>20</v>
      </c>
      <c r="C18" s="18">
        <f>C19</f>
        <v>39134.6</v>
      </c>
      <c r="D18" s="18">
        <f>D19</f>
        <v>39059.599999999999</v>
      </c>
      <c r="E18" s="18">
        <f t="shared" si="0"/>
        <v>-75</v>
      </c>
      <c r="F18" s="19">
        <f>SUM(F19:F19)</f>
        <v>-75</v>
      </c>
      <c r="G18" s="33"/>
      <c r="H18" s="21">
        <f t="shared" ref="H18" si="2">SUM(E18-F18)</f>
        <v>0</v>
      </c>
    </row>
    <row r="19" spans="1:8" s="12" customFormat="1" ht="40.5">
      <c r="A19" s="50"/>
      <c r="B19" s="51" t="s">
        <v>21</v>
      </c>
      <c r="C19" s="39">
        <v>39134.6</v>
      </c>
      <c r="D19" s="39">
        <f>39763.7-704.1</f>
        <v>39059.599999999999</v>
      </c>
      <c r="E19" s="39">
        <f>D19-C19</f>
        <v>-75</v>
      </c>
      <c r="F19" s="22">
        <v>-75</v>
      </c>
      <c r="G19" s="24" t="s">
        <v>22</v>
      </c>
    </row>
    <row r="20" spans="1:8" s="12" customFormat="1">
      <c r="A20" s="16" t="s">
        <v>23</v>
      </c>
      <c r="B20" s="17" t="s">
        <v>24</v>
      </c>
      <c r="C20" s="18">
        <f>C21</f>
        <v>1097800.3999999999</v>
      </c>
      <c r="D20" s="18">
        <f>D21</f>
        <v>1092703.4000000001</v>
      </c>
      <c r="E20" s="18">
        <f t="shared" si="0"/>
        <v>-5096.9999999997672</v>
      </c>
      <c r="F20" s="19">
        <f>SUM(F22:F35)</f>
        <v>-5096.9999999999955</v>
      </c>
      <c r="G20" s="32"/>
      <c r="H20" s="21">
        <f>SUM(E20-F20)</f>
        <v>2.2828317014500499E-10</v>
      </c>
    </row>
    <row r="21" spans="1:8" s="12" customFormat="1" ht="27">
      <c r="A21" s="58"/>
      <c r="B21" s="70" t="s">
        <v>25</v>
      </c>
      <c r="C21" s="62">
        <v>1097800.3999999999</v>
      </c>
      <c r="D21" s="62">
        <f>1518618.6-425915.2</f>
        <v>1092703.4000000001</v>
      </c>
      <c r="E21" s="62">
        <f>D21-C21</f>
        <v>-5096.9999999997672</v>
      </c>
      <c r="F21" s="19"/>
      <c r="G21" s="32" t="s">
        <v>26</v>
      </c>
      <c r="H21" s="21"/>
    </row>
    <row r="22" spans="1:8" s="12" customFormat="1" ht="27">
      <c r="A22" s="59"/>
      <c r="B22" s="71"/>
      <c r="C22" s="63"/>
      <c r="D22" s="63"/>
      <c r="E22" s="63"/>
      <c r="F22" s="22">
        <f>1535.7+100-0.1-249+5719</f>
        <v>7105.6</v>
      </c>
      <c r="G22" s="23" t="s">
        <v>27</v>
      </c>
    </row>
    <row r="23" spans="1:8" s="12" customFormat="1" ht="27">
      <c r="A23" s="59"/>
      <c r="B23" s="71"/>
      <c r="C23" s="63"/>
      <c r="D23" s="63"/>
      <c r="E23" s="63"/>
      <c r="F23" s="22">
        <f>5728.4+7968.3</f>
        <v>13696.7</v>
      </c>
      <c r="G23" s="23" t="s">
        <v>28</v>
      </c>
    </row>
    <row r="24" spans="1:8" s="12" customFormat="1" ht="27">
      <c r="A24" s="59"/>
      <c r="B24" s="71"/>
      <c r="C24" s="63"/>
      <c r="D24" s="63"/>
      <c r="E24" s="63"/>
      <c r="F24" s="22">
        <v>1075</v>
      </c>
      <c r="G24" s="23" t="s">
        <v>29</v>
      </c>
    </row>
    <row r="25" spans="1:8" s="12" customFormat="1" ht="27">
      <c r="A25" s="59"/>
      <c r="B25" s="71"/>
      <c r="C25" s="63"/>
      <c r="D25" s="63"/>
      <c r="E25" s="63"/>
      <c r="F25" s="22">
        <v>282.10000000000002</v>
      </c>
      <c r="G25" s="23" t="s">
        <v>30</v>
      </c>
    </row>
    <row r="26" spans="1:8" s="12" customFormat="1" ht="40.5">
      <c r="A26" s="59"/>
      <c r="B26" s="71"/>
      <c r="C26" s="63"/>
      <c r="D26" s="63"/>
      <c r="E26" s="63"/>
      <c r="F26" s="22">
        <v>99.9</v>
      </c>
      <c r="G26" s="23" t="s">
        <v>31</v>
      </c>
    </row>
    <row r="27" spans="1:8" s="12" customFormat="1">
      <c r="A27" s="59"/>
      <c r="B27" s="71"/>
      <c r="C27" s="63"/>
      <c r="D27" s="63"/>
      <c r="E27" s="63"/>
      <c r="F27" s="22">
        <v>270</v>
      </c>
      <c r="G27" s="23" t="s">
        <v>32</v>
      </c>
    </row>
    <row r="28" spans="1:8" s="12" customFormat="1">
      <c r="A28" s="59"/>
      <c r="B28" s="71"/>
      <c r="C28" s="63"/>
      <c r="D28" s="63"/>
      <c r="E28" s="63"/>
      <c r="F28" s="22">
        <v>2461</v>
      </c>
      <c r="G28" s="23" t="s">
        <v>33</v>
      </c>
    </row>
    <row r="29" spans="1:8" s="12" customFormat="1" ht="27">
      <c r="A29" s="59"/>
      <c r="B29" s="71"/>
      <c r="C29" s="63"/>
      <c r="D29" s="63"/>
      <c r="E29" s="63"/>
      <c r="F29" s="22">
        <v>1200</v>
      </c>
      <c r="G29" s="24" t="s">
        <v>34</v>
      </c>
    </row>
    <row r="30" spans="1:8" s="12" customFormat="1" ht="40.5">
      <c r="A30" s="59"/>
      <c r="B30" s="71"/>
      <c r="C30" s="63"/>
      <c r="D30" s="63"/>
      <c r="E30" s="63"/>
      <c r="F30" s="22">
        <v>221</v>
      </c>
      <c r="G30" s="23" t="s">
        <v>35</v>
      </c>
    </row>
    <row r="31" spans="1:8" s="12" customFormat="1" ht="27">
      <c r="A31" s="59"/>
      <c r="B31" s="76"/>
      <c r="C31" s="34"/>
      <c r="D31" s="34"/>
      <c r="E31" s="34"/>
      <c r="F31" s="22"/>
      <c r="G31" s="32" t="s">
        <v>36</v>
      </c>
    </row>
    <row r="32" spans="1:8" s="12" customFormat="1" ht="27">
      <c r="A32" s="59"/>
      <c r="B32" s="76"/>
      <c r="C32" s="34"/>
      <c r="D32" s="34"/>
      <c r="E32" s="34"/>
      <c r="F32" s="22">
        <f>-4354.3-1020-15146.3</f>
        <v>-20520.599999999999</v>
      </c>
      <c r="G32" s="23" t="s">
        <v>37</v>
      </c>
    </row>
    <row r="33" spans="1:8" s="12" customFormat="1" ht="27">
      <c r="A33" s="59"/>
      <c r="B33" s="76"/>
      <c r="C33" s="34"/>
      <c r="D33" s="34"/>
      <c r="E33" s="34"/>
      <c r="F33" s="22">
        <f>-7857.2+3314.2</f>
        <v>-4543</v>
      </c>
      <c r="G33" s="23" t="s">
        <v>38</v>
      </c>
    </row>
    <row r="34" spans="1:8" s="12" customFormat="1" ht="40.5">
      <c r="A34" s="59"/>
      <c r="B34" s="76"/>
      <c r="C34" s="34"/>
      <c r="D34" s="34"/>
      <c r="E34" s="34"/>
      <c r="F34" s="22">
        <v>-6405.7</v>
      </c>
      <c r="G34" s="23" t="s">
        <v>39</v>
      </c>
    </row>
    <row r="35" spans="1:8" s="12" customFormat="1" ht="40.5">
      <c r="A35" s="64"/>
      <c r="B35" s="77"/>
      <c r="C35" s="35"/>
      <c r="D35" s="35"/>
      <c r="E35" s="35"/>
      <c r="F35" s="22">
        <v>-39</v>
      </c>
      <c r="G35" s="23" t="s">
        <v>40</v>
      </c>
    </row>
    <row r="36" spans="1:8" s="12" customFormat="1">
      <c r="A36" s="16" t="s">
        <v>41</v>
      </c>
      <c r="B36" s="17" t="s">
        <v>42</v>
      </c>
      <c r="C36" s="18">
        <f>C37</f>
        <v>873499.4</v>
      </c>
      <c r="D36" s="18">
        <f>D37+D59</f>
        <v>858573.70000000007</v>
      </c>
      <c r="E36" s="18">
        <f t="shared" si="0"/>
        <v>-14925.699999999953</v>
      </c>
      <c r="F36" s="19">
        <f>SUM(F38:F59)</f>
        <v>-14925.699999999983</v>
      </c>
      <c r="G36" s="32"/>
      <c r="H36" s="21">
        <f>SUM(E36-F36)</f>
        <v>2.9103830456733704E-11</v>
      </c>
    </row>
    <row r="37" spans="1:8" s="12" customFormat="1" ht="27">
      <c r="A37" s="58"/>
      <c r="B37" s="70" t="s">
        <v>43</v>
      </c>
      <c r="C37" s="62">
        <v>873499.4</v>
      </c>
      <c r="D37" s="62">
        <f>801581.9-154771.8-543.3</f>
        <v>646266.80000000005</v>
      </c>
      <c r="E37" s="62">
        <f>SUM(D37-C37)</f>
        <v>-227232.59999999998</v>
      </c>
      <c r="F37" s="19"/>
      <c r="G37" s="32" t="s">
        <v>44</v>
      </c>
      <c r="H37" s="21"/>
    </row>
    <row r="38" spans="1:8" s="12" customFormat="1" ht="54">
      <c r="A38" s="59"/>
      <c r="B38" s="71"/>
      <c r="C38" s="63"/>
      <c r="D38" s="63"/>
      <c r="E38" s="63"/>
      <c r="F38" s="22">
        <f>1169.2+39</f>
        <v>1208.2</v>
      </c>
      <c r="G38" s="23" t="s">
        <v>45</v>
      </c>
      <c r="H38" s="21"/>
    </row>
    <row r="39" spans="1:8" s="12" customFormat="1" ht="40.5">
      <c r="A39" s="59"/>
      <c r="B39" s="71"/>
      <c r="C39" s="63"/>
      <c r="D39" s="63"/>
      <c r="E39" s="63"/>
      <c r="F39" s="22">
        <v>17592.599999999999</v>
      </c>
      <c r="G39" s="23" t="s">
        <v>46</v>
      </c>
      <c r="H39" s="21"/>
    </row>
    <row r="40" spans="1:8" s="12" customFormat="1" ht="27">
      <c r="A40" s="59"/>
      <c r="B40" s="71"/>
      <c r="C40" s="63"/>
      <c r="D40" s="63"/>
      <c r="E40" s="63"/>
      <c r="F40" s="22">
        <f>1204.8+4354.3</f>
        <v>5559.1</v>
      </c>
      <c r="G40" s="23" t="s">
        <v>47</v>
      </c>
      <c r="H40" s="21"/>
    </row>
    <row r="41" spans="1:8" s="12" customFormat="1" ht="27">
      <c r="A41" s="59"/>
      <c r="B41" s="71"/>
      <c r="C41" s="63"/>
      <c r="D41" s="63"/>
      <c r="E41" s="63"/>
      <c r="F41" s="22">
        <v>4031.8</v>
      </c>
      <c r="G41" s="23" t="s">
        <v>48</v>
      </c>
      <c r="H41" s="21"/>
    </row>
    <row r="42" spans="1:8" s="12" customFormat="1" ht="27">
      <c r="A42" s="59"/>
      <c r="B42" s="71"/>
      <c r="C42" s="63"/>
      <c r="D42" s="63"/>
      <c r="E42" s="63"/>
      <c r="F42" s="22">
        <f>7857.2-3314.2</f>
        <v>4543</v>
      </c>
      <c r="G42" s="23" t="s">
        <v>49</v>
      </c>
      <c r="H42" s="21"/>
    </row>
    <row r="43" spans="1:8" s="12" customFormat="1" ht="27">
      <c r="A43" s="59"/>
      <c r="B43" s="71"/>
      <c r="C43" s="63"/>
      <c r="D43" s="63"/>
      <c r="E43" s="63"/>
      <c r="F43" s="22">
        <f>2000+1174.9-960.6</f>
        <v>2214.3000000000002</v>
      </c>
      <c r="G43" s="23" t="s">
        <v>50</v>
      </c>
      <c r="H43" s="21"/>
    </row>
    <row r="44" spans="1:8" s="12" customFormat="1">
      <c r="A44" s="59"/>
      <c r="B44" s="71"/>
      <c r="C44" s="63"/>
      <c r="D44" s="63"/>
      <c r="E44" s="63"/>
      <c r="F44" s="22">
        <v>6705.9</v>
      </c>
      <c r="G44" s="24" t="s">
        <v>51</v>
      </c>
      <c r="H44" s="21"/>
    </row>
    <row r="45" spans="1:8" s="12" customFormat="1" ht="27">
      <c r="A45" s="59"/>
      <c r="B45" s="71"/>
      <c r="C45" s="63"/>
      <c r="D45" s="63"/>
      <c r="E45" s="63"/>
      <c r="F45" s="22">
        <v>7730.9</v>
      </c>
      <c r="G45" s="24" t="s">
        <v>52</v>
      </c>
      <c r="H45" s="21"/>
    </row>
    <row r="46" spans="1:8" s="12" customFormat="1" ht="27">
      <c r="A46" s="59"/>
      <c r="B46" s="71"/>
      <c r="C46" s="63"/>
      <c r="D46" s="63"/>
      <c r="E46" s="63"/>
      <c r="F46" s="22">
        <v>1949.6</v>
      </c>
      <c r="G46" s="24" t="s">
        <v>53</v>
      </c>
      <c r="H46" s="21"/>
    </row>
    <row r="47" spans="1:8" s="12" customFormat="1" ht="27">
      <c r="A47" s="59"/>
      <c r="B47" s="71"/>
      <c r="C47" s="63"/>
      <c r="D47" s="63"/>
      <c r="E47" s="63"/>
      <c r="F47" s="22"/>
      <c r="G47" s="23" t="s">
        <v>111</v>
      </c>
      <c r="H47" s="21"/>
    </row>
    <row r="48" spans="1:8" s="12" customFormat="1" ht="27">
      <c r="A48" s="59"/>
      <c r="B48" s="71"/>
      <c r="C48" s="63"/>
      <c r="D48" s="63"/>
      <c r="E48" s="63"/>
      <c r="F48" s="22">
        <v>-5250</v>
      </c>
      <c r="G48" s="23" t="s">
        <v>54</v>
      </c>
      <c r="H48" s="21"/>
    </row>
    <row r="49" spans="1:8" s="12" customFormat="1" ht="27">
      <c r="A49" s="59"/>
      <c r="B49" s="71"/>
      <c r="C49" s="63"/>
      <c r="D49" s="63"/>
      <c r="E49" s="63"/>
      <c r="F49" s="22">
        <f>-1535.7-200-100-54.4-5719</f>
        <v>-7609.1</v>
      </c>
      <c r="G49" s="23" t="s">
        <v>55</v>
      </c>
      <c r="H49" s="21"/>
    </row>
    <row r="50" spans="1:8" s="12" customFormat="1" ht="27">
      <c r="A50" s="59"/>
      <c r="B50" s="71"/>
      <c r="C50" s="63"/>
      <c r="D50" s="63"/>
      <c r="E50" s="63"/>
      <c r="F50" s="22">
        <v>-41224.199999999997</v>
      </c>
      <c r="G50" s="23" t="s">
        <v>56</v>
      </c>
      <c r="H50" s="21"/>
    </row>
    <row r="51" spans="1:8" s="12" customFormat="1" ht="40.5">
      <c r="A51" s="59"/>
      <c r="B51" s="71"/>
      <c r="C51" s="63"/>
      <c r="D51" s="63"/>
      <c r="E51" s="63"/>
      <c r="F51" s="22">
        <v>-4481.8999999999996</v>
      </c>
      <c r="G51" s="23" t="s">
        <v>57</v>
      </c>
      <c r="H51" s="21"/>
    </row>
    <row r="52" spans="1:8" s="12" customFormat="1" ht="40.5">
      <c r="A52" s="59"/>
      <c r="B52" s="71"/>
      <c r="C52" s="63"/>
      <c r="D52" s="63"/>
      <c r="E52" s="63"/>
      <c r="F52" s="22">
        <v>-211992.6</v>
      </c>
      <c r="G52" s="23" t="s">
        <v>58</v>
      </c>
      <c r="H52" s="21"/>
    </row>
    <row r="53" spans="1:8" s="12" customFormat="1" ht="27">
      <c r="A53" s="59"/>
      <c r="B53" s="71"/>
      <c r="C53" s="63"/>
      <c r="D53" s="63"/>
      <c r="E53" s="63"/>
      <c r="F53" s="22">
        <v>-1075</v>
      </c>
      <c r="G53" s="23" t="s">
        <v>59</v>
      </c>
      <c r="H53" s="21"/>
    </row>
    <row r="54" spans="1:8" s="12" customFormat="1" ht="40.5">
      <c r="A54" s="59"/>
      <c r="B54" s="71"/>
      <c r="C54" s="63"/>
      <c r="D54" s="63"/>
      <c r="E54" s="63"/>
      <c r="F54" s="22">
        <v>-99.9</v>
      </c>
      <c r="G54" s="23" t="s">
        <v>60</v>
      </c>
      <c r="H54" s="21"/>
    </row>
    <row r="55" spans="1:8" s="12" customFormat="1">
      <c r="A55" s="59"/>
      <c r="B55" s="71"/>
      <c r="C55" s="63"/>
      <c r="D55" s="63"/>
      <c r="E55" s="63"/>
      <c r="F55" s="22">
        <v>-1510</v>
      </c>
      <c r="G55" s="23" t="s">
        <v>61</v>
      </c>
      <c r="H55" s="21"/>
    </row>
    <row r="56" spans="1:8" s="12" customFormat="1" ht="27">
      <c r="A56" s="59"/>
      <c r="B56" s="71"/>
      <c r="C56" s="63"/>
      <c r="D56" s="63"/>
      <c r="E56" s="63"/>
      <c r="F56" s="22">
        <f>-2461-543.3</f>
        <v>-3004.3</v>
      </c>
      <c r="G56" s="23" t="s">
        <v>110</v>
      </c>
      <c r="H56" s="21"/>
    </row>
    <row r="57" spans="1:8" s="12" customFormat="1" ht="27">
      <c r="A57" s="59"/>
      <c r="B57" s="71"/>
      <c r="C57" s="63"/>
      <c r="D57" s="63"/>
      <c r="E57" s="63"/>
      <c r="F57" s="22">
        <v>-2300</v>
      </c>
      <c r="G57" s="23" t="s">
        <v>62</v>
      </c>
      <c r="H57" s="21"/>
    </row>
    <row r="58" spans="1:8" s="12" customFormat="1" ht="27">
      <c r="A58" s="59"/>
      <c r="B58" s="72"/>
      <c r="C58" s="69"/>
      <c r="D58" s="69"/>
      <c r="E58" s="69"/>
      <c r="F58" s="22">
        <v>-221</v>
      </c>
      <c r="G58" s="23" t="s">
        <v>63</v>
      </c>
      <c r="H58" s="21"/>
    </row>
    <row r="59" spans="1:8" s="12" customFormat="1" ht="67.5">
      <c r="A59" s="64"/>
      <c r="B59" s="36" t="s">
        <v>64</v>
      </c>
      <c r="C59" s="29">
        <v>0</v>
      </c>
      <c r="D59" s="29">
        <v>212306.9</v>
      </c>
      <c r="E59" s="29">
        <f>D59-C59</f>
        <v>212306.9</v>
      </c>
      <c r="F59" s="22">
        <f>211992.6+314.3</f>
        <v>212306.9</v>
      </c>
      <c r="G59" s="23" t="s">
        <v>65</v>
      </c>
      <c r="H59" s="21"/>
    </row>
    <row r="60" spans="1:8">
      <c r="A60" s="16" t="s">
        <v>66</v>
      </c>
      <c r="B60" s="17" t="s">
        <v>67</v>
      </c>
      <c r="C60" s="18">
        <f>C61+C64</f>
        <v>36834.1</v>
      </c>
      <c r="D60" s="18">
        <f>D61+D64</f>
        <v>79070.2</v>
      </c>
      <c r="E60" s="18">
        <f t="shared" si="0"/>
        <v>42236.1</v>
      </c>
      <c r="F60" s="19">
        <f>SUM(F61+F62+F63)</f>
        <v>42236.1</v>
      </c>
      <c r="G60" s="32"/>
      <c r="H60" s="21">
        <f t="shared" ref="H60" si="3">SUM(E60-F60)</f>
        <v>0</v>
      </c>
    </row>
    <row r="61" spans="1:8" ht="27">
      <c r="A61" s="65"/>
      <c r="B61" s="60" t="s">
        <v>68</v>
      </c>
      <c r="C61" s="62">
        <v>35447.699999999997</v>
      </c>
      <c r="D61" s="62">
        <v>77683.8</v>
      </c>
      <c r="E61" s="62">
        <f>D61-C61</f>
        <v>42236.100000000006</v>
      </c>
      <c r="F61" s="10">
        <v>41224.199999999997</v>
      </c>
      <c r="G61" s="23" t="s">
        <v>69</v>
      </c>
      <c r="H61" s="12"/>
    </row>
    <row r="62" spans="1:8" ht="27">
      <c r="A62" s="66"/>
      <c r="B62" s="61"/>
      <c r="C62" s="63"/>
      <c r="D62" s="63"/>
      <c r="E62" s="63"/>
      <c r="F62" s="10">
        <v>1020</v>
      </c>
      <c r="G62" s="23" t="s">
        <v>70</v>
      </c>
      <c r="H62" s="12"/>
    </row>
    <row r="63" spans="1:8" ht="40.5">
      <c r="A63" s="66"/>
      <c r="B63" s="68"/>
      <c r="C63" s="69"/>
      <c r="D63" s="69"/>
      <c r="E63" s="69"/>
      <c r="F63" s="10">
        <v>-8.1</v>
      </c>
      <c r="G63" s="23" t="s">
        <v>71</v>
      </c>
      <c r="H63" s="12"/>
    </row>
    <row r="64" spans="1:8" ht="31.5">
      <c r="A64" s="67"/>
      <c r="B64" s="37" t="s">
        <v>15</v>
      </c>
      <c r="C64" s="26">
        <v>1386.4</v>
      </c>
      <c r="D64" s="26">
        <v>1386.4</v>
      </c>
      <c r="E64" s="26">
        <f>D64-C64</f>
        <v>0</v>
      </c>
      <c r="F64" s="10">
        <v>0</v>
      </c>
      <c r="G64" s="24"/>
      <c r="H64" s="12"/>
    </row>
    <row r="65" spans="1:8">
      <c r="A65" s="16" t="s">
        <v>72</v>
      </c>
      <c r="B65" s="17" t="s">
        <v>73</v>
      </c>
      <c r="C65" s="18">
        <f>C66+C73+C75+C76+C77+C78+C80+C79</f>
        <v>3686241.4</v>
      </c>
      <c r="D65" s="18">
        <f>D66+D73+D75+D76+D77+D78+D80+D79</f>
        <v>3684393.9999999995</v>
      </c>
      <c r="E65" s="18">
        <f>D65-C65</f>
        <v>-1847.4000000003725</v>
      </c>
      <c r="F65" s="19">
        <f>SUM(F66:F80)</f>
        <v>-1847.3999999999996</v>
      </c>
      <c r="G65" s="32"/>
      <c r="H65" s="21">
        <f>SUM(E65-F65)</f>
        <v>-3.7289282772690058E-10</v>
      </c>
    </row>
    <row r="66" spans="1:8" ht="27">
      <c r="A66" s="58"/>
      <c r="B66" s="60" t="s">
        <v>74</v>
      </c>
      <c r="C66" s="62">
        <v>3546889.6</v>
      </c>
      <c r="D66" s="62">
        <f>3537320.8-4559.9+10079.4-617+2021.9</f>
        <v>3544245.1999999997</v>
      </c>
      <c r="E66" s="62">
        <f>D66-C66</f>
        <v>-2644.4000000003725</v>
      </c>
      <c r="F66" s="26">
        <f>200+303.3</f>
        <v>503.3</v>
      </c>
      <c r="G66" s="32" t="s">
        <v>75</v>
      </c>
      <c r="H66" s="21"/>
    </row>
    <row r="67" spans="1:8" ht="27">
      <c r="A67" s="59"/>
      <c r="B67" s="61"/>
      <c r="C67" s="63"/>
      <c r="D67" s="63"/>
      <c r="E67" s="63"/>
      <c r="F67" s="22">
        <v>1711.4</v>
      </c>
      <c r="G67" s="23" t="s">
        <v>76</v>
      </c>
      <c r="H67" s="21"/>
    </row>
    <row r="68" spans="1:8" ht="40.5">
      <c r="A68" s="59"/>
      <c r="B68" s="61"/>
      <c r="C68" s="63"/>
      <c r="D68" s="63"/>
      <c r="E68" s="63"/>
      <c r="F68" s="22">
        <v>1000</v>
      </c>
      <c r="G68" s="24" t="s">
        <v>77</v>
      </c>
      <c r="H68" s="21"/>
    </row>
    <row r="69" spans="1:8" ht="40.5">
      <c r="A69" s="59"/>
      <c r="B69" s="61"/>
      <c r="C69" s="63"/>
      <c r="D69" s="63"/>
      <c r="E69" s="63"/>
      <c r="F69" s="22">
        <f>1002.6+1019.3</f>
        <v>2021.9</v>
      </c>
      <c r="G69" s="24" t="s">
        <v>113</v>
      </c>
      <c r="H69" s="21"/>
    </row>
    <row r="70" spans="1:8" ht="27">
      <c r="A70" s="59"/>
      <c r="B70" s="61"/>
      <c r="C70" s="63"/>
      <c r="D70" s="63"/>
      <c r="E70" s="63"/>
      <c r="F70" s="26">
        <v>-7100</v>
      </c>
      <c r="G70" s="32" t="s">
        <v>78</v>
      </c>
      <c r="H70" s="21"/>
    </row>
    <row r="71" spans="1:8" ht="40.5">
      <c r="A71" s="59"/>
      <c r="B71" s="80"/>
      <c r="C71" s="78"/>
      <c r="D71" s="78"/>
      <c r="E71" s="78"/>
      <c r="F71" s="22">
        <v>-67</v>
      </c>
      <c r="G71" s="23" t="s">
        <v>79</v>
      </c>
      <c r="H71" s="21"/>
    </row>
    <row r="72" spans="1:8" ht="27">
      <c r="A72" s="59"/>
      <c r="B72" s="81"/>
      <c r="C72" s="79"/>
      <c r="D72" s="79"/>
      <c r="E72" s="79"/>
      <c r="F72" s="22">
        <v>-714</v>
      </c>
      <c r="G72" s="23" t="s">
        <v>80</v>
      </c>
      <c r="H72" s="21"/>
    </row>
    <row r="73" spans="1:8" ht="27">
      <c r="A73" s="59"/>
      <c r="B73" s="70" t="s">
        <v>81</v>
      </c>
      <c r="C73" s="62">
        <v>139144.29999999999</v>
      </c>
      <c r="D73" s="62">
        <v>139501.29999999999</v>
      </c>
      <c r="E73" s="62">
        <f t="shared" ref="E73:E86" si="4">D73-C73</f>
        <v>357</v>
      </c>
      <c r="F73" s="22">
        <f>D73-C73</f>
        <v>357</v>
      </c>
      <c r="G73" s="23" t="s">
        <v>82</v>
      </c>
      <c r="H73" s="38"/>
    </row>
    <row r="74" spans="1:8" hidden="1">
      <c r="A74" s="59"/>
      <c r="B74" s="72"/>
      <c r="C74" s="69"/>
      <c r="D74" s="69"/>
      <c r="E74" s="69"/>
      <c r="F74" s="22"/>
      <c r="G74" s="23"/>
      <c r="H74" s="38"/>
    </row>
    <row r="75" spans="1:8" ht="30">
      <c r="A75" s="59"/>
      <c r="B75" s="25" t="s">
        <v>83</v>
      </c>
      <c r="C75" s="26"/>
      <c r="D75" s="26"/>
      <c r="E75" s="39">
        <f t="shared" si="4"/>
        <v>0</v>
      </c>
      <c r="F75" s="22"/>
      <c r="G75" s="23"/>
    </row>
    <row r="76" spans="1:8" ht="40.5">
      <c r="A76" s="59"/>
      <c r="B76" s="40" t="s">
        <v>12</v>
      </c>
      <c r="C76" s="39">
        <v>50</v>
      </c>
      <c r="D76" s="39">
        <v>133</v>
      </c>
      <c r="E76" s="39">
        <f t="shared" si="4"/>
        <v>83</v>
      </c>
      <c r="F76" s="22">
        <f>75+8</f>
        <v>83</v>
      </c>
      <c r="G76" s="24" t="s">
        <v>84</v>
      </c>
      <c r="H76" s="12"/>
    </row>
    <row r="77" spans="1:8">
      <c r="A77" s="59"/>
      <c r="B77" s="25" t="s">
        <v>13</v>
      </c>
      <c r="C77" s="26"/>
      <c r="D77" s="26"/>
      <c r="E77" s="39">
        <f t="shared" si="4"/>
        <v>0</v>
      </c>
      <c r="F77" s="22"/>
      <c r="G77" s="23"/>
      <c r="H77" s="12"/>
    </row>
    <row r="78" spans="1:8" ht="27">
      <c r="A78" s="59"/>
      <c r="B78" s="25" t="s">
        <v>64</v>
      </c>
      <c r="C78" s="26">
        <v>0</v>
      </c>
      <c r="D78" s="26">
        <v>357</v>
      </c>
      <c r="E78" s="39">
        <f t="shared" si="4"/>
        <v>357</v>
      </c>
      <c r="F78" s="22">
        <v>357</v>
      </c>
      <c r="G78" s="23" t="s">
        <v>82</v>
      </c>
      <c r="H78" s="12"/>
    </row>
    <row r="79" spans="1:8" ht="31.5">
      <c r="A79" s="59"/>
      <c r="B79" s="41" t="s">
        <v>85</v>
      </c>
      <c r="C79" s="26">
        <v>40</v>
      </c>
      <c r="D79" s="26">
        <v>40</v>
      </c>
      <c r="E79" s="39">
        <f t="shared" si="4"/>
        <v>0</v>
      </c>
      <c r="F79" s="22"/>
      <c r="G79" s="24"/>
      <c r="H79" s="12"/>
    </row>
    <row r="80" spans="1:8">
      <c r="A80" s="64"/>
      <c r="B80" s="25" t="s">
        <v>15</v>
      </c>
      <c r="C80" s="26">
        <v>117.5</v>
      </c>
      <c r="D80" s="26">
        <v>117.5</v>
      </c>
      <c r="E80" s="39">
        <f t="shared" si="4"/>
        <v>0</v>
      </c>
      <c r="F80" s="22"/>
      <c r="G80" s="23"/>
      <c r="H80" s="12"/>
    </row>
    <row r="81" spans="1:8" s="12" customFormat="1">
      <c r="A81" s="16" t="s">
        <v>86</v>
      </c>
      <c r="B81" s="17" t="s">
        <v>87</v>
      </c>
      <c r="C81" s="18">
        <f>C82+C84</f>
        <v>294360.3</v>
      </c>
      <c r="D81" s="18">
        <f>D82+D84</f>
        <v>303921.59999999998</v>
      </c>
      <c r="E81" s="18">
        <f t="shared" si="4"/>
        <v>9561.2999999999884</v>
      </c>
      <c r="F81" s="19">
        <f>SUM(F82:F84)</f>
        <v>9561.2999999999993</v>
      </c>
      <c r="G81" s="32"/>
      <c r="H81" s="21">
        <f>SUM(E81-F81)</f>
        <v>-1.0913936421275139E-11</v>
      </c>
    </row>
    <row r="82" spans="1:8" s="12" customFormat="1" ht="40.5">
      <c r="A82" s="73"/>
      <c r="B82" s="60" t="s">
        <v>88</v>
      </c>
      <c r="C82" s="62">
        <v>277260.3</v>
      </c>
      <c r="D82" s="62">
        <f>279638.5-16.9</f>
        <v>279621.59999999998</v>
      </c>
      <c r="E82" s="62">
        <f>D82-C82</f>
        <v>2361.2999999999884</v>
      </c>
      <c r="F82" s="22">
        <v>1000</v>
      </c>
      <c r="G82" s="23" t="s">
        <v>89</v>
      </c>
      <c r="H82" s="21"/>
    </row>
    <row r="83" spans="1:8" s="12" customFormat="1" ht="40.5">
      <c r="A83" s="73"/>
      <c r="B83" s="74"/>
      <c r="C83" s="75"/>
      <c r="D83" s="75"/>
      <c r="E83" s="75"/>
      <c r="F83" s="22">
        <v>1361.3</v>
      </c>
      <c r="G83" s="23" t="s">
        <v>90</v>
      </c>
      <c r="H83" s="21"/>
    </row>
    <row r="84" spans="1:8" ht="40.5">
      <c r="A84" s="73"/>
      <c r="B84" s="25" t="s">
        <v>12</v>
      </c>
      <c r="C84" s="26">
        <v>17100</v>
      </c>
      <c r="D84" s="26">
        <v>24300</v>
      </c>
      <c r="E84" s="39">
        <f>D84-C84</f>
        <v>7200</v>
      </c>
      <c r="F84" s="22">
        <f>D84-C84</f>
        <v>7200</v>
      </c>
      <c r="G84" s="23" t="s">
        <v>91</v>
      </c>
      <c r="H84" s="21"/>
    </row>
    <row r="85" spans="1:8">
      <c r="A85" s="13"/>
      <c r="B85" s="25"/>
      <c r="C85" s="26"/>
      <c r="D85" s="26"/>
      <c r="E85" s="39"/>
      <c r="F85" s="22"/>
      <c r="G85" s="23"/>
      <c r="H85" s="21"/>
    </row>
    <row r="86" spans="1:8">
      <c r="A86" s="16" t="s">
        <v>92</v>
      </c>
      <c r="B86" s="17" t="s">
        <v>93</v>
      </c>
      <c r="C86" s="18">
        <f>C87+C89+ C90+C91+C93+C92</f>
        <v>1246034.2</v>
      </c>
      <c r="D86" s="18">
        <f>D87+D89+D90+D91+D93+D92</f>
        <v>1242754.8</v>
      </c>
      <c r="E86" s="18">
        <f t="shared" si="4"/>
        <v>-3279.3999999999069</v>
      </c>
      <c r="F86" s="19">
        <f>SUM(F87:F93)</f>
        <v>-3279.4</v>
      </c>
      <c r="G86" s="32"/>
      <c r="H86" s="21">
        <f t="shared" ref="H86" si="5">SUM(E86-F86)</f>
        <v>9.3223206931725144E-11</v>
      </c>
    </row>
    <row r="87" spans="1:8" ht="27">
      <c r="A87" s="58"/>
      <c r="B87" s="70" t="s">
        <v>94</v>
      </c>
      <c r="C87" s="62">
        <v>1027642.4</v>
      </c>
      <c r="D87" s="62">
        <f>1031316.7-3674.4+2400+0.1</f>
        <v>1030042.3999999999</v>
      </c>
      <c r="E87" s="62">
        <f>D87-C87</f>
        <v>2399.9999999998836</v>
      </c>
      <c r="F87" s="22">
        <v>2400</v>
      </c>
      <c r="G87" s="23" t="s">
        <v>114</v>
      </c>
      <c r="H87" s="21"/>
    </row>
    <row r="88" spans="1:8">
      <c r="A88" s="59"/>
      <c r="B88" s="72"/>
      <c r="C88" s="69"/>
      <c r="D88" s="69"/>
      <c r="E88" s="69"/>
      <c r="F88" s="22"/>
      <c r="G88" s="32"/>
      <c r="H88" s="21"/>
    </row>
    <row r="89" spans="1:8">
      <c r="A89" s="59"/>
      <c r="B89" s="42" t="s">
        <v>74</v>
      </c>
      <c r="C89" s="26">
        <v>80939</v>
      </c>
      <c r="D89" s="26">
        <v>80939</v>
      </c>
      <c r="E89" s="39">
        <f t="shared" ref="E89:E93" si="6">D89-C89</f>
        <v>0</v>
      </c>
      <c r="F89" s="22"/>
      <c r="G89" s="23"/>
    </row>
    <row r="90" spans="1:8" ht="40.5">
      <c r="A90" s="59"/>
      <c r="B90" s="40" t="s">
        <v>12</v>
      </c>
      <c r="C90" s="39">
        <v>98665.2</v>
      </c>
      <c r="D90" s="39">
        <v>97490.3</v>
      </c>
      <c r="E90" s="39">
        <f t="shared" si="6"/>
        <v>-1174.8999999999942</v>
      </c>
      <c r="F90" s="22">
        <v>-1174.9000000000001</v>
      </c>
      <c r="G90" s="23" t="s">
        <v>95</v>
      </c>
    </row>
    <row r="91" spans="1:8" s="38" customFormat="1">
      <c r="A91" s="59"/>
      <c r="B91" s="25" t="s">
        <v>88</v>
      </c>
      <c r="C91" s="26"/>
      <c r="D91" s="26"/>
      <c r="E91" s="39">
        <f t="shared" si="6"/>
        <v>0</v>
      </c>
      <c r="F91" s="22"/>
      <c r="G91" s="32"/>
      <c r="H91" s="2"/>
    </row>
    <row r="92" spans="1:8" s="38" customFormat="1" ht="30">
      <c r="A92" s="59"/>
      <c r="B92" s="25" t="s">
        <v>96</v>
      </c>
      <c r="C92" s="26">
        <v>38487.599999999999</v>
      </c>
      <c r="D92" s="26">
        <f>36383.2-2400.1</f>
        <v>33983.1</v>
      </c>
      <c r="E92" s="39">
        <f>D92-C92</f>
        <v>-4504.5</v>
      </c>
      <c r="F92" s="22">
        <v>-4504.5</v>
      </c>
      <c r="G92" s="32" t="s">
        <v>115</v>
      </c>
      <c r="H92" s="43"/>
    </row>
    <row r="93" spans="1:8">
      <c r="A93" s="64"/>
      <c r="B93" s="25" t="s">
        <v>64</v>
      </c>
      <c r="C93" s="26">
        <v>300</v>
      </c>
      <c r="D93" s="26">
        <v>300</v>
      </c>
      <c r="E93" s="39">
        <f t="shared" si="6"/>
        <v>0</v>
      </c>
      <c r="F93" s="22"/>
      <c r="G93" s="32"/>
      <c r="H93" s="43"/>
    </row>
    <row r="94" spans="1:8" s="12" customFormat="1">
      <c r="A94" s="16" t="s">
        <v>97</v>
      </c>
      <c r="B94" s="17" t="s">
        <v>98</v>
      </c>
      <c r="C94" s="18">
        <f>SUM(C95:C98)</f>
        <v>519882</v>
      </c>
      <c r="D94" s="18">
        <f>SUM(D95:D98)</f>
        <v>503320.60000000003</v>
      </c>
      <c r="E94" s="18">
        <f>SUM(E95:E98)</f>
        <v>-16561.399999999965</v>
      </c>
      <c r="F94" s="18">
        <f>SUM(F95:F98)</f>
        <v>-16561.400000000001</v>
      </c>
      <c r="G94" s="32"/>
      <c r="H94" s="21">
        <f>SUM(E94-F94)</f>
        <v>3.637978807091713E-11</v>
      </c>
    </row>
    <row r="95" spans="1:8" s="12" customFormat="1" ht="40.5">
      <c r="A95" s="65"/>
      <c r="B95" s="70" t="s">
        <v>99</v>
      </c>
      <c r="C95" s="62">
        <v>164296.79999999999</v>
      </c>
      <c r="D95" s="62">
        <v>149446.79999999999</v>
      </c>
      <c r="E95" s="62">
        <f>D95-C95</f>
        <v>-14850</v>
      </c>
      <c r="F95" s="22">
        <v>-9950</v>
      </c>
      <c r="G95" s="23" t="s">
        <v>100</v>
      </c>
      <c r="H95" s="21"/>
    </row>
    <row r="96" spans="1:8" s="12" customFormat="1" ht="40.5">
      <c r="A96" s="66"/>
      <c r="B96" s="72"/>
      <c r="C96" s="69"/>
      <c r="D96" s="69"/>
      <c r="E96" s="69"/>
      <c r="F96" s="22">
        <v>-4900</v>
      </c>
      <c r="G96" s="23" t="s">
        <v>101</v>
      </c>
      <c r="H96" s="21"/>
    </row>
    <row r="97" spans="1:8" s="12" customFormat="1">
      <c r="A97" s="66"/>
      <c r="B97" s="25" t="s">
        <v>74</v>
      </c>
      <c r="C97" s="26">
        <v>3869</v>
      </c>
      <c r="D97" s="26">
        <v>3869</v>
      </c>
      <c r="E97" s="26">
        <f t="shared" ref="E97" si="7">D97-C97</f>
        <v>0</v>
      </c>
      <c r="F97" s="22"/>
      <c r="G97" s="23"/>
      <c r="H97" s="21"/>
    </row>
    <row r="98" spans="1:8" s="12" customFormat="1" ht="27">
      <c r="A98" s="66"/>
      <c r="B98" s="40" t="s">
        <v>64</v>
      </c>
      <c r="C98" s="39">
        <v>351716.2</v>
      </c>
      <c r="D98" s="39">
        <f>349906.9+304.9-207</f>
        <v>350004.80000000005</v>
      </c>
      <c r="E98" s="39">
        <f>D98-C98</f>
        <v>-1711.3999999999651</v>
      </c>
      <c r="F98" s="22">
        <v>-1711.4</v>
      </c>
      <c r="G98" s="23" t="s">
        <v>102</v>
      </c>
      <c r="H98" s="21"/>
    </row>
    <row r="99" spans="1:8" s="12" customFormat="1">
      <c r="A99" s="44"/>
      <c r="B99" s="45" t="s">
        <v>103</v>
      </c>
      <c r="C99" s="18">
        <f>C6+C18+C20+C36+C60+C65+C81+C86+C94</f>
        <v>8186270.2999999998</v>
      </c>
      <c r="D99" s="18">
        <f>D6+D18+D20+D36+D60+D65+D81+D86+D94</f>
        <v>8186270.2999999989</v>
      </c>
      <c r="E99" s="52">
        <f>D99-C99</f>
        <v>0</v>
      </c>
      <c r="F99" s="53">
        <f>F6+F18+F20+F36+F60+F65+F81+F86+F94</f>
        <v>0</v>
      </c>
      <c r="G99" s="46"/>
      <c r="H99" s="21">
        <f t="shared" ref="H99" si="8">SUM(E99-F99)</f>
        <v>0</v>
      </c>
    </row>
  </sheetData>
  <mergeCells count="49">
    <mergeCell ref="C73:C74"/>
    <mergeCell ref="D73:D74"/>
    <mergeCell ref="E14:E16"/>
    <mergeCell ref="B21:B35"/>
    <mergeCell ref="B14:B16"/>
    <mergeCell ref="D14:D16"/>
    <mergeCell ref="C14:C16"/>
    <mergeCell ref="E73:E74"/>
    <mergeCell ref="E66:E72"/>
    <mergeCell ref="B66:B72"/>
    <mergeCell ref="C66:C72"/>
    <mergeCell ref="D66:D72"/>
    <mergeCell ref="E95:E96"/>
    <mergeCell ref="A82:A84"/>
    <mergeCell ref="B82:B83"/>
    <mergeCell ref="C82:C83"/>
    <mergeCell ref="D82:D83"/>
    <mergeCell ref="E82:E83"/>
    <mergeCell ref="A87:A93"/>
    <mergeCell ref="B87:B88"/>
    <mergeCell ref="C87:C88"/>
    <mergeCell ref="D87:D88"/>
    <mergeCell ref="E87:E88"/>
    <mergeCell ref="A95:A98"/>
    <mergeCell ref="B95:B96"/>
    <mergeCell ref="C95:C96"/>
    <mergeCell ref="D95:D96"/>
    <mergeCell ref="A66:A80"/>
    <mergeCell ref="A21:A35"/>
    <mergeCell ref="C21:C30"/>
    <mergeCell ref="D21:D30"/>
    <mergeCell ref="E21:E30"/>
    <mergeCell ref="A61:A64"/>
    <mergeCell ref="B61:B63"/>
    <mergeCell ref="C61:C63"/>
    <mergeCell ref="D61:D63"/>
    <mergeCell ref="E61:E63"/>
    <mergeCell ref="A37:A59"/>
    <mergeCell ref="B37:B58"/>
    <mergeCell ref="C37:C58"/>
    <mergeCell ref="D37:D58"/>
    <mergeCell ref="E37:E58"/>
    <mergeCell ref="B73:B74"/>
    <mergeCell ref="A2:G2"/>
    <mergeCell ref="A7:A16"/>
    <mergeCell ref="B7:B12"/>
    <mergeCell ref="C7:C12"/>
    <mergeCell ref="D7:D12"/>
    <mergeCell ref="E7:E12"/>
  </mergeCells>
  <pageMargins left="0.59055118110236227" right="0" top="0" bottom="0" header="0.31496062992125984" footer="0.31496062992125984"/>
  <pageSetup paperSize="9" scale="74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 5</vt:lpstr>
      <vt:lpstr>'прилож 5'!Заголовки_для_печати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User</cp:lastModifiedBy>
  <cp:lastPrinted>2024-06-17T06:16:48Z</cp:lastPrinted>
  <dcterms:created xsi:type="dcterms:W3CDTF">2023-11-13T10:17:57Z</dcterms:created>
  <dcterms:modified xsi:type="dcterms:W3CDTF">2024-06-17T06:17:06Z</dcterms:modified>
</cp:coreProperties>
</file>