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05" windowWidth="27795" windowHeight="11460"/>
  </bookViews>
  <sheets>
    <sheet name="перемещ" sheetId="1" r:id="rId1"/>
  </sheets>
  <definedNames>
    <definedName name="_PBuh_" localSheetId="0">#REF!</definedName>
    <definedName name="_PBuh_">#REF!</definedName>
    <definedName name="_PRuk_" localSheetId="0">#REF!</definedName>
    <definedName name="_PRuk_">#REF!</definedName>
    <definedName name="_xlnm.Print_Titles" localSheetId="0">перемещ!$4:$4</definedName>
    <definedName name="_xlnm.Print_Area" localSheetId="0">перемещ!$A$1:$G$89</definedName>
  </definedNames>
  <calcPr calcId="145621"/>
</workbook>
</file>

<file path=xl/calcChain.xml><?xml version="1.0" encoding="utf-8"?>
<calcChain xmlns="http://schemas.openxmlformats.org/spreadsheetml/2006/main">
  <c r="D52" i="1" l="1"/>
  <c r="D38" i="1" l="1"/>
  <c r="F45" i="1"/>
  <c r="F28" i="1"/>
  <c r="D25" i="1"/>
  <c r="F27" i="1" l="1"/>
  <c r="D7" i="1"/>
  <c r="F51" i="1" l="1"/>
  <c r="C51" i="1"/>
  <c r="D51" i="1" l="1"/>
  <c r="F10" i="1" l="1"/>
  <c r="D67" i="1"/>
  <c r="D54" i="1" l="1"/>
  <c r="D77" i="1"/>
  <c r="D74" i="1"/>
  <c r="D84" i="1"/>
  <c r="F34" i="1" l="1"/>
  <c r="F32" i="1"/>
  <c r="F30" i="1"/>
  <c r="F26" i="1"/>
  <c r="D23" i="1"/>
  <c r="F85" i="1" l="1"/>
  <c r="C84" i="1"/>
  <c r="E84" i="1" s="1"/>
  <c r="E83" i="1"/>
  <c r="E82" i="1"/>
  <c r="F81" i="1"/>
  <c r="D81" i="1"/>
  <c r="E80" i="1"/>
  <c r="E79" i="1"/>
  <c r="E78" i="1"/>
  <c r="E77" i="1"/>
  <c r="E76" i="1"/>
  <c r="C74" i="1"/>
  <c r="E74" i="1" s="1"/>
  <c r="F73" i="1"/>
  <c r="D73" i="1"/>
  <c r="E72" i="1"/>
  <c r="F71" i="1"/>
  <c r="F70" i="1"/>
  <c r="F68" i="1"/>
  <c r="C67" i="1"/>
  <c r="E67" i="1" s="1"/>
  <c r="D66" i="1"/>
  <c r="E65" i="1"/>
  <c r="E64" i="1"/>
  <c r="E63" i="1"/>
  <c r="E62" i="1"/>
  <c r="E61" i="1"/>
  <c r="F58" i="1"/>
  <c r="E58" i="1"/>
  <c r="C54" i="1"/>
  <c r="E54" i="1" s="1"/>
  <c r="D53" i="1"/>
  <c r="E52" i="1"/>
  <c r="E51" i="1" s="1"/>
  <c r="F48" i="1"/>
  <c r="F47" i="1"/>
  <c r="F46" i="1"/>
  <c r="F40" i="1"/>
  <c r="F39" i="1"/>
  <c r="E38" i="1"/>
  <c r="D37" i="1"/>
  <c r="C37" i="1"/>
  <c r="F24" i="1"/>
  <c r="E25" i="1"/>
  <c r="D24" i="1"/>
  <c r="C24" i="1"/>
  <c r="E23" i="1"/>
  <c r="F22" i="1"/>
  <c r="D22" i="1"/>
  <c r="C22" i="1"/>
  <c r="D21" i="1"/>
  <c r="D6" i="1" s="1"/>
  <c r="F19" i="1"/>
  <c r="E19" i="1"/>
  <c r="E18" i="1"/>
  <c r="C16" i="1"/>
  <c r="E16" i="1" s="1"/>
  <c r="F12" i="1"/>
  <c r="C7" i="1"/>
  <c r="E24" i="1" l="1"/>
  <c r="F6" i="1"/>
  <c r="C81" i="1"/>
  <c r="E37" i="1"/>
  <c r="F53" i="1"/>
  <c r="C53" i="1"/>
  <c r="E53" i="1" s="1"/>
  <c r="E81" i="1"/>
  <c r="C6" i="1"/>
  <c r="E6" i="1" s="1"/>
  <c r="E7" i="1"/>
  <c r="E21" i="1"/>
  <c r="F37" i="1"/>
  <c r="C73" i="1"/>
  <c r="E73" i="1" s="1"/>
  <c r="F66" i="1"/>
  <c r="E22" i="1"/>
  <c r="C66" i="1"/>
  <c r="E66" i="1" s="1"/>
  <c r="D89" i="1"/>
  <c r="F89" i="1" l="1"/>
  <c r="C89" i="1"/>
  <c r="E89" i="1" s="1"/>
</calcChain>
</file>

<file path=xl/sharedStrings.xml><?xml version="1.0" encoding="utf-8"?>
<sst xmlns="http://schemas.openxmlformats.org/spreadsheetml/2006/main" count="123" uniqueCount="112">
  <si>
    <t>тыс. рублей</t>
  </si>
  <si>
    <t xml:space="preserve"> Раз дел</t>
  </si>
  <si>
    <t>Наименование разделов/ ГРБС</t>
  </si>
  <si>
    <t>Отклонение</t>
  </si>
  <si>
    <t>проверка (скрыть)</t>
  </si>
  <si>
    <t>Пояснение</t>
  </si>
  <si>
    <t>1</t>
  </si>
  <si>
    <t>0100</t>
  </si>
  <si>
    <t>Общегосударственные вопросы, в том числе</t>
  </si>
  <si>
    <t>Администрация МГО</t>
  </si>
  <si>
    <t>Собрание депутатов МГО</t>
  </si>
  <si>
    <t>Контрольно-счетная палата МГО</t>
  </si>
  <si>
    <t>Финансовое управление  Администрации МГО</t>
  </si>
  <si>
    <t>в т.ч.</t>
  </si>
  <si>
    <t>0300</t>
  </si>
  <si>
    <t>Национальная безопасность и правоохранительная деятельность, в том числе</t>
  </si>
  <si>
    <r>
      <t xml:space="preserve">Администрация МГО </t>
    </r>
    <r>
      <rPr>
        <i/>
        <sz val="11"/>
        <rFont val="Times New Roman"/>
        <family val="1"/>
        <charset val="204"/>
      </rPr>
      <t>(в том числе Управление ГО и ЧС, отдел ЗАГС)</t>
    </r>
  </si>
  <si>
    <t>0400</t>
  </si>
  <si>
    <t>Национальная экономика, в том числе</t>
  </si>
  <si>
    <r>
      <t>Администрация</t>
    </r>
    <r>
      <rPr>
        <i/>
        <sz val="11"/>
        <rFont val="Times New Roman"/>
        <family val="1"/>
        <charset val="204"/>
      </rPr>
      <t xml:space="preserve"> МГО (в том числе  МКУ "Комитет по строительству", Управление ЖКХ, энергетики и транспорта (транспорт))</t>
    </r>
  </si>
  <si>
    <t>0500</t>
  </si>
  <si>
    <t>Жилищно-коммунальное хоз-во, в том числе</t>
  </si>
  <si>
    <r>
      <t>Администрация</t>
    </r>
    <r>
      <rPr>
        <i/>
        <sz val="11"/>
        <rFont val="Times New Roman"/>
        <family val="1"/>
        <charset val="204"/>
      </rPr>
      <t xml:space="preserve"> МГО (в том числе  МКУ "Комитет по строительству", Управление ЖКХ, энергетики и транспорта)</t>
    </r>
  </si>
  <si>
    <t>0600</t>
  </si>
  <si>
    <t>Охрана  окружающей  среды, в том числе</t>
  </si>
  <si>
    <r>
      <t xml:space="preserve">Администрация МГО </t>
    </r>
    <r>
      <rPr>
        <i/>
        <sz val="11"/>
        <rFont val="Times New Roman"/>
        <family val="1"/>
        <charset val="204"/>
      </rPr>
      <t>(в том числе МКУ "УЭП", МКУ "Комитет по строительству")</t>
    </r>
  </si>
  <si>
    <t>0700</t>
  </si>
  <si>
    <t>Образование, в том числе</t>
  </si>
  <si>
    <t>Управление образования Администрации МГО</t>
  </si>
  <si>
    <r>
      <t xml:space="preserve">Управление культуры Администрации МГО </t>
    </r>
    <r>
      <rPr>
        <i/>
        <sz val="11"/>
        <rFont val="Times New Roman"/>
        <family val="1"/>
        <charset val="204"/>
      </rPr>
      <t>(муз.школы)</t>
    </r>
  </si>
  <si>
    <t>Управление социальной защиты населения Администрации МГО</t>
  </si>
  <si>
    <t>Управление ФКиС АМГО</t>
  </si>
  <si>
    <t>0800</t>
  </si>
  <si>
    <t>Культура,  в том числе</t>
  </si>
  <si>
    <t>Управление культуры Администрации МГО</t>
  </si>
  <si>
    <t>1000</t>
  </si>
  <si>
    <t>Социальная политика, в том числе</t>
  </si>
  <si>
    <t>1100</t>
  </si>
  <si>
    <t>Физическая культура и спорт, в том числе</t>
  </si>
  <si>
    <r>
      <t xml:space="preserve">Администрация МГО </t>
    </r>
    <r>
      <rPr>
        <i/>
        <sz val="11"/>
        <rFont val="Times New Roman"/>
        <family val="1"/>
        <charset val="204"/>
      </rPr>
      <t xml:space="preserve">(в том числе МКУ "Комитет по строительству") </t>
    </r>
  </si>
  <si>
    <t>ВСЕГО</t>
  </si>
  <si>
    <t>Ассигнования на 2023 год</t>
  </si>
  <si>
    <r>
      <t>Управление социальной защиты населения Администрации МГО (</t>
    </r>
    <r>
      <rPr>
        <i/>
        <sz val="11"/>
        <rFont val="Times New Roman"/>
        <family val="1"/>
        <charset val="204"/>
      </rPr>
      <t>в том числе содержание аппарата, пособия, пенсии, компенсации и т.д.)</t>
    </r>
  </si>
  <si>
    <r>
      <t xml:space="preserve">Уточненный бюджет на 2023 год </t>
    </r>
    <r>
      <rPr>
        <i/>
        <sz val="10"/>
        <rFont val="Times New Roman"/>
        <family val="1"/>
        <charset val="204"/>
      </rPr>
      <t>(согласно РСД МГО от 03.03.2023г.  № 5)</t>
    </r>
  </si>
  <si>
    <t>в сумме 306,5 тыс. рублей с общегородских расходов (издание книги) на аналогичные расходы раздел 0800</t>
  </si>
  <si>
    <t>в сумме 400,0 тыс. рублей с расходов на взносы по кап.ремонту на раздел 0400</t>
  </si>
  <si>
    <t>в сумме 1201,2 тыс. рублей с расходов по оплате услуг средств массовой информации и прочих раходов на разделы  0500,0800</t>
  </si>
  <si>
    <t>в сумме 662,1 тыс. рублей с экономии расходов  по текущему ремонту  на раздел 0500</t>
  </si>
  <si>
    <t>Увеличение (перемещение) ассигнований в сумме 9888,3 тыс. рублей, в том числе:</t>
  </si>
  <si>
    <t>в сумме 509,6 тыс. рублей на оплату по исполнительному листу с зарезервированных средств с раздела 0100</t>
  </si>
  <si>
    <t>в сумме 9378,7 тыс. рублей на увеличение фонда оплаты труда  в соответствии с решениями Собрания депутатов МГО от  31.03.2023г. № 3, 4 с раздела 1000</t>
  </si>
  <si>
    <t>Увеличение (перемещение) ассигнований в сумме 1304,8 тыс. рублей на увеличение фонда оплаты труда  в соответствии с решениями Собрания депутатов МГО от  31.03.2023г. № 3, 4 с раздела 1000</t>
  </si>
  <si>
    <t>Уменьшение (перемещение) ассигнований в сумме 5753,8 тыс. рублей в связи с ликвидацией КСП МГО  перераспределение между разделами</t>
  </si>
  <si>
    <t>Уменьшение (перемещение) ассигнований из зарезервированных средств в сумме 1720,6  тыс. рублей  на разделы 0100, 0400,1000</t>
  </si>
  <si>
    <t>Увеличение (перемещение) ассигнований в сумме 3362,0 тыс. рублей на увеличение фонда оплаты труда  в соответствии с решениями Собрания депутатов МГО от  31.03.2023г. № 3, 4 с раздела 1000</t>
  </si>
  <si>
    <t>резервный фонд Администрации МГО, зарезервированные</t>
  </si>
  <si>
    <t xml:space="preserve">в сумме 10157,3 тыс. рублей  по инициативному бюджетированию с аналогичных расходов с раздела 0500 </t>
  </si>
  <si>
    <t>в сумме 400,0 тыс. рублей на приобретение аппаратуры спутниковой навигации для общественного транспорта с раздела 0100</t>
  </si>
  <si>
    <t>в сумме 823,3 тыс. рублей на возмещение затрат в рамках выполнения мер по частичной мобилизации с раздела 0100</t>
  </si>
  <si>
    <t>в сумме 4067,6 тыс. рублей на расходы по  асфальтированию межквартальных и дворовых проездов с разделов 0100, 0500</t>
  </si>
  <si>
    <t>Уменьшение (перемещение) ассигнований  в сумме 9463,4 тыс. рублей , в том числе:</t>
  </si>
  <si>
    <t>в сумме 451,9 тыс. рублей с экономии расходов по программе "Организация и проведение работ по управлению, владению, пользованию и распоряжению земельными участками на территории Миасского городского округа" на раздел 0500</t>
  </si>
  <si>
    <t>в сумме 8461,5 тыс. рублей  с объекта "Развитие "Национального парка спорта и туризма", клуба-отеля "Золотой пляж", Миасский городской округ. Автодорога от ул. Ленина пос. Тургояк до ДОЛ им. Зои Космодемьянской Миасского городского округа"на раздел 0500</t>
  </si>
  <si>
    <t>в сумме 550,0 тыс. рублей  со строительных работ по объекту "Развитие "Национального парка спорта и туризма", клуба-отеля "Золотой пляж", Автодорога от ул. Ленина пос. Тургояк до ДОЛ им. Зои Космодемьянской Миасского городского округа" (в связи с выделение областных средств) на раздел 0500</t>
  </si>
  <si>
    <t>в сумме 2010,2 тыс. рублей  на выплаты за нежилое помещение (при расселении и сносе) с разделов 1000, 0400</t>
  </si>
  <si>
    <t>в сумме 1012,1 тыс.рублей на обслуживание газопровода, приобретение автомобиля для МБУ ЦКОБ с раздела 0100</t>
  </si>
  <si>
    <t>в сумме 8461,5 тыс. рублей  на объект "Строительство линии наружного освещения автомобильной объездной дороги Тургоякского шоссе" с раздела 0400</t>
  </si>
  <si>
    <t>в сумме 550,0 тыс. рублей на прохождение экспертизы проектно-сметной документации по объекту "Строительство подземного газопровода высокого давления "Новоандреевка-Селянкино". Газификация п. Селянкино, п. Новотагилка, п. Наилы, п. Тыелга, с. Новоандреевка в северной части Миасского городского округа" с раздела 0400</t>
  </si>
  <si>
    <t xml:space="preserve">в сумме 10157,3 тыс. рублей  по инициативному бюджетированию на аналогичные расходы на раздел 0400 </t>
  </si>
  <si>
    <t>в сумме 37459,9 тыс. рублей с муниципальной программы "Светлый город" на раздел 0400</t>
  </si>
  <si>
    <t xml:space="preserve">в сумме 6733,1 тыс. рублей  на расходы по избирательным округам с аналогичных расходов на разделы 0400,0700,0800,1100 </t>
  </si>
  <si>
    <t>в сумме 2901,5 тыс. рублей приведение в соответствие с бюджетной классификацией расходов по  асфальтированию межквартальных и дворовых проездов  на раздел 0400</t>
  </si>
  <si>
    <t>в сумме 399,5 тыс. рублей с расходов по содержанию ГТС на раздел 1100</t>
  </si>
  <si>
    <t xml:space="preserve">в сумме 1948,8 тыс. рублей  на расходы по избирательным округам с аналогичных расходов, с раздела 0500 </t>
  </si>
  <si>
    <t>в сумме 270,3 тыс. рублей на увеличение фонда оплаты труда  в соответствии с решениями Собрания депутатов МГО от  31.03.2023г. № 3, 4 с раздела 1000</t>
  </si>
  <si>
    <t xml:space="preserve">Уменьшение (перемещение)  ассигнований в сумме 620,2 тыс. рублей - перераспределение по  трудовой занятости подростков между ответственными исполнителями </t>
  </si>
  <si>
    <t>Уменьшение (перемещение) ассигнований в сумме 422,2 тыс.рублей между учреждениями Управления культуры АМГО на раздел 0800</t>
  </si>
  <si>
    <t xml:space="preserve">Увеличение (перемещение)  ассигнований в сумме 265,8 тыс. рублей - перераспределение по  трудовой занятости подростков между ответственными исполнителями </t>
  </si>
  <si>
    <t>Увеличение (перемещение) ассигнований в сумме 12,4 тыс. рублей   между разделами, в соответствии с  бюджетной классификацией,  расходов по повышению квалификации  с раздела 1000</t>
  </si>
  <si>
    <t>Увеличение (перемещение) ассигнований в сумме 5,0 тыс. рублей   между разделами, в соответствии с  бюджетной классификацией,  расходов по повышению квалификации  с раздела 0100</t>
  </si>
  <si>
    <t xml:space="preserve">Увеличение (перемещение)  ассигнований в сумме 354,4 тыс. рублей - перераспределение по  трудовой занятости подростков между ответственными исполнителями </t>
  </si>
  <si>
    <t>в сумме 422,2 тыс.рублей между учреждениями Управления культуры АМГО с раздела 0700</t>
  </si>
  <si>
    <t xml:space="preserve">в сумме 151,2 тыс. рублей  на расходы по избирательным округам с аналогичных расходов, с раздела 0500 </t>
  </si>
  <si>
    <t>в сумме 341,5 тыс. рублей  на оказание информационных услуг по подготовке макета книги к изданию, проведение фотомарафона с раздела 0100</t>
  </si>
  <si>
    <t>в сумме 1005,0 тыс. рублей на увеличение фонда оплаты труда  в соответствии с решениями Собрания депутатов МГО от  31.03.2023г. № 3, 4 с раздела 1000</t>
  </si>
  <si>
    <t>Увеличение (перемещение) ассигнований в сумме 387,8  тыс.рублей на выплату единовременного пособия членам семьи умершего в период прохождения муниципальной службы с раздела 0100</t>
  </si>
  <si>
    <t>Уменьшение (перемещение) ассигнований в сумме 12,4 тыс. рублей   между разделами, в соответствии с  бюджетной классификацией,  расходов по повышению квалификации  на раздел 0700</t>
  </si>
  <si>
    <t>Уменьшение (перемещение) ассигнований в сумме 1908,3 тыс. рублей  с экономии расходов по предоставлению молодым семьям социальных выплат на приобретение жилья в связи с уменьшением доли областного бюджета на раздел 0500</t>
  </si>
  <si>
    <r>
      <t xml:space="preserve">Финансовое управление Администрации МГО  </t>
    </r>
    <r>
      <rPr>
        <i/>
        <sz val="11"/>
        <rFont val="Times New Roman"/>
        <family val="1"/>
        <charset val="204"/>
      </rPr>
      <t>(в том числе резерв на з/плату, испол.листы)</t>
    </r>
  </si>
  <si>
    <t xml:space="preserve">Уменьшение (перемещение) ассигнований в сумме 15636,5 тыс. рублей с зарезервированных средств по обеспечению своевременной и полной выплаты заработной платы на увеличение фонда оплаты труда  в соответствии с решениями Собрания депутатов МГО от  31.03.2023г.№ 3, 4 </t>
  </si>
  <si>
    <t>в сумме 5179,7 тыс. рублей на ремонт и содержание помещений МБУ ДО "СШОР №2" МГО  расположенного по адресу ул.Вернадского,1а с разделов 0100, 0700</t>
  </si>
  <si>
    <t xml:space="preserve">в сумме 750 тыс. рублей  на расходы по избирательным округам с аналогичных расходов, с раздела 0500 </t>
  </si>
  <si>
    <t>в сумме 399,5 на ремонт асфальтового покрытия на стадионе "Труд", с раздела 0500</t>
  </si>
  <si>
    <t>в сумме 1269,5 тыс. рублей на увеличение фонда оплаты труда  в соответствии с решениями Собрания депутатов МГО от  31.03.2023г. № 3, 4 с раздела 1000</t>
  </si>
  <si>
    <t>Увеличение (перемещение) ассигнований в сумме 7598,7 тыс. рублей, в том числе:</t>
  </si>
  <si>
    <t>Увеличение ассигнований в сумме 2219,1 тыс. рублей, в том числе:</t>
  </si>
  <si>
    <t>Увеличение (перемещение) ассигнований в сумме 1919,9  тыс.рублей, в том числе:</t>
  </si>
  <si>
    <t>Уменьшение (перемещение) ассигнований в сумме 5,0 тыс. рублей   между разделами, в соответствии с  бюджетной классификацией,  расходов по повышению квалификации  на раздел 0700</t>
  </si>
  <si>
    <t>в сумме 25122,0 тыс. рублей с расходов по фонду оплаты труда на разделы 0400,0500</t>
  </si>
  <si>
    <t>Уменьшение (перемещение) ассигнований в сумме 27691,9 тыс. рублей, в том числе:</t>
  </si>
  <si>
    <t>в сумме 23122,0 тыс. рублей на услуги по регулярным перевозкам пассажиров автобусом с раздела 0100</t>
  </si>
  <si>
    <t xml:space="preserve">в сумме 4661,7 тыс. рублей  по избирательным округам с аналогичных расходов с раздела 0500 </t>
  </si>
  <si>
    <t>Увеличение (перемещение) ассигнований в сумме 80691,8 тыс. рублей, в том числе:</t>
  </si>
  <si>
    <t>Уменьшение (перемещение) ассигнований в сумме 63166,1  тыс. рублей, в том числе:</t>
  </si>
  <si>
    <t>Увеличение ( перемещение) ассигнований в сумме 14033,8 тыс. рублей , в том числе:</t>
  </si>
  <si>
    <t>в сумме 2000,0 тыс.рублей на обслуживание контейнерных площадок с раздела 0100</t>
  </si>
  <si>
    <t>Приложение 5 к реестру</t>
  </si>
  <si>
    <t>Информация об изменении ассигнований бюджета Миасского городского округа в 2023 году (после принятия решения Собранием депутатов МГО от 03.03.2023г. № 5  по состоянию на  14.06.2023)</t>
  </si>
  <si>
    <t>Уменьшение (перемещение) ассигнований на содержание помещения  по адресу  ул.Вернадского,1а  на раздел 1100</t>
  </si>
  <si>
    <t>Увеличение (перемещение) ассигнований в сумме 4736,2 тыс. рублей на реализацию мероприятий за счет экологических платежей с раздела 0500</t>
  </si>
  <si>
    <t>в сумме 37459,9 тыс. рублей на содержание и уборку дорог, нанесение и восстановление дорожной разметки с раздела 0500</t>
  </si>
  <si>
    <t>в сумме 4736,2 тыс. рублей расходы за счет экологических платежей на аналогичные расходы в раздел 0600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</si>
</sst>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theme="1"/>
      <name val="Times New Roman"/>
      <family val="2"/>
      <charset val="204"/>
    </font>
    <font>
      <sz val="11"/>
      <name val="Calibri"/>
      <family val="2"/>
      <scheme val="minor"/>
    </font>
    <font>
      <i/>
      <sz val="11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13" fillId="0" borderId="0"/>
    <xf numFmtId="0" fontId="14" fillId="0" borderId="0"/>
    <xf numFmtId="0" fontId="15" fillId="0" borderId="0"/>
    <xf numFmtId="0" fontId="13" fillId="0" borderId="0"/>
    <xf numFmtId="0" fontId="15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7" fillId="0" borderId="0"/>
    <xf numFmtId="0" fontId="2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/>
    <xf numFmtId="49" fontId="4" fillId="0" borderId="0" xfId="0" applyNumberFormat="1" applyFont="1" applyAlignment="1">
      <alignment horizontal="center"/>
    </xf>
    <xf numFmtId="0" fontId="3" fillId="0" borderId="0" xfId="0" applyFont="1" applyAlignment="1">
      <alignment horizontal="justify" vertical="center"/>
    </xf>
    <xf numFmtId="164" fontId="5" fillId="0" borderId="0" xfId="0" applyNumberFormat="1" applyFont="1" applyFill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6" fillId="2" borderId="0" xfId="0" applyNumberFormat="1" applyFont="1" applyFill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8" fillId="0" borderId="1" xfId="0" applyFont="1" applyFill="1" applyBorder="1" applyAlignment="1">
      <alignment horizontal="justify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/>
    <xf numFmtId="49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justify" vertical="center" wrapText="1"/>
    </xf>
    <xf numFmtId="0" fontId="3" fillId="0" borderId="0" xfId="0" applyFont="1" applyFill="1" applyBorder="1"/>
    <xf numFmtId="0" fontId="6" fillId="0" borderId="1" xfId="0" applyFont="1" applyFill="1" applyBorder="1" applyAlignment="1">
      <alignment vertical="center" wrapText="1"/>
    </xf>
    <xf numFmtId="0" fontId="11" fillId="0" borderId="0" xfId="0" applyFont="1" applyFill="1"/>
    <xf numFmtId="49" fontId="4" fillId="0" borderId="1" xfId="0" applyNumberFormat="1" applyFont="1" applyFill="1" applyBorder="1" applyAlignment="1">
      <alignment horizontal="center"/>
    </xf>
    <xf numFmtId="165" fontId="8" fillId="0" borderId="1" xfId="0" applyNumberFormat="1" applyFont="1" applyFill="1" applyBorder="1" applyAlignment="1">
      <alignment horizontal="justify" vertical="center"/>
    </xf>
    <xf numFmtId="49" fontId="3" fillId="0" borderId="0" xfId="0" applyNumberFormat="1" applyFont="1" applyAlignment="1">
      <alignment horizontal="center"/>
    </xf>
    <xf numFmtId="164" fontId="3" fillId="0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6" fillId="2" borderId="0" xfId="0" applyFont="1" applyFill="1" applyAlignment="1">
      <alignment horizontal="right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vertical="center"/>
    </xf>
    <xf numFmtId="164" fontId="6" fillId="2" borderId="0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justify" vertical="center" wrapText="1"/>
    </xf>
    <xf numFmtId="164" fontId="6" fillId="0" borderId="0" xfId="0" applyNumberFormat="1" applyFont="1" applyFill="1" applyBorder="1" applyAlignment="1">
      <alignment horizontal="justify" vertical="center" wrapText="1"/>
    </xf>
    <xf numFmtId="164" fontId="10" fillId="0" borderId="0" xfId="0" applyNumberFormat="1" applyFont="1" applyFill="1" applyBorder="1" applyAlignment="1">
      <alignment horizontal="justify" vertical="center" wrapText="1"/>
    </xf>
    <xf numFmtId="164" fontId="6" fillId="2" borderId="0" xfId="0" applyNumberFormat="1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49" fontId="10" fillId="0" borderId="0" xfId="0" applyNumberFormat="1" applyFont="1" applyFill="1" applyBorder="1" applyAlignment="1">
      <alignment horizontal="justify" vertical="center" wrapText="1"/>
    </xf>
    <xf numFmtId="164" fontId="8" fillId="2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justify" vertical="center" wrapText="1"/>
    </xf>
    <xf numFmtId="164" fontId="18" fillId="0" borderId="0" xfId="0" applyNumberFormat="1" applyFont="1" applyFill="1" applyBorder="1" applyAlignment="1">
      <alignment horizontal="justify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justify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20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justify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/>
    <xf numFmtId="164" fontId="7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justify" vertical="center" wrapText="1"/>
    </xf>
    <xf numFmtId="0" fontId="3" fillId="2" borderId="0" xfId="0" applyFont="1" applyFill="1"/>
    <xf numFmtId="0" fontId="4" fillId="2" borderId="0" xfId="0" applyFont="1" applyFill="1"/>
    <xf numFmtId="0" fontId="6" fillId="2" borderId="1" xfId="0" applyFont="1" applyFill="1" applyBorder="1" applyAlignment="1">
      <alignment horizontal="justify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justify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justify" vertical="center" wrapText="1"/>
    </xf>
    <xf numFmtId="0" fontId="0" fillId="0" borderId="4" xfId="0" applyFill="1" applyBorder="1" applyAlignment="1">
      <alignment horizontal="justify" vertical="center" wrapText="1"/>
    </xf>
    <xf numFmtId="0" fontId="0" fillId="0" borderId="4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164" fontId="6" fillId="0" borderId="4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justify" vertical="center" wrapText="1"/>
    </xf>
    <xf numFmtId="0" fontId="0" fillId="0" borderId="3" xfId="0" applyFill="1" applyBorder="1" applyAlignment="1">
      <alignment horizontal="justify" vertical="center" wrapText="1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49" fontId="2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64" fontId="6" fillId="0" borderId="2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</cellXfs>
  <cellStyles count="16">
    <cellStyle name="Normal" xfId="1"/>
    <cellStyle name="Обычный" xfId="0" builtinId="0"/>
    <cellStyle name="Обычный 2" xfId="2"/>
    <cellStyle name="Обычный 2 2" xfId="3"/>
    <cellStyle name="Обычный 3" xfId="4"/>
    <cellStyle name="Обычный 4" xfId="5"/>
    <cellStyle name="Обычный 5" xfId="6"/>
    <cellStyle name="Обычный 5 2" xfId="7"/>
    <cellStyle name="Обычный 5 3" xfId="8"/>
    <cellStyle name="Обычный 6" xfId="9"/>
    <cellStyle name="Обычный 6 2" xfId="10"/>
    <cellStyle name="Обычный 7" xfId="11"/>
    <cellStyle name="Обычный 7 2" xfId="12"/>
    <cellStyle name="Обычный 7 3" xfId="13"/>
    <cellStyle name="Обычный 8" xfId="14"/>
    <cellStyle name="Финансовый 2 2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L89"/>
  <sheetViews>
    <sheetView tabSelected="1" workbookViewId="0">
      <pane xSplit="2" ySplit="5" topLeftCell="C42" activePane="bottomRight" state="frozen"/>
      <selection pane="topRight" activeCell="C1" sqref="C1"/>
      <selection pane="bottomLeft" activeCell="A5" sqref="A5"/>
      <selection pane="bottomRight" activeCell="G49" sqref="G49"/>
    </sheetView>
  </sheetViews>
  <sheetFormatPr defaultColWidth="14.42578125" defaultRowHeight="15.75" x14ac:dyDescent="0.25"/>
  <cols>
    <col min="1" max="1" width="5.5703125" style="28" customWidth="1"/>
    <col min="2" max="2" width="37.42578125" style="3" customWidth="1"/>
    <col min="3" max="3" width="14" style="4" customWidth="1"/>
    <col min="4" max="4" width="15.140625" style="29" customWidth="1"/>
    <col min="5" max="5" width="13.140625" style="5" customWidth="1"/>
    <col min="6" max="6" width="11" style="6" customWidth="1"/>
    <col min="7" max="7" width="60" style="30" customWidth="1"/>
    <col min="8" max="8" width="6.140625" style="42" customWidth="1"/>
    <col min="9" max="158" width="9.140625" style="1" customWidth="1"/>
    <col min="159" max="159" width="60.42578125" style="1" customWidth="1"/>
    <col min="160" max="160" width="0" style="1" hidden="1" customWidth="1"/>
    <col min="161" max="161" width="14.7109375" style="1" customWidth="1"/>
    <col min="162" max="162" width="14.5703125" style="1" customWidth="1"/>
    <col min="163" max="163" width="0" style="1" hidden="1" customWidth="1"/>
    <col min="164" max="164" width="14.5703125" style="1" customWidth="1"/>
    <col min="165" max="165" width="15" style="1" customWidth="1"/>
    <col min="166" max="167" width="14.5703125" style="1" customWidth="1"/>
    <col min="168" max="16384" width="14.42578125" style="1"/>
  </cols>
  <sheetData>
    <row r="1" spans="1:12" x14ac:dyDescent="0.25">
      <c r="G1" s="32" t="s">
        <v>106</v>
      </c>
      <c r="H1" s="33"/>
    </row>
    <row r="2" spans="1:12" ht="42.75" customHeight="1" x14ac:dyDescent="0.25">
      <c r="A2" s="91" t="s">
        <v>107</v>
      </c>
      <c r="B2" s="91"/>
      <c r="C2" s="91"/>
      <c r="D2" s="91"/>
      <c r="E2" s="91"/>
      <c r="F2" s="91"/>
      <c r="G2" s="92"/>
      <c r="H2" s="34"/>
    </row>
    <row r="3" spans="1:12" x14ac:dyDescent="0.25">
      <c r="A3" s="2"/>
      <c r="G3" s="7" t="s">
        <v>0</v>
      </c>
      <c r="H3" s="35"/>
    </row>
    <row r="4" spans="1:12" s="10" customFormat="1" ht="96" x14ac:dyDescent="0.25">
      <c r="A4" s="8" t="s">
        <v>1</v>
      </c>
      <c r="B4" s="9" t="s">
        <v>2</v>
      </c>
      <c r="C4" s="54" t="s">
        <v>43</v>
      </c>
      <c r="D4" s="54" t="s">
        <v>41</v>
      </c>
      <c r="E4" s="54" t="s">
        <v>3</v>
      </c>
      <c r="F4" s="55" t="s">
        <v>4</v>
      </c>
      <c r="G4" s="11" t="s">
        <v>5</v>
      </c>
      <c r="H4" s="36"/>
      <c r="I4" s="14"/>
    </row>
    <row r="5" spans="1:12" s="14" customFormat="1" x14ac:dyDescent="0.25">
      <c r="A5" s="53" t="s">
        <v>6</v>
      </c>
      <c r="B5" s="11">
        <v>2</v>
      </c>
      <c r="C5" s="12">
        <v>3</v>
      </c>
      <c r="D5" s="12">
        <v>4</v>
      </c>
      <c r="E5" s="12">
        <v>5</v>
      </c>
      <c r="F5" s="13"/>
      <c r="G5" s="11">
        <v>6</v>
      </c>
      <c r="H5" s="36"/>
    </row>
    <row r="6" spans="1:12" s="14" customFormat="1" ht="28.5" x14ac:dyDescent="0.25">
      <c r="A6" s="51" t="s">
        <v>7</v>
      </c>
      <c r="B6" s="15" t="s">
        <v>8</v>
      </c>
      <c r="C6" s="16">
        <f>SUM(C7:C21)-C21</f>
        <v>313232.3</v>
      </c>
      <c r="D6" s="16">
        <f>SUM(D7:D21)-D21</f>
        <v>292616.09999999998</v>
      </c>
      <c r="E6" s="16">
        <f t="shared" ref="E6:E52" si="0">D6-C6</f>
        <v>-20616.200000000012</v>
      </c>
      <c r="F6" s="21">
        <f>SUM(F7:F20)</f>
        <v>-20616.199999999997</v>
      </c>
      <c r="G6" s="22"/>
      <c r="H6" s="37"/>
    </row>
    <row r="7" spans="1:12" s="14" customFormat="1" ht="30" x14ac:dyDescent="0.25">
      <c r="A7" s="76"/>
      <c r="B7" s="79" t="s">
        <v>9</v>
      </c>
      <c r="C7" s="67">
        <f>219566.8+3559.9+178.8+0.1</f>
        <v>223305.59999999998</v>
      </c>
      <c r="D7" s="89">
        <f>230624-25122</f>
        <v>205502</v>
      </c>
      <c r="E7" s="67">
        <f>D7-C7</f>
        <v>-17803.599999999977</v>
      </c>
      <c r="F7" s="60"/>
      <c r="G7" s="61" t="s">
        <v>99</v>
      </c>
      <c r="H7" s="38"/>
    </row>
    <row r="8" spans="1:12" s="14" customFormat="1" ht="30" x14ac:dyDescent="0.25">
      <c r="A8" s="77"/>
      <c r="B8" s="80"/>
      <c r="C8" s="82"/>
      <c r="D8" s="90"/>
      <c r="E8" s="82"/>
      <c r="F8" s="60">
        <v>-306.5</v>
      </c>
      <c r="G8" s="61" t="s">
        <v>44</v>
      </c>
      <c r="H8" s="39"/>
      <c r="J8" s="62"/>
      <c r="K8" s="62"/>
      <c r="L8" s="62"/>
    </row>
    <row r="9" spans="1:12" s="14" customFormat="1" ht="30" x14ac:dyDescent="0.25">
      <c r="A9" s="77"/>
      <c r="B9" s="84"/>
      <c r="C9" s="68"/>
      <c r="D9" s="95"/>
      <c r="E9" s="68"/>
      <c r="F9" s="60">
        <v>-400</v>
      </c>
      <c r="G9" s="61" t="s">
        <v>45</v>
      </c>
      <c r="H9" s="38"/>
      <c r="J9" s="62"/>
      <c r="K9" s="62"/>
      <c r="L9" s="62"/>
    </row>
    <row r="10" spans="1:12" s="14" customFormat="1" ht="30" x14ac:dyDescent="0.25">
      <c r="A10" s="77"/>
      <c r="B10" s="84"/>
      <c r="C10" s="68"/>
      <c r="D10" s="95"/>
      <c r="E10" s="68"/>
      <c r="F10" s="60">
        <f>-1166.2-35-0.1</f>
        <v>-1201.3</v>
      </c>
      <c r="G10" s="61" t="s">
        <v>46</v>
      </c>
      <c r="H10" s="40"/>
    </row>
    <row r="11" spans="1:12" s="14" customFormat="1" ht="30" x14ac:dyDescent="0.25">
      <c r="A11" s="77"/>
      <c r="B11" s="84"/>
      <c r="C11" s="68"/>
      <c r="D11" s="95"/>
      <c r="E11" s="68"/>
      <c r="F11" s="60">
        <v>-25122</v>
      </c>
      <c r="G11" s="61" t="s">
        <v>98</v>
      </c>
      <c r="H11" s="40"/>
    </row>
    <row r="12" spans="1:12" s="18" customFormat="1" ht="30" x14ac:dyDescent="0.25">
      <c r="A12" s="77"/>
      <c r="B12" s="84"/>
      <c r="C12" s="68"/>
      <c r="D12" s="95"/>
      <c r="E12" s="68"/>
      <c r="F12" s="17">
        <f>-51.2-610.9</f>
        <v>-662.1</v>
      </c>
      <c r="G12" s="22" t="s">
        <v>47</v>
      </c>
      <c r="H12" s="39"/>
    </row>
    <row r="13" spans="1:12" s="18" customFormat="1" ht="30" x14ac:dyDescent="0.25">
      <c r="A13" s="77"/>
      <c r="B13" s="84"/>
      <c r="C13" s="68"/>
      <c r="D13" s="95"/>
      <c r="E13" s="68"/>
      <c r="F13" s="17"/>
      <c r="G13" s="22" t="s">
        <v>48</v>
      </c>
      <c r="H13" s="39"/>
    </row>
    <row r="14" spans="1:12" s="18" customFormat="1" ht="30" x14ac:dyDescent="0.25">
      <c r="A14" s="77"/>
      <c r="B14" s="84"/>
      <c r="C14" s="68"/>
      <c r="D14" s="95"/>
      <c r="E14" s="68"/>
      <c r="F14" s="17">
        <v>509.6</v>
      </c>
      <c r="G14" s="22" t="s">
        <v>49</v>
      </c>
      <c r="H14" s="47"/>
    </row>
    <row r="15" spans="1:12" s="10" customFormat="1" ht="45" x14ac:dyDescent="0.25">
      <c r="A15" s="77"/>
      <c r="B15" s="85"/>
      <c r="C15" s="75"/>
      <c r="D15" s="96"/>
      <c r="E15" s="75"/>
      <c r="F15" s="17">
        <v>9378.7000000000007</v>
      </c>
      <c r="G15" s="22" t="s">
        <v>50</v>
      </c>
      <c r="H15" s="46"/>
      <c r="I15" s="14"/>
    </row>
    <row r="16" spans="1:12" s="10" customFormat="1" ht="60" x14ac:dyDescent="0.25">
      <c r="A16" s="77"/>
      <c r="B16" s="70" t="s">
        <v>10</v>
      </c>
      <c r="C16" s="93">
        <f>25549.6+14.9</f>
        <v>25564.5</v>
      </c>
      <c r="D16" s="93">
        <v>26864.3</v>
      </c>
      <c r="E16" s="67">
        <f t="shared" si="0"/>
        <v>1299.7999999999993</v>
      </c>
      <c r="F16" s="17">
        <v>1304.8</v>
      </c>
      <c r="G16" s="22" t="s">
        <v>51</v>
      </c>
      <c r="H16" s="41"/>
      <c r="I16" s="14"/>
    </row>
    <row r="17" spans="1:12" s="10" customFormat="1" ht="60" x14ac:dyDescent="0.25">
      <c r="A17" s="77"/>
      <c r="B17" s="88"/>
      <c r="C17" s="94"/>
      <c r="D17" s="94"/>
      <c r="E17" s="75"/>
      <c r="F17" s="17">
        <v>-5</v>
      </c>
      <c r="G17" s="22" t="s">
        <v>97</v>
      </c>
      <c r="H17" s="38"/>
      <c r="I17" s="14"/>
    </row>
    <row r="18" spans="1:12" s="10" customFormat="1" ht="45" x14ac:dyDescent="0.25">
      <c r="A18" s="77"/>
      <c r="B18" s="52" t="s">
        <v>11</v>
      </c>
      <c r="C18" s="54">
        <v>9539.4</v>
      </c>
      <c r="D18" s="54">
        <v>3785.6</v>
      </c>
      <c r="E18" s="48">
        <f t="shared" si="0"/>
        <v>-5753.7999999999993</v>
      </c>
      <c r="F18" s="17">
        <v>-5753.8</v>
      </c>
      <c r="G18" s="22" t="s">
        <v>52</v>
      </c>
      <c r="H18" s="42"/>
      <c r="I18" s="14"/>
    </row>
    <row r="19" spans="1:12" s="10" customFormat="1" ht="45" x14ac:dyDescent="0.25">
      <c r="A19" s="77"/>
      <c r="B19" s="70" t="s">
        <v>12</v>
      </c>
      <c r="C19" s="67">
        <v>54822.8</v>
      </c>
      <c r="D19" s="67">
        <v>56464.2</v>
      </c>
      <c r="E19" s="67">
        <f t="shared" si="0"/>
        <v>1641.3999999999942</v>
      </c>
      <c r="F19" s="17">
        <f>-387.7-823.3-509.6</f>
        <v>-1720.6</v>
      </c>
      <c r="G19" s="22" t="s">
        <v>53</v>
      </c>
      <c r="H19" s="40"/>
      <c r="I19" s="14"/>
    </row>
    <row r="20" spans="1:12" s="10" customFormat="1" ht="60" x14ac:dyDescent="0.25">
      <c r="A20" s="78"/>
      <c r="B20" s="88"/>
      <c r="C20" s="75"/>
      <c r="D20" s="86"/>
      <c r="E20" s="75"/>
      <c r="F20" s="17">
        <v>3362</v>
      </c>
      <c r="G20" s="22" t="s">
        <v>54</v>
      </c>
      <c r="H20" s="38"/>
      <c r="I20" s="14"/>
    </row>
    <row r="21" spans="1:12" s="14" customFormat="1" ht="45" x14ac:dyDescent="0.25">
      <c r="A21" s="19" t="s">
        <v>13</v>
      </c>
      <c r="B21" s="20" t="s">
        <v>55</v>
      </c>
      <c r="C21" s="17">
        <v>7700</v>
      </c>
      <c r="D21" s="17">
        <f>6489-509.6</f>
        <v>5979.4</v>
      </c>
      <c r="E21" s="17">
        <f>D21-C21</f>
        <v>-1720.6000000000004</v>
      </c>
      <c r="F21" s="17"/>
      <c r="G21" s="66" t="s">
        <v>53</v>
      </c>
      <c r="H21" s="43"/>
    </row>
    <row r="22" spans="1:12" s="14" customFormat="1" ht="42.75" x14ac:dyDescent="0.25">
      <c r="A22" s="51" t="s">
        <v>14</v>
      </c>
      <c r="B22" s="15" t="s">
        <v>15</v>
      </c>
      <c r="C22" s="16">
        <f>C23</f>
        <v>31225.9</v>
      </c>
      <c r="D22" s="16">
        <f>D23</f>
        <v>31225.899999999998</v>
      </c>
      <c r="E22" s="16">
        <f t="shared" si="0"/>
        <v>0</v>
      </c>
      <c r="F22" s="21">
        <f>SUM(F23:F23)</f>
        <v>0</v>
      </c>
      <c r="G22" s="15"/>
      <c r="H22" s="40"/>
    </row>
    <row r="23" spans="1:12" s="14" customFormat="1" ht="30" x14ac:dyDescent="0.25">
      <c r="A23" s="51"/>
      <c r="B23" s="52" t="s">
        <v>16</v>
      </c>
      <c r="C23" s="48">
        <v>31225.9</v>
      </c>
      <c r="D23" s="48">
        <f>31906.6-680.7</f>
        <v>31225.899999999998</v>
      </c>
      <c r="E23" s="48">
        <f t="shared" si="0"/>
        <v>0</v>
      </c>
      <c r="F23" s="17"/>
      <c r="G23" s="22"/>
      <c r="H23" s="40"/>
    </row>
    <row r="24" spans="1:12" s="14" customFormat="1" ht="33.75" customHeight="1" x14ac:dyDescent="0.25">
      <c r="A24" s="51" t="s">
        <v>17</v>
      </c>
      <c r="B24" s="15" t="s">
        <v>18</v>
      </c>
      <c r="C24" s="16">
        <f>C25</f>
        <v>632479.30000000005</v>
      </c>
      <c r="D24" s="16">
        <f>D25</f>
        <v>703707.7</v>
      </c>
      <c r="E24" s="16">
        <f t="shared" si="0"/>
        <v>71228.399999999907</v>
      </c>
      <c r="F24" s="21">
        <f>SUM(F25:F36)</f>
        <v>71228.400000000009</v>
      </c>
      <c r="G24" s="52"/>
      <c r="H24" s="40"/>
    </row>
    <row r="25" spans="1:12" s="14" customFormat="1" ht="30" x14ac:dyDescent="0.25">
      <c r="A25" s="76"/>
      <c r="B25" s="70" t="s">
        <v>19</v>
      </c>
      <c r="C25" s="67">
        <v>632479.30000000005</v>
      </c>
      <c r="D25" s="89">
        <f>924280.2-244473.1+23122+778.6</f>
        <v>703707.7</v>
      </c>
      <c r="E25" s="67">
        <f>D25-C25</f>
        <v>71228.399999999907</v>
      </c>
      <c r="F25" s="17"/>
      <c r="G25" s="64" t="s">
        <v>102</v>
      </c>
      <c r="H25" s="42"/>
    </row>
    <row r="26" spans="1:12" s="10" customFormat="1" ht="30" x14ac:dyDescent="0.25">
      <c r="A26" s="77"/>
      <c r="B26" s="87"/>
      <c r="C26" s="82"/>
      <c r="D26" s="90"/>
      <c r="E26" s="82"/>
      <c r="F26" s="17">
        <f>9303.2+600+254.1</f>
        <v>10157.300000000001</v>
      </c>
      <c r="G26" s="22" t="s">
        <v>56</v>
      </c>
      <c r="H26" s="38"/>
      <c r="I26" s="14"/>
    </row>
    <row r="27" spans="1:12" s="10" customFormat="1" ht="30" x14ac:dyDescent="0.25">
      <c r="A27" s="77"/>
      <c r="B27" s="87"/>
      <c r="C27" s="82"/>
      <c r="D27" s="90"/>
      <c r="E27" s="82"/>
      <c r="F27" s="60">
        <f>23122</f>
        <v>23122</v>
      </c>
      <c r="G27" s="61" t="s">
        <v>100</v>
      </c>
      <c r="H27" s="38"/>
      <c r="I27" s="62"/>
      <c r="J27" s="63"/>
      <c r="K27" s="63"/>
      <c r="L27" s="63"/>
    </row>
    <row r="28" spans="1:12" s="10" customFormat="1" ht="30" x14ac:dyDescent="0.25">
      <c r="A28" s="77"/>
      <c r="B28" s="87"/>
      <c r="C28" s="82"/>
      <c r="D28" s="90"/>
      <c r="E28" s="82"/>
      <c r="F28" s="17">
        <f>2883.1+1000+778.6</f>
        <v>4661.7</v>
      </c>
      <c r="G28" s="22" t="s">
        <v>101</v>
      </c>
      <c r="H28" s="38"/>
      <c r="I28" s="62"/>
      <c r="J28" s="63"/>
      <c r="K28" s="63"/>
      <c r="L28" s="63"/>
    </row>
    <row r="29" spans="1:12" s="14" customFormat="1" ht="45" x14ac:dyDescent="0.25">
      <c r="A29" s="77"/>
      <c r="B29" s="87"/>
      <c r="C29" s="82"/>
      <c r="D29" s="90"/>
      <c r="E29" s="82"/>
      <c r="F29" s="17">
        <v>400</v>
      </c>
      <c r="G29" s="22" t="s">
        <v>57</v>
      </c>
      <c r="H29" s="42"/>
      <c r="I29" s="62"/>
      <c r="J29" s="62"/>
      <c r="K29" s="62"/>
      <c r="L29" s="62"/>
    </row>
    <row r="30" spans="1:12" s="14" customFormat="1" ht="30" x14ac:dyDescent="0.25">
      <c r="A30" s="77"/>
      <c r="B30" s="87"/>
      <c r="C30" s="82"/>
      <c r="D30" s="90"/>
      <c r="E30" s="82"/>
      <c r="F30" s="17">
        <f>30737.6+6722.3</f>
        <v>37459.9</v>
      </c>
      <c r="G30" s="22" t="s">
        <v>110</v>
      </c>
      <c r="H30" s="40"/>
    </row>
    <row r="31" spans="1:12" s="14" customFormat="1" ht="30" x14ac:dyDescent="0.25">
      <c r="A31" s="77"/>
      <c r="B31" s="87"/>
      <c r="C31" s="82"/>
      <c r="D31" s="90"/>
      <c r="E31" s="82"/>
      <c r="F31" s="17">
        <v>823.3</v>
      </c>
      <c r="G31" s="22" t="s">
        <v>58</v>
      </c>
      <c r="H31" s="38"/>
    </row>
    <row r="32" spans="1:12" s="23" customFormat="1" ht="30" x14ac:dyDescent="0.25">
      <c r="A32" s="77"/>
      <c r="B32" s="87"/>
      <c r="C32" s="82"/>
      <c r="D32" s="90"/>
      <c r="E32" s="82"/>
      <c r="F32" s="17">
        <f>1594.5+6207.7-3734.6</f>
        <v>4067.6</v>
      </c>
      <c r="G32" s="22" t="s">
        <v>59</v>
      </c>
      <c r="H32" s="40"/>
    </row>
    <row r="33" spans="1:9" s="14" customFormat="1" ht="30" x14ac:dyDescent="0.25">
      <c r="A33" s="77"/>
      <c r="B33" s="87"/>
      <c r="C33" s="82"/>
      <c r="D33" s="90"/>
      <c r="E33" s="82"/>
      <c r="F33" s="56"/>
      <c r="G33" s="22" t="s">
        <v>60</v>
      </c>
      <c r="H33" s="38"/>
    </row>
    <row r="34" spans="1:9" s="10" customFormat="1" ht="60" x14ac:dyDescent="0.25">
      <c r="A34" s="77"/>
      <c r="B34" s="87"/>
      <c r="C34" s="82"/>
      <c r="D34" s="90"/>
      <c r="E34" s="82"/>
      <c r="F34" s="17">
        <f>-800+698.1-350</f>
        <v>-451.9</v>
      </c>
      <c r="G34" s="22" t="s">
        <v>61</v>
      </c>
      <c r="H34" s="38"/>
      <c r="I34" s="14"/>
    </row>
    <row r="35" spans="1:9" s="10" customFormat="1" ht="75" x14ac:dyDescent="0.25">
      <c r="A35" s="77"/>
      <c r="B35" s="87"/>
      <c r="C35" s="82"/>
      <c r="D35" s="90"/>
      <c r="E35" s="82"/>
      <c r="F35" s="17">
        <v>-8461.5</v>
      </c>
      <c r="G35" s="22" t="s">
        <v>62</v>
      </c>
      <c r="H35" s="40"/>
      <c r="I35" s="14"/>
    </row>
    <row r="36" spans="1:9" s="10" customFormat="1" ht="79.5" customHeight="1" x14ac:dyDescent="0.25">
      <c r="A36" s="77"/>
      <c r="B36" s="87"/>
      <c r="C36" s="82"/>
      <c r="D36" s="90"/>
      <c r="E36" s="82"/>
      <c r="F36" s="17">
        <v>-550</v>
      </c>
      <c r="G36" s="22" t="s">
        <v>63</v>
      </c>
      <c r="H36" s="44"/>
      <c r="I36" s="14"/>
    </row>
    <row r="37" spans="1:9" s="14" customFormat="1" ht="28.5" x14ac:dyDescent="0.25">
      <c r="A37" s="51" t="s">
        <v>20</v>
      </c>
      <c r="B37" s="15" t="s">
        <v>21</v>
      </c>
      <c r="C37" s="16">
        <f>C38</f>
        <v>423064.10000000003</v>
      </c>
      <c r="D37" s="16">
        <f>D38</f>
        <v>373931.80000000005</v>
      </c>
      <c r="E37" s="16">
        <f t="shared" si="0"/>
        <v>-49132.299999999988</v>
      </c>
      <c r="F37" s="16">
        <f>SUM(F38:F50)</f>
        <v>-49132.299999999996</v>
      </c>
      <c r="G37" s="52"/>
      <c r="H37" s="42"/>
    </row>
    <row r="38" spans="1:9" s="14" customFormat="1" ht="30" x14ac:dyDescent="0.25">
      <c r="A38" s="76"/>
      <c r="B38" s="70" t="s">
        <v>22</v>
      </c>
      <c r="C38" s="67">
        <v>423064.10000000003</v>
      </c>
      <c r="D38" s="67">
        <f>558653.8-185927.4-16+2000-778.6</f>
        <v>373931.80000000005</v>
      </c>
      <c r="E38" s="67">
        <f>D38-C38</f>
        <v>-49132.299999999988</v>
      </c>
      <c r="F38" s="17"/>
      <c r="G38" s="22" t="s">
        <v>104</v>
      </c>
      <c r="H38" s="38"/>
    </row>
    <row r="39" spans="1:9" s="14" customFormat="1" ht="30" x14ac:dyDescent="0.25">
      <c r="A39" s="77"/>
      <c r="B39" s="87"/>
      <c r="C39" s="82"/>
      <c r="D39" s="82"/>
      <c r="E39" s="82"/>
      <c r="F39" s="17">
        <f>2708.3-698.1</f>
        <v>2010.2000000000003</v>
      </c>
      <c r="G39" s="22" t="s">
        <v>64</v>
      </c>
      <c r="H39" s="40"/>
    </row>
    <row r="40" spans="1:9" s="14" customFormat="1" ht="30" x14ac:dyDescent="0.25">
      <c r="A40" s="77"/>
      <c r="B40" s="87"/>
      <c r="C40" s="82"/>
      <c r="D40" s="82"/>
      <c r="E40" s="82"/>
      <c r="F40" s="17">
        <f>51.2+610.9+350</f>
        <v>1012.1</v>
      </c>
      <c r="G40" s="22" t="s">
        <v>65</v>
      </c>
      <c r="H40" s="42"/>
    </row>
    <row r="41" spans="1:9" s="25" customFormat="1" ht="45" x14ac:dyDescent="0.25">
      <c r="A41" s="77"/>
      <c r="B41" s="87"/>
      <c r="C41" s="82"/>
      <c r="D41" s="82"/>
      <c r="E41" s="82"/>
      <c r="F41" s="17">
        <v>8461.5</v>
      </c>
      <c r="G41" s="22" t="s">
        <v>66</v>
      </c>
      <c r="H41" s="38"/>
    </row>
    <row r="42" spans="1:9" s="25" customFormat="1" ht="30" x14ac:dyDescent="0.25">
      <c r="A42" s="77"/>
      <c r="B42" s="87"/>
      <c r="C42" s="82"/>
      <c r="D42" s="82"/>
      <c r="E42" s="82"/>
      <c r="F42" s="17">
        <v>2000</v>
      </c>
      <c r="G42" s="22" t="s">
        <v>105</v>
      </c>
      <c r="H42" s="38"/>
    </row>
    <row r="43" spans="1:9" s="25" customFormat="1" ht="90" x14ac:dyDescent="0.25">
      <c r="A43" s="77"/>
      <c r="B43" s="87"/>
      <c r="C43" s="82"/>
      <c r="D43" s="82"/>
      <c r="E43" s="82"/>
      <c r="F43" s="17">
        <v>550</v>
      </c>
      <c r="G43" s="22" t="s">
        <v>67</v>
      </c>
      <c r="H43" s="42"/>
    </row>
    <row r="44" spans="1:9" s="10" customFormat="1" ht="30" x14ac:dyDescent="0.25">
      <c r="A44" s="77"/>
      <c r="B44" s="87"/>
      <c r="C44" s="82"/>
      <c r="D44" s="82"/>
      <c r="E44" s="82"/>
      <c r="F44" s="17"/>
      <c r="G44" s="52" t="s">
        <v>103</v>
      </c>
      <c r="H44" s="40"/>
      <c r="I44" s="14"/>
    </row>
    <row r="45" spans="1:9" s="10" customFormat="1" ht="30" x14ac:dyDescent="0.25">
      <c r="A45" s="77"/>
      <c r="B45" s="87"/>
      <c r="C45" s="82"/>
      <c r="D45" s="82"/>
      <c r="E45" s="82"/>
      <c r="F45" s="17">
        <f>-9303.2-600-254.1-778.6</f>
        <v>-10935.900000000001</v>
      </c>
      <c r="G45" s="22" t="s">
        <v>68</v>
      </c>
      <c r="H45" s="38"/>
      <c r="I45" s="14"/>
    </row>
    <row r="46" spans="1:9" s="10" customFormat="1" ht="30" x14ac:dyDescent="0.25">
      <c r="A46" s="77"/>
      <c r="B46" s="87"/>
      <c r="C46" s="82"/>
      <c r="D46" s="82"/>
      <c r="E46" s="82"/>
      <c r="F46" s="17">
        <f>-30737.6-6722.3</f>
        <v>-37459.9</v>
      </c>
      <c r="G46" s="22" t="s">
        <v>69</v>
      </c>
      <c r="H46" s="38"/>
      <c r="I46" s="14"/>
    </row>
    <row r="47" spans="1:9" s="14" customFormat="1" ht="45" x14ac:dyDescent="0.25">
      <c r="A47" s="77"/>
      <c r="B47" s="87"/>
      <c r="C47" s="82"/>
      <c r="D47" s="82"/>
      <c r="E47" s="82"/>
      <c r="F47" s="17">
        <f>-2883.1-3850</f>
        <v>-6733.1</v>
      </c>
      <c r="G47" s="22" t="s">
        <v>70</v>
      </c>
      <c r="H47" s="45"/>
    </row>
    <row r="48" spans="1:9" ht="45" x14ac:dyDescent="0.25">
      <c r="A48" s="77"/>
      <c r="B48" s="71"/>
      <c r="C48" s="68"/>
      <c r="D48" s="72"/>
      <c r="E48" s="68"/>
      <c r="F48" s="17">
        <f>-1594.6-5041.5+3734.6</f>
        <v>-2901.5000000000005</v>
      </c>
      <c r="G48" s="22" t="s">
        <v>71</v>
      </c>
    </row>
    <row r="49" spans="1:11" ht="30" x14ac:dyDescent="0.25">
      <c r="A49" s="77"/>
      <c r="B49" s="71"/>
      <c r="C49" s="68"/>
      <c r="D49" s="72"/>
      <c r="E49" s="68"/>
      <c r="F49" s="17">
        <v>-399.5</v>
      </c>
      <c r="G49" s="22" t="s">
        <v>72</v>
      </c>
      <c r="I49" s="14"/>
      <c r="J49" s="14"/>
      <c r="K49" s="14"/>
    </row>
    <row r="50" spans="1:11" ht="30" x14ac:dyDescent="0.25">
      <c r="A50" s="78"/>
      <c r="B50" s="88"/>
      <c r="C50" s="75"/>
      <c r="D50" s="86"/>
      <c r="E50" s="75"/>
      <c r="F50" s="17">
        <v>-4736.2</v>
      </c>
      <c r="G50" s="22" t="s">
        <v>111</v>
      </c>
      <c r="I50" s="14"/>
      <c r="J50" s="14"/>
      <c r="K50" s="14"/>
    </row>
    <row r="51" spans="1:11" ht="31.5" customHeight="1" x14ac:dyDescent="0.25">
      <c r="A51" s="51" t="s">
        <v>23</v>
      </c>
      <c r="B51" s="15" t="s">
        <v>24</v>
      </c>
      <c r="C51" s="16">
        <f>SUM(C52:C52)</f>
        <v>19493</v>
      </c>
      <c r="D51" s="16">
        <f>SUM(D52:D52)</f>
        <v>24229.200000000001</v>
      </c>
      <c r="E51" s="16">
        <f>SUM(E52:E52)</f>
        <v>4736.2000000000007</v>
      </c>
      <c r="F51" s="16">
        <f>SUM(F52:F52)</f>
        <v>4736.2</v>
      </c>
      <c r="G51" s="52"/>
      <c r="I51" s="14"/>
      <c r="J51" s="14"/>
      <c r="K51" s="14"/>
    </row>
    <row r="52" spans="1:11" ht="45" x14ac:dyDescent="0.25">
      <c r="A52" s="65"/>
      <c r="B52" s="57" t="s">
        <v>25</v>
      </c>
      <c r="C52" s="58">
        <v>19493</v>
      </c>
      <c r="D52" s="58">
        <f>24229.2</f>
        <v>24229.200000000001</v>
      </c>
      <c r="E52" s="58">
        <f t="shared" si="0"/>
        <v>4736.2000000000007</v>
      </c>
      <c r="F52" s="17">
        <v>4736.2</v>
      </c>
      <c r="G52" s="22" t="s">
        <v>109</v>
      </c>
      <c r="I52" s="59"/>
      <c r="J52" s="14"/>
      <c r="K52" s="14"/>
    </row>
    <row r="53" spans="1:11" s="31" customFormat="1" x14ac:dyDescent="0.2">
      <c r="A53" s="51" t="s">
        <v>26</v>
      </c>
      <c r="B53" s="15" t="s">
        <v>27</v>
      </c>
      <c r="C53" s="16">
        <f>C54+C58+C61+C62+C63+C64+C65</f>
        <v>3359310.2</v>
      </c>
      <c r="D53" s="16">
        <f>D54+D58+D61+D62+D63+D64+D65</f>
        <v>3360744.9</v>
      </c>
      <c r="E53" s="16">
        <f>D53-C53</f>
        <v>1434.6999999997206</v>
      </c>
      <c r="F53" s="21">
        <f>SUM(F54:F65)</f>
        <v>1434.6999999999998</v>
      </c>
      <c r="G53" s="52"/>
      <c r="H53" s="42"/>
    </row>
    <row r="54" spans="1:11" ht="30" x14ac:dyDescent="0.25">
      <c r="A54" s="76"/>
      <c r="B54" s="79" t="s">
        <v>28</v>
      </c>
      <c r="C54" s="67">
        <f>3242618.2+7</f>
        <v>3242625.2</v>
      </c>
      <c r="D54" s="67">
        <f>3244649.9-226-199.8</f>
        <v>3244224.1</v>
      </c>
      <c r="E54" s="67">
        <f>SUM(D54-C54)</f>
        <v>1598.8999999999069</v>
      </c>
      <c r="F54" s="17"/>
      <c r="G54" s="22" t="s">
        <v>95</v>
      </c>
    </row>
    <row r="55" spans="1:11" ht="30" x14ac:dyDescent="0.25">
      <c r="A55" s="77"/>
      <c r="B55" s="80"/>
      <c r="C55" s="82"/>
      <c r="D55" s="82"/>
      <c r="E55" s="82"/>
      <c r="F55" s="17">
        <v>1948.8</v>
      </c>
      <c r="G55" s="22" t="s">
        <v>73</v>
      </c>
    </row>
    <row r="56" spans="1:11" ht="45" x14ac:dyDescent="0.25">
      <c r="A56" s="77"/>
      <c r="B56" s="80"/>
      <c r="C56" s="82"/>
      <c r="D56" s="82"/>
      <c r="E56" s="82"/>
      <c r="F56" s="17">
        <v>270.3</v>
      </c>
      <c r="G56" s="22" t="s">
        <v>74</v>
      </c>
    </row>
    <row r="57" spans="1:11" ht="45" x14ac:dyDescent="0.25">
      <c r="A57" s="77"/>
      <c r="B57" s="81"/>
      <c r="C57" s="83"/>
      <c r="D57" s="83"/>
      <c r="E57" s="83"/>
      <c r="F57" s="17">
        <v>-620.20000000000005</v>
      </c>
      <c r="G57" s="22" t="s">
        <v>75</v>
      </c>
    </row>
    <row r="58" spans="1:11" ht="45" x14ac:dyDescent="0.25">
      <c r="A58" s="77"/>
      <c r="B58" s="79" t="s">
        <v>29</v>
      </c>
      <c r="C58" s="67">
        <v>113589.6</v>
      </c>
      <c r="D58" s="67">
        <v>113053.6</v>
      </c>
      <c r="E58" s="67">
        <f t="shared" ref="E58:E65" si="1">SUM(D58-C58)</f>
        <v>-536</v>
      </c>
      <c r="F58" s="17">
        <f>-218-204.2</f>
        <v>-422.2</v>
      </c>
      <c r="G58" s="22" t="s">
        <v>76</v>
      </c>
    </row>
    <row r="59" spans="1:11" ht="30" x14ac:dyDescent="0.25">
      <c r="A59" s="77"/>
      <c r="B59" s="80"/>
      <c r="C59" s="82"/>
      <c r="D59" s="82"/>
      <c r="E59" s="82"/>
      <c r="F59" s="17">
        <v>-379.6</v>
      </c>
      <c r="G59" s="22" t="s">
        <v>108</v>
      </c>
    </row>
    <row r="60" spans="1:11" ht="45" x14ac:dyDescent="0.25">
      <c r="A60" s="77"/>
      <c r="B60" s="81"/>
      <c r="C60" s="83"/>
      <c r="D60" s="83"/>
      <c r="E60" s="83"/>
      <c r="F60" s="17">
        <v>265.8</v>
      </c>
      <c r="G60" s="22" t="s">
        <v>77</v>
      </c>
    </row>
    <row r="61" spans="1:11" ht="60" x14ac:dyDescent="0.25">
      <c r="A61" s="77"/>
      <c r="B61" s="52" t="s">
        <v>30</v>
      </c>
      <c r="C61" s="48"/>
      <c r="D61" s="48">
        <v>12.4</v>
      </c>
      <c r="E61" s="48">
        <f t="shared" si="1"/>
        <v>12.4</v>
      </c>
      <c r="F61" s="17">
        <v>12.4</v>
      </c>
      <c r="G61" s="22" t="s">
        <v>78</v>
      </c>
    </row>
    <row r="62" spans="1:11" x14ac:dyDescent="0.25">
      <c r="A62" s="77"/>
      <c r="B62" s="52" t="s">
        <v>9</v>
      </c>
      <c r="C62" s="48">
        <v>2980.5</v>
      </c>
      <c r="D62" s="48">
        <v>2980.5</v>
      </c>
      <c r="E62" s="48">
        <f t="shared" si="1"/>
        <v>0</v>
      </c>
      <c r="F62" s="17"/>
      <c r="G62" s="22"/>
    </row>
    <row r="63" spans="1:11" ht="60" x14ac:dyDescent="0.25">
      <c r="A63" s="77"/>
      <c r="B63" s="52" t="s">
        <v>10</v>
      </c>
      <c r="C63" s="48"/>
      <c r="D63" s="48">
        <v>5</v>
      </c>
      <c r="E63" s="48">
        <f t="shared" si="1"/>
        <v>5</v>
      </c>
      <c r="F63" s="17">
        <v>5</v>
      </c>
      <c r="G63" s="22" t="s">
        <v>79</v>
      </c>
    </row>
    <row r="64" spans="1:11" ht="45" x14ac:dyDescent="0.25">
      <c r="A64" s="77"/>
      <c r="B64" s="52" t="s">
        <v>31</v>
      </c>
      <c r="C64" s="48"/>
      <c r="D64" s="48">
        <v>354.4</v>
      </c>
      <c r="E64" s="48">
        <f t="shared" si="1"/>
        <v>354.4</v>
      </c>
      <c r="F64" s="17">
        <v>354.4</v>
      </c>
      <c r="G64" s="22" t="s">
        <v>80</v>
      </c>
    </row>
    <row r="65" spans="1:7" ht="30" x14ac:dyDescent="0.25">
      <c r="A65" s="78"/>
      <c r="B65" s="52" t="s">
        <v>12</v>
      </c>
      <c r="C65" s="48">
        <v>114.9</v>
      </c>
      <c r="D65" s="48">
        <v>114.9</v>
      </c>
      <c r="E65" s="48">
        <f t="shared" si="1"/>
        <v>0</v>
      </c>
      <c r="F65" s="17"/>
      <c r="G65" s="22"/>
    </row>
    <row r="66" spans="1:7" x14ac:dyDescent="0.25">
      <c r="A66" s="51" t="s">
        <v>32</v>
      </c>
      <c r="B66" s="15" t="s">
        <v>33</v>
      </c>
      <c r="C66" s="16">
        <f>C67+C72</f>
        <v>231242.3</v>
      </c>
      <c r="D66" s="16">
        <f>D67+D72</f>
        <v>233162.2</v>
      </c>
      <c r="E66" s="16">
        <f t="shared" ref="E66:E82" si="2">D66-C66</f>
        <v>1919.9000000000233</v>
      </c>
      <c r="F66" s="21">
        <f>SUM(F67:F72)</f>
        <v>1919.9</v>
      </c>
      <c r="G66" s="52"/>
    </row>
    <row r="67" spans="1:7" ht="30" x14ac:dyDescent="0.25">
      <c r="A67" s="69"/>
      <c r="B67" s="79" t="s">
        <v>34</v>
      </c>
      <c r="C67" s="67">
        <f>228684.8+58.4+19.1</f>
        <v>228762.3</v>
      </c>
      <c r="D67" s="67">
        <f>230709.2-27</f>
        <v>230682.2</v>
      </c>
      <c r="E67" s="67">
        <f t="shared" si="2"/>
        <v>1919.9000000000233</v>
      </c>
      <c r="F67" s="17"/>
      <c r="G67" s="22" t="s">
        <v>96</v>
      </c>
    </row>
    <row r="68" spans="1:7" ht="30" x14ac:dyDescent="0.25">
      <c r="A68" s="69"/>
      <c r="B68" s="84"/>
      <c r="C68" s="68"/>
      <c r="D68" s="72"/>
      <c r="E68" s="68"/>
      <c r="F68" s="17">
        <f>218+204.2</f>
        <v>422.2</v>
      </c>
      <c r="G68" s="22" t="s">
        <v>81</v>
      </c>
    </row>
    <row r="69" spans="1:7" ht="30" x14ac:dyDescent="0.25">
      <c r="A69" s="69"/>
      <c r="B69" s="84"/>
      <c r="C69" s="68"/>
      <c r="D69" s="72"/>
      <c r="E69" s="68"/>
      <c r="F69" s="17">
        <v>151.19999999999999</v>
      </c>
      <c r="G69" s="22" t="s">
        <v>82</v>
      </c>
    </row>
    <row r="70" spans="1:7" ht="45" x14ac:dyDescent="0.25">
      <c r="A70" s="69"/>
      <c r="B70" s="84"/>
      <c r="C70" s="68"/>
      <c r="D70" s="72"/>
      <c r="E70" s="68"/>
      <c r="F70" s="17">
        <f>264.5+42+35</f>
        <v>341.5</v>
      </c>
      <c r="G70" s="22" t="s">
        <v>83</v>
      </c>
    </row>
    <row r="71" spans="1:7" ht="45" x14ac:dyDescent="0.25">
      <c r="A71" s="69"/>
      <c r="B71" s="85"/>
      <c r="C71" s="75"/>
      <c r="D71" s="86"/>
      <c r="E71" s="75"/>
      <c r="F71" s="17">
        <f>1047-42</f>
        <v>1005</v>
      </c>
      <c r="G71" s="22" t="s">
        <v>84</v>
      </c>
    </row>
    <row r="72" spans="1:7" x14ac:dyDescent="0.25">
      <c r="A72" s="69"/>
      <c r="B72" s="52" t="s">
        <v>9</v>
      </c>
      <c r="C72" s="48">
        <v>2480</v>
      </c>
      <c r="D72" s="48">
        <v>2480</v>
      </c>
      <c r="E72" s="48">
        <f t="shared" si="2"/>
        <v>0</v>
      </c>
      <c r="F72" s="17"/>
      <c r="G72" s="22"/>
    </row>
    <row r="73" spans="1:7" x14ac:dyDescent="0.25">
      <c r="A73" s="51" t="s">
        <v>35</v>
      </c>
      <c r="B73" s="15" t="s">
        <v>36</v>
      </c>
      <c r="C73" s="16">
        <f>C74+C76+C77+C78+C80+C79</f>
        <v>1144344.5999999999</v>
      </c>
      <c r="D73" s="16">
        <f>D74+D76+D77+D78+D80+D79</f>
        <v>1127175.2</v>
      </c>
      <c r="E73" s="16">
        <f t="shared" si="2"/>
        <v>-17169.399999999907</v>
      </c>
      <c r="F73" s="21">
        <f>SUM(F74:F80)</f>
        <v>-17169.400000000001</v>
      </c>
      <c r="G73" s="52"/>
    </row>
    <row r="74" spans="1:7" ht="60" x14ac:dyDescent="0.25">
      <c r="A74" s="69"/>
      <c r="B74" s="70" t="s">
        <v>42</v>
      </c>
      <c r="C74" s="67">
        <f>1004436.2+465.7+4.1</f>
        <v>1004905.9999999999</v>
      </c>
      <c r="D74" s="67">
        <f>993069.6-310+12521.8</f>
        <v>1005281.4</v>
      </c>
      <c r="E74" s="67">
        <f t="shared" si="2"/>
        <v>375.4000000001397</v>
      </c>
      <c r="F74" s="17">
        <v>387.8</v>
      </c>
      <c r="G74" s="22" t="s">
        <v>85</v>
      </c>
    </row>
    <row r="75" spans="1:7" ht="60" x14ac:dyDescent="0.25">
      <c r="A75" s="69"/>
      <c r="B75" s="71"/>
      <c r="C75" s="68"/>
      <c r="D75" s="72"/>
      <c r="E75" s="68"/>
      <c r="F75" s="17">
        <v>-12.4</v>
      </c>
      <c r="G75" s="22" t="s">
        <v>86</v>
      </c>
    </row>
    <row r="76" spans="1:7" ht="30" x14ac:dyDescent="0.25">
      <c r="A76" s="69"/>
      <c r="B76" s="24" t="s">
        <v>28</v>
      </c>
      <c r="C76" s="48">
        <v>71837.899999999994</v>
      </c>
      <c r="D76" s="48">
        <v>71837.899999999994</v>
      </c>
      <c r="E76" s="48">
        <f t="shared" si="2"/>
        <v>0</v>
      </c>
      <c r="F76" s="17"/>
      <c r="G76" s="22"/>
    </row>
    <row r="77" spans="1:7" ht="60" x14ac:dyDescent="0.25">
      <c r="A77" s="69"/>
      <c r="B77" s="49" t="s">
        <v>9</v>
      </c>
      <c r="C77" s="50">
        <v>51434.8</v>
      </c>
      <c r="D77" s="50">
        <f>26385.7+23140.8</f>
        <v>49526.5</v>
      </c>
      <c r="E77" s="50">
        <f t="shared" si="2"/>
        <v>-1908.3000000000029</v>
      </c>
      <c r="F77" s="17">
        <v>-1908.3</v>
      </c>
      <c r="G77" s="22" t="s">
        <v>87</v>
      </c>
    </row>
    <row r="78" spans="1:7" ht="30" x14ac:dyDescent="0.25">
      <c r="A78" s="69"/>
      <c r="B78" s="52" t="s">
        <v>34</v>
      </c>
      <c r="C78" s="48"/>
      <c r="D78" s="48"/>
      <c r="E78" s="48">
        <f t="shared" si="2"/>
        <v>0</v>
      </c>
      <c r="F78" s="17"/>
      <c r="G78" s="52"/>
    </row>
    <row r="79" spans="1:7" ht="75" x14ac:dyDescent="0.25">
      <c r="A79" s="69"/>
      <c r="B79" s="52" t="s">
        <v>88</v>
      </c>
      <c r="C79" s="48">
        <v>15865.9</v>
      </c>
      <c r="D79" s="48">
        <v>229.4</v>
      </c>
      <c r="E79" s="48">
        <f t="shared" si="2"/>
        <v>-15636.5</v>
      </c>
      <c r="F79" s="17">
        <v>-15636.5</v>
      </c>
      <c r="G79" s="22" t="s">
        <v>89</v>
      </c>
    </row>
    <row r="80" spans="1:7" x14ac:dyDescent="0.25">
      <c r="A80" s="69"/>
      <c r="B80" s="52" t="s">
        <v>31</v>
      </c>
      <c r="C80" s="48">
        <v>300</v>
      </c>
      <c r="D80" s="48">
        <v>300</v>
      </c>
      <c r="E80" s="48">
        <f t="shared" si="2"/>
        <v>0</v>
      </c>
      <c r="F80" s="17"/>
      <c r="G80" s="52"/>
    </row>
    <row r="81" spans="1:7" ht="28.5" x14ac:dyDescent="0.25">
      <c r="A81" s="51" t="s">
        <v>37</v>
      </c>
      <c r="B81" s="15" t="s">
        <v>38</v>
      </c>
      <c r="C81" s="16">
        <f>SUM(C82:C85)</f>
        <v>420692.3</v>
      </c>
      <c r="D81" s="16">
        <f>SUM(D82:D85)</f>
        <v>428291</v>
      </c>
      <c r="E81" s="16">
        <f>SUM(E82:E85)</f>
        <v>7598.7000000000116</v>
      </c>
      <c r="F81" s="16">
        <f>SUM(F82:F88)</f>
        <v>7598.7000000000007</v>
      </c>
      <c r="G81" s="52"/>
    </row>
    <row r="82" spans="1:7" ht="30" x14ac:dyDescent="0.25">
      <c r="A82" s="73"/>
      <c r="B82" s="52" t="s">
        <v>39</v>
      </c>
      <c r="C82" s="48">
        <v>146205.70000000001</v>
      </c>
      <c r="D82" s="48">
        <v>146205.70000000001</v>
      </c>
      <c r="E82" s="48">
        <f t="shared" si="2"/>
        <v>0</v>
      </c>
      <c r="F82" s="17"/>
      <c r="G82" s="22"/>
    </row>
    <row r="83" spans="1:7" ht="30" x14ac:dyDescent="0.25">
      <c r="A83" s="74"/>
      <c r="B83" s="52" t="s">
        <v>28</v>
      </c>
      <c r="C83" s="48">
        <v>2967.8</v>
      </c>
      <c r="D83" s="48">
        <v>2967.8</v>
      </c>
      <c r="E83" s="48">
        <f>D83-C83</f>
        <v>0</v>
      </c>
      <c r="F83" s="17"/>
      <c r="G83" s="22"/>
    </row>
    <row r="84" spans="1:7" ht="30" x14ac:dyDescent="0.25">
      <c r="A84" s="74"/>
      <c r="B84" s="70" t="s">
        <v>31</v>
      </c>
      <c r="C84" s="67">
        <f>271511.8+7</f>
        <v>271518.8</v>
      </c>
      <c r="D84" s="67">
        <f>280962.5-1845</f>
        <v>279117.5</v>
      </c>
      <c r="E84" s="67">
        <f>D84-C84</f>
        <v>7598.7000000000116</v>
      </c>
      <c r="F84" s="17"/>
      <c r="G84" s="22" t="s">
        <v>94</v>
      </c>
    </row>
    <row r="85" spans="1:7" ht="45" x14ac:dyDescent="0.25">
      <c r="A85" s="74"/>
      <c r="B85" s="71"/>
      <c r="C85" s="68"/>
      <c r="D85" s="72"/>
      <c r="E85" s="68"/>
      <c r="F85" s="17">
        <f>4800+379.6+0.1</f>
        <v>5179.7000000000007</v>
      </c>
      <c r="G85" s="22" t="s">
        <v>90</v>
      </c>
    </row>
    <row r="86" spans="1:7" ht="30" x14ac:dyDescent="0.25">
      <c r="A86" s="74"/>
      <c r="B86" s="71"/>
      <c r="C86" s="68"/>
      <c r="D86" s="72"/>
      <c r="E86" s="68"/>
      <c r="F86" s="17">
        <v>750</v>
      </c>
      <c r="G86" s="22" t="s">
        <v>91</v>
      </c>
    </row>
    <row r="87" spans="1:7" ht="30" x14ac:dyDescent="0.25">
      <c r="A87" s="74"/>
      <c r="B87" s="71"/>
      <c r="C87" s="68"/>
      <c r="D87" s="72"/>
      <c r="E87" s="68"/>
      <c r="F87" s="17">
        <v>399.5</v>
      </c>
      <c r="G87" s="22" t="s">
        <v>92</v>
      </c>
    </row>
    <row r="88" spans="1:7" ht="45" x14ac:dyDescent="0.25">
      <c r="A88" s="74"/>
      <c r="B88" s="71"/>
      <c r="C88" s="68"/>
      <c r="D88" s="72"/>
      <c r="E88" s="68"/>
      <c r="F88" s="17">
        <v>1269.5</v>
      </c>
      <c r="G88" s="22" t="s">
        <v>93</v>
      </c>
    </row>
    <row r="89" spans="1:7" x14ac:dyDescent="0.25">
      <c r="A89" s="26"/>
      <c r="B89" s="27" t="s">
        <v>40</v>
      </c>
      <c r="C89" s="16">
        <f>C6+C22+C24+C37+C51+C53+C66+C73+C81</f>
        <v>6575084</v>
      </c>
      <c r="D89" s="16">
        <f>D6+D22+D24+D37+D51+D53+D66+D73+D81</f>
        <v>6575084</v>
      </c>
      <c r="E89" s="16">
        <f>D89-C89</f>
        <v>0</v>
      </c>
      <c r="F89" s="21">
        <f>SUM(F6+F22+F24+F37+F51+F53+F66+F73+F81)</f>
        <v>1.4551915228366852E-11</v>
      </c>
      <c r="G89" s="16"/>
    </row>
  </sheetData>
  <mergeCells count="48">
    <mergeCell ref="A2:G2"/>
    <mergeCell ref="B19:B20"/>
    <mergeCell ref="C19:C20"/>
    <mergeCell ref="A7:A20"/>
    <mergeCell ref="D16:D17"/>
    <mergeCell ref="E16:E17"/>
    <mergeCell ref="B7:B15"/>
    <mergeCell ref="C7:C15"/>
    <mergeCell ref="D7:D15"/>
    <mergeCell ref="E7:E15"/>
    <mergeCell ref="B16:B17"/>
    <mergeCell ref="C16:C17"/>
    <mergeCell ref="A25:A36"/>
    <mergeCell ref="B25:B36"/>
    <mergeCell ref="C25:C36"/>
    <mergeCell ref="D19:D20"/>
    <mergeCell ref="E19:E20"/>
    <mergeCell ref="D25:D36"/>
    <mergeCell ref="E25:E36"/>
    <mergeCell ref="A38:A50"/>
    <mergeCell ref="B38:B50"/>
    <mergeCell ref="C38:C50"/>
    <mergeCell ref="D38:D50"/>
    <mergeCell ref="E38:E50"/>
    <mergeCell ref="E67:E71"/>
    <mergeCell ref="A54:A65"/>
    <mergeCell ref="B54:B57"/>
    <mergeCell ref="C54:C57"/>
    <mergeCell ref="D54:D57"/>
    <mergeCell ref="E54:E57"/>
    <mergeCell ref="B58:B60"/>
    <mergeCell ref="C58:C60"/>
    <mergeCell ref="D58:D60"/>
    <mergeCell ref="E58:E60"/>
    <mergeCell ref="A67:A72"/>
    <mergeCell ref="B67:B71"/>
    <mergeCell ref="C67:C71"/>
    <mergeCell ref="D67:D71"/>
    <mergeCell ref="E84:E88"/>
    <mergeCell ref="A74:A80"/>
    <mergeCell ref="B74:B75"/>
    <mergeCell ref="C74:C75"/>
    <mergeCell ref="D74:D75"/>
    <mergeCell ref="E74:E75"/>
    <mergeCell ref="A82:A88"/>
    <mergeCell ref="B84:B88"/>
    <mergeCell ref="C84:C88"/>
    <mergeCell ref="D84:D88"/>
  </mergeCells>
  <pageMargins left="0.70866141732283472" right="0.11811023622047245" top="0.39370078740157483" bottom="0.19685039370078741" header="0.31496062992125984" footer="0.31496062992125984"/>
  <pageSetup paperSize="9" scale="90" fitToHeight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перемещ</vt:lpstr>
      <vt:lpstr>перемещ!Заголовки_для_печати</vt:lpstr>
      <vt:lpstr>перемещ!Область_печати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cp:lastPrinted>2023-06-13T09:51:32Z</cp:lastPrinted>
  <dcterms:created xsi:type="dcterms:W3CDTF">2022-10-25T03:43:28Z</dcterms:created>
  <dcterms:modified xsi:type="dcterms:W3CDTF">2023-06-13T11:58:03Z</dcterms:modified>
</cp:coreProperties>
</file>