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10" windowWidth="24915" windowHeight="9660"/>
  </bookViews>
  <sheets>
    <sheet name="Перемещ уточ" sheetId="2" r:id="rId1"/>
    <sheet name="Перемещ" sheetId="1" r:id="rId2"/>
  </sheets>
  <definedNames>
    <definedName name="_PBuh_" localSheetId="1">#REF!</definedName>
    <definedName name="_PBuh_" localSheetId="0">#REF!</definedName>
    <definedName name="_PBuh_">#REF!</definedName>
    <definedName name="_PRuk_" localSheetId="1">#REF!</definedName>
    <definedName name="_PRuk_" localSheetId="0">#REF!</definedName>
    <definedName name="_PRuk_">#REF!</definedName>
    <definedName name="_xlnm.Print_Titles" localSheetId="1">Перемещ!$3:$4</definedName>
    <definedName name="_xlnm.Print_Titles" localSheetId="0">'Перемещ уточ'!$3:$4</definedName>
  </definedNames>
  <calcPr calcId="145621"/>
</workbook>
</file>

<file path=xl/calcChain.xml><?xml version="1.0" encoding="utf-8"?>
<calcChain xmlns="http://schemas.openxmlformats.org/spreadsheetml/2006/main">
  <c r="H40" i="2" l="1"/>
  <c r="D32" i="2"/>
  <c r="D7" i="2"/>
  <c r="H38" i="2"/>
  <c r="H65" i="2"/>
  <c r="G58" i="2"/>
  <c r="D58" i="2"/>
  <c r="G32" i="2"/>
  <c r="G7" i="2" l="1"/>
  <c r="H113" i="2"/>
  <c r="D112" i="2"/>
  <c r="G76" i="2"/>
  <c r="D76" i="2"/>
  <c r="D28" i="2"/>
  <c r="G119" i="2" l="1"/>
  <c r="D119" i="2"/>
  <c r="H158" i="2"/>
  <c r="G158" i="2"/>
  <c r="D158" i="2"/>
  <c r="H94" i="2"/>
  <c r="G125" i="2" l="1"/>
  <c r="H150" i="2"/>
  <c r="D125" i="2"/>
  <c r="E116" i="2"/>
  <c r="H72" i="2" l="1"/>
  <c r="G112" i="2" l="1"/>
  <c r="G82" i="2"/>
  <c r="D82" i="2"/>
  <c r="E58" i="2"/>
  <c r="H171" i="2"/>
  <c r="H160" i="2" s="1"/>
  <c r="E165" i="2"/>
  <c r="D164" i="2"/>
  <c r="D160" i="2" s="1"/>
  <c r="E161" i="2"/>
  <c r="G160" i="2"/>
  <c r="F160" i="2"/>
  <c r="C160" i="2"/>
  <c r="E159" i="2"/>
  <c r="E158" i="2"/>
  <c r="E157" i="2"/>
  <c r="H155" i="2"/>
  <c r="D155" i="2"/>
  <c r="E155" i="2" s="1"/>
  <c r="E151" i="2"/>
  <c r="H147" i="2"/>
  <c r="H145" i="2"/>
  <c r="H132" i="2"/>
  <c r="F125" i="2"/>
  <c r="F124" i="2" s="1"/>
  <c r="G124" i="2"/>
  <c r="C124" i="2"/>
  <c r="H123" i="2"/>
  <c r="H119" i="2"/>
  <c r="F119" i="2"/>
  <c r="F118" i="2" s="1"/>
  <c r="E119" i="2"/>
  <c r="G118" i="2"/>
  <c r="D118" i="2"/>
  <c r="C118" i="2"/>
  <c r="H116" i="2"/>
  <c r="E115" i="2"/>
  <c r="H114" i="2"/>
  <c r="D114" i="2"/>
  <c r="E114" i="2" s="1"/>
  <c r="E112" i="2"/>
  <c r="H109" i="2"/>
  <c r="H107" i="2"/>
  <c r="H106" i="2"/>
  <c r="F105" i="2"/>
  <c r="D105" i="2"/>
  <c r="E105" i="2" s="1"/>
  <c r="H90" i="2"/>
  <c r="H85" i="2"/>
  <c r="H83" i="2"/>
  <c r="F82" i="2"/>
  <c r="F81" i="2" s="1"/>
  <c r="C81" i="2"/>
  <c r="H76" i="2"/>
  <c r="H75" i="2" s="1"/>
  <c r="E76" i="2"/>
  <c r="G75" i="2"/>
  <c r="F75" i="2"/>
  <c r="C75" i="2"/>
  <c r="H69" i="2"/>
  <c r="H57" i="2" s="1"/>
  <c r="F58" i="2"/>
  <c r="F57" i="2" s="1"/>
  <c r="G57" i="2"/>
  <c r="D57" i="2"/>
  <c r="C57" i="2"/>
  <c r="H54" i="2"/>
  <c r="H48" i="2"/>
  <c r="H47" i="2"/>
  <c r="H39" i="2"/>
  <c r="F32" i="2"/>
  <c r="F31" i="2" s="1"/>
  <c r="D31" i="2"/>
  <c r="G31" i="2"/>
  <c r="C31" i="2"/>
  <c r="C28" i="2"/>
  <c r="E28" i="2" s="1"/>
  <c r="H27" i="2"/>
  <c r="G27" i="2"/>
  <c r="F27" i="2"/>
  <c r="D27" i="2"/>
  <c r="C27" i="2"/>
  <c r="E26" i="2"/>
  <c r="H25" i="2"/>
  <c r="H6" i="2" s="1"/>
  <c r="F25" i="2"/>
  <c r="D25" i="2"/>
  <c r="E25" i="2" s="1"/>
  <c r="E24" i="2"/>
  <c r="E23" i="2"/>
  <c r="F7" i="2"/>
  <c r="F6" i="2" s="1"/>
  <c r="D6" i="2"/>
  <c r="G6" i="2"/>
  <c r="C6" i="2"/>
  <c r="E57" i="2" l="1"/>
  <c r="E118" i="2"/>
  <c r="E27" i="2"/>
  <c r="H118" i="2"/>
  <c r="D124" i="2"/>
  <c r="E124" i="2" s="1"/>
  <c r="D81" i="2"/>
  <c r="G81" i="2"/>
  <c r="G173" i="2" s="1"/>
  <c r="H31" i="2"/>
  <c r="H81" i="2"/>
  <c r="E82" i="2"/>
  <c r="E31" i="2"/>
  <c r="H124" i="2"/>
  <c r="E81" i="2"/>
  <c r="C173" i="2"/>
  <c r="E6" i="2"/>
  <c r="F173" i="2"/>
  <c r="E7" i="2"/>
  <c r="E32" i="2"/>
  <c r="D75" i="2"/>
  <c r="E75" i="2" s="1"/>
  <c r="E125" i="2"/>
  <c r="E164" i="2"/>
  <c r="E160" i="2" s="1"/>
  <c r="H173" i="2" l="1"/>
  <c r="D173" i="2"/>
  <c r="E173" i="2"/>
  <c r="H103" i="1" l="1"/>
  <c r="D103" i="1"/>
  <c r="H22" i="1"/>
  <c r="D22" i="1"/>
  <c r="H84" i="1" l="1"/>
  <c r="G74" i="1"/>
  <c r="D74" i="1"/>
  <c r="D152" i="1"/>
  <c r="D169" i="1" l="1"/>
  <c r="D113" i="1"/>
  <c r="D173" i="1" l="1"/>
  <c r="D95" i="1"/>
  <c r="D108" i="1"/>
  <c r="D70" i="1"/>
  <c r="D54" i="1"/>
  <c r="D28" i="1"/>
  <c r="D7" i="1"/>
  <c r="H143" i="1" l="1"/>
  <c r="D143" i="1"/>
  <c r="H77" i="1"/>
  <c r="D162" i="1" l="1"/>
  <c r="G162" i="1"/>
  <c r="G165" i="1" s="1"/>
  <c r="G148" i="1"/>
  <c r="G112" i="1"/>
  <c r="G107" i="1"/>
  <c r="G73" i="1"/>
  <c r="G69" i="1"/>
  <c r="G53" i="1"/>
  <c r="G27" i="1"/>
  <c r="G24" i="1"/>
  <c r="G6" i="1"/>
  <c r="H158" i="1"/>
  <c r="H148" i="1" s="1"/>
  <c r="D153" i="1"/>
  <c r="E153" i="1" s="1"/>
  <c r="E152" i="1"/>
  <c r="E149" i="1"/>
  <c r="F148" i="1"/>
  <c r="D148" i="1"/>
  <c r="C148" i="1"/>
  <c r="E147" i="1"/>
  <c r="E146" i="1"/>
  <c r="E145" i="1"/>
  <c r="E143" i="1"/>
  <c r="E139" i="1"/>
  <c r="H135" i="1"/>
  <c r="H133" i="1"/>
  <c r="H120" i="1"/>
  <c r="F113" i="1"/>
  <c r="F112" i="1" s="1"/>
  <c r="E113" i="1"/>
  <c r="D112" i="1"/>
  <c r="E112" i="1" s="1"/>
  <c r="C112" i="1"/>
  <c r="H111" i="1"/>
  <c r="H108" i="1"/>
  <c r="H107" i="1" s="1"/>
  <c r="F108" i="1"/>
  <c r="F107" i="1" s="1"/>
  <c r="E108" i="1"/>
  <c r="D107" i="1"/>
  <c r="C107" i="1"/>
  <c r="H106" i="1"/>
  <c r="H105" i="1"/>
  <c r="D105" i="1"/>
  <c r="E105" i="1" s="1"/>
  <c r="H104" i="1"/>
  <c r="E104" i="1"/>
  <c r="E103" i="1"/>
  <c r="E102" i="1"/>
  <c r="H99" i="1"/>
  <c r="H97" i="1"/>
  <c r="H96" i="1"/>
  <c r="F95" i="1"/>
  <c r="E95" i="1"/>
  <c r="H81" i="1"/>
  <c r="H75" i="1"/>
  <c r="H73" i="1" s="1"/>
  <c r="F74" i="1"/>
  <c r="F73" i="1" s="1"/>
  <c r="E74" i="1"/>
  <c r="D73" i="1"/>
  <c r="E73" i="1" s="1"/>
  <c r="C73" i="1"/>
  <c r="H70" i="1"/>
  <c r="E70" i="1"/>
  <c r="H69" i="1"/>
  <c r="F69" i="1"/>
  <c r="D69" i="1"/>
  <c r="C69" i="1"/>
  <c r="H63" i="1"/>
  <c r="H53" i="1" s="1"/>
  <c r="H60" i="1"/>
  <c r="F54" i="1"/>
  <c r="E54" i="1"/>
  <c r="F53" i="1"/>
  <c r="D53" i="1"/>
  <c r="E53" i="1" s="1"/>
  <c r="C53" i="1"/>
  <c r="H50" i="1"/>
  <c r="H44" i="1"/>
  <c r="H43" i="1"/>
  <c r="H36" i="1"/>
  <c r="H35" i="1"/>
  <c r="H34" i="1"/>
  <c r="H27" i="1" s="1"/>
  <c r="F28" i="1"/>
  <c r="E28" i="1"/>
  <c r="F27" i="1"/>
  <c r="D27" i="1"/>
  <c r="E27" i="1" s="1"/>
  <c r="C27" i="1"/>
  <c r="C25" i="1"/>
  <c r="E25" i="1" s="1"/>
  <c r="H24" i="1"/>
  <c r="F24" i="1"/>
  <c r="D24" i="1"/>
  <c r="E24" i="1" s="1"/>
  <c r="C24" i="1"/>
  <c r="E23" i="1"/>
  <c r="F22" i="1"/>
  <c r="D6" i="1"/>
  <c r="E21" i="1"/>
  <c r="E20" i="1"/>
  <c r="F7" i="1"/>
  <c r="F6" i="1" s="1"/>
  <c r="F160" i="1" s="1"/>
  <c r="E7" i="1"/>
  <c r="H6" i="1"/>
  <c r="C6" i="1"/>
  <c r="C160" i="1" l="1"/>
  <c r="H112" i="1"/>
  <c r="E69" i="1"/>
  <c r="E107" i="1"/>
  <c r="E148" i="1"/>
  <c r="G160" i="1"/>
  <c r="H160" i="1"/>
  <c r="D160" i="1"/>
  <c r="E6" i="1"/>
  <c r="E22" i="1"/>
  <c r="E160" i="1" l="1"/>
</calcChain>
</file>

<file path=xl/sharedStrings.xml><?xml version="1.0" encoding="utf-8"?>
<sst xmlns="http://schemas.openxmlformats.org/spreadsheetml/2006/main" count="414" uniqueCount="227">
  <si>
    <t>Приложение 3</t>
  </si>
  <si>
    <t>тыс. рублей</t>
  </si>
  <si>
    <t xml:space="preserve"> Раз дел</t>
  </si>
  <si>
    <t>Наименование разделов/ ГРБС</t>
  </si>
  <si>
    <t>Уточненный бюджет на 2020 год</t>
  </si>
  <si>
    <r>
      <t>Ассигнования на 2020 год</t>
    </r>
    <r>
      <rPr>
        <sz val="12"/>
        <color rgb="FFFF0000"/>
        <rFont val="Times New Roman"/>
        <family val="1"/>
        <charset val="204"/>
      </rPr>
      <t xml:space="preserve"> </t>
    </r>
  </si>
  <si>
    <t>Откло-         нение</t>
  </si>
  <si>
    <t>в том числе за сентябрь</t>
  </si>
  <si>
    <t>Проверка (скрыть)</t>
  </si>
  <si>
    <t>Пояснение</t>
  </si>
  <si>
    <t>1</t>
  </si>
  <si>
    <t>0100</t>
  </si>
  <si>
    <t>Общегосударственные вопросы, в том числе</t>
  </si>
  <si>
    <t>Администрация МГО</t>
  </si>
  <si>
    <t xml:space="preserve">Увеличение ассигнований в сумме 2050,0 тыс. рублей на  выполнение ремонтных работ в южном крыле 1 этажа здания Администрации МГО для реализации проекта «Создание делового консалтингового центра оказания услуг «Мой бизнес», с приобретения оборудования по разделу 0500 (сумма 1400,0 тыс. рублей), с запланированных на эти же цели ремонтных работ по разделу 0400 (сумма 650,0 тыс. рублей) </t>
  </si>
  <si>
    <t>Увеличение ассигнований на сумму 283,4 тыс. рублей для приобретения программного обеспечения перемещение с расдела 0400</t>
  </si>
  <si>
    <t>Уменьшение (перемещение) ассигнований на сумму 8727,2 тыс. рублей, в том числе:</t>
  </si>
  <si>
    <t>- в сумме 329,7 тыс. рублей с расходов по предписаниям МинКультуры  на ремонт Мемориала славы "Скорбящая мать" на раздел 0500</t>
  </si>
  <si>
    <t>- в сумме 188,5 тыс. рублей в связи с уточнением бюджетной классификации  расходов на ремонт памятников  на раздел 0500</t>
  </si>
  <si>
    <t>- в сумме 642,9 тыс. рублей с экономии расходов по оплате НДС на работы по нанесению вертикальной разметки на бордюры 262,5 тыс. рублей (в рамках празднования 75-летия Победы) на раздел 0400; на подготовку помещения для заседаний МКУ "Управление ГО и ЧС" 380,4 тыс. рублей на раздел 0300</t>
  </si>
  <si>
    <t>- в сумме 235,1 тыс. рублей с экономии расходов по оплате налога на имущество на ремонт заездного кармана по ул.8 Марта, 82 (детский сад "Чебурашка")  на раздел 0400</t>
  </si>
  <si>
    <t>- в сумме 415,1 тыс. рублей  с экономии расходов по оплате налога на имущество на приобретение программного обеспечения Управлению архитектуры  на раздел 0400</t>
  </si>
  <si>
    <t>- в сумме 1017,7 тыс.рублей с начислений на оплату труда на содержание и уборку дорог</t>
  </si>
  <si>
    <t>- в сумме 2757,9 тыс. рублей с экономии по смете расходов на предоставление субсидий предприятиям автотранспорта , перемещение на раздел 0400</t>
  </si>
  <si>
    <t>- в сумме 3025,0 тыс. рублей  с экономии  расходов по ремонту здания Вернадского 1а на Управление ЖКХ в целях соблюдения условий софинансирования с областным бюджетом по кап. ремонту дорог в рамках МП "Развитие улично-дорожной сети Миасского городского округа в Миасском городском округе"  на раздел 0400</t>
  </si>
  <si>
    <t>- в сумме 115,3 тыс. рублей  с экономии расходов по охране имущества на ремонт мусорных контейнеров 100,0 тыс. рублей на раздел 0500 и 15,3 тыс. рублей на расходы по софинансированию приобретения троллейбуса на раздел 0400</t>
  </si>
  <si>
    <t>Собрание депутатов МГО</t>
  </si>
  <si>
    <t>Контрольно-счетная палата МГО</t>
  </si>
  <si>
    <t>Финансовое управление  Администрации МГО</t>
  </si>
  <si>
    <t>в т.ч.</t>
  </si>
  <si>
    <t xml:space="preserve"> резервный фонд Администрации МГО</t>
  </si>
  <si>
    <t>0300</t>
  </si>
  <si>
    <t>Национальная безопасность и правоохранительная деятельность, в том числе</t>
  </si>
  <si>
    <r>
      <t xml:space="preserve">Администрация МГО </t>
    </r>
    <r>
      <rPr>
        <i/>
        <sz val="12"/>
        <rFont val="Times New Roman"/>
        <family val="1"/>
        <charset val="204"/>
      </rPr>
      <t>(в том числе Управление ГО и ЧС, отдел ЗАГС)</t>
    </r>
  </si>
  <si>
    <t>Увеличение ассигнований на 380,4 тыс. рублей  в целях подготовки помещения для заседаний МКУ "Управление ГО и ЧС" - перемещение с раздела 0100</t>
  </si>
  <si>
    <t>Выделение дополнительных ассигнований из областного бюджета на сумму  300,0 тыс. рублей на  работы по завершению перевода в электронную форму актовых записей (ЗАГС)</t>
  </si>
  <si>
    <t>0400</t>
  </si>
  <si>
    <t>Национальная экономика, в том числе</t>
  </si>
  <si>
    <r>
      <t>Администрация</t>
    </r>
    <r>
      <rPr>
        <i/>
        <sz val="12"/>
        <rFont val="Times New Roman"/>
        <family val="1"/>
        <charset val="204"/>
      </rPr>
      <t xml:space="preserve"> МГО (в том числе  МКУ "Комитет по строительству", Управление ЖКХ, энергетики и транспорта (транспорт)).</t>
    </r>
  </si>
  <si>
    <t>Увеличение ассигнований на сумму 38908,9 тыс. рублей, в том числе:</t>
  </si>
  <si>
    <t>- в сумме 262,5 тыс. рублей  на работы по нанесению вертикальной разметки на бордюры (в рамках празднования 75-летия Победы) с раздела 0100</t>
  </si>
  <si>
    <t xml:space="preserve"> - в сумме 3025,0 тыс. рублей с экономии  расходов по ремонту здания Вернадского 1а на Управление ЖКХ в целях соблюдения условий софинансирования с областным бюджетом по кап. ремонту дорог в рамках МП "Развитие улично-дорожной сети Миасского городского округа в Миасском городском округе"  с раздела 0100</t>
  </si>
  <si>
    <t xml:space="preserve"> - в сумме 235,1 тыс. рублей на ремонт заездного кармана по ул.8 Марта, 82 (детский сад "Чебурашка") с раздела 0100</t>
  </si>
  <si>
    <t xml:space="preserve"> - в сумме 415,1 тыс. рублей на приобретение программного обеспечения Управлению архитектуры  с экономии расходов по оплате налога на имущество с раздела 0100</t>
  </si>
  <si>
    <t xml:space="preserve"> - в сумме 300,0 тыс. рублей на проведение дезинфекции остановок общественного транспорта - перемещение ассигнований с расходов по озеленению  с раздела 0500</t>
  </si>
  <si>
    <t>- в сумме 8728,4 тыс. рублей на проведение работ по наказам избирателей, перемещение с аналогичных расходов по разделу 0500</t>
  </si>
  <si>
    <t>- в сумме 4017,7 тыс. рублей на содержание автомобильных дорог с раздела 0100, 0500</t>
  </si>
  <si>
    <t>- в сумме 7233,2 тыс. рублей на предоставление субсидий предприятиям автотранспорта , перемещение с разделов 0100,0400, 0500,0600,1101</t>
  </si>
  <si>
    <t>- в сумме 92,0 тыс. рублей в рамках обл.программы "Реальные дела" в связи с уточнением бюджетной классификации с раздела 0500</t>
  </si>
  <si>
    <t>- в сумме 15,3 тыс. рублей на софинансирование расходов по приобретению троллейбуса с раздела 0100</t>
  </si>
  <si>
    <t>- в сумме 14385,6 тыс. рублей в рамках МП "Формирование современной городской среды на территории Миасского городского округа на 2018-2024 годы" в связи с уточнением бюджетной классификации с раздела 0500</t>
  </si>
  <si>
    <t>Уменьшение (перемещение) ассигнований на сумму 1610,5 тыс. рублей, в том числе:</t>
  </si>
  <si>
    <t>- в сумме 190,7 тыс. рублей с расходов по  Муниципальной программе "Развитие улично-дорожной сети Миасского городского округа" на раздел 0500 (содержание пляжа)</t>
  </si>
  <si>
    <t>- в сумме 650 тыс. рублей  с  ремонтных работ  по программе развития малого и среднего предпринимательства на раздел 0100</t>
  </si>
  <si>
    <t>- в сумме 172,6 тыс. рублей с благоустройства дворовых территорий на мероприятия по формированию городской среды на раздел 0500</t>
  </si>
  <si>
    <t>- в сумме 13,8 тыс. рублей с экономии по асфальтированию дворовых проездов на содержание фонтана на бульваре Мира на раздел 0500</t>
  </si>
  <si>
    <t>- в сумме 283,4 тыс. рублей с экономии расходов по заполнению информационной базы 1С на раздел 0100</t>
  </si>
  <si>
    <t>- в сумме 300,0 тыс. рублей с экономии расходов по программе "Формирование инвестиционного климата", для установки окон ДОУ № 50 на раздел 0700</t>
  </si>
  <si>
    <t>- в сумме  15300,0 тыс. рублей на обновление и (или) капитально-восстановительный ремонт пассажирского подвижного состава общественного транспорта</t>
  </si>
  <si>
    <t>- в сумме  1770,0 тыс. рублей на проведение работ по описанию местоположения границ территориальных зон; в сумме  12,0 тыс. рублей на оказание поддержки садоводческим некоммерческим товариществам</t>
  </si>
  <si>
    <t xml:space="preserve">- в сумме  61633,1 тыс. рублей на капитальный ремонт, ремонт и содержание автомобильных дорог общего пользования </t>
  </si>
  <si>
    <t>Уменьшение ассигнований из областного бюджета на сумму 316,4 тыс. рублей на проведение работ по описанию местоположения границ населенных пунктов Челябинской области</t>
  </si>
  <si>
    <t>0500</t>
  </si>
  <si>
    <t>Жилищно-коммунальное хоз-во, в том числе</t>
  </si>
  <si>
    <r>
      <t>Администрация</t>
    </r>
    <r>
      <rPr>
        <i/>
        <sz val="12"/>
        <rFont val="Times New Roman"/>
        <family val="1"/>
        <charset val="204"/>
      </rPr>
      <t xml:space="preserve"> МГО (в том числе  МКУ "Комитет по строительству", Управление ЖКХ, энергетики и транспорта).</t>
    </r>
  </si>
  <si>
    <t>Увеличение ассигнований на сумму 822,7 тыс. рублей, в том числе:</t>
  </si>
  <si>
    <t>- в сумме  518,2  тыс. рублей на ремонт  памятников - перемещение ассигнований с раздела 0100</t>
  </si>
  <si>
    <t>- в сумме 190,7 тыс. рублей для МБУ "ЦКОиБ" на содержания городского пляжа, перемещение с раздела 0400</t>
  </si>
  <si>
    <t>- в сумме 100,0 тыс. рублей на ремонт мусорных контейнеров, перемещение с раздела 0100</t>
  </si>
  <si>
    <t>-  в сумме 13,8 тыс. рублей  на содержание фонтана на бульваре Мира с раздела 0400</t>
  </si>
  <si>
    <t>Уменьшение (перемещение) ассигнований на сумму 33267,2 тыс. рублей, в том числе:</t>
  </si>
  <si>
    <t xml:space="preserve">- в сумме 12116,8 тыс. рублей с расходов на выполнение работ по благоустройству дворовых территорий между ГРБС на разделы 0400,0700,1100 </t>
  </si>
  <si>
    <t>- в сумме 1972,8 тыс. рублей с экономии расходов по МКУ "К-т по стр-ву" на предоставление субсидий предприятиям автотранспорта  раздел 0400</t>
  </si>
  <si>
    <t>- в сумме 300,0 тыс. рублей с расходов на озеленение , на раздел 0400</t>
  </si>
  <si>
    <t>- в сумме 1400,0 тыс. рублей с приобретения оборудования  (линии наружного освещения) на раздел 0100; в сумме 3000,0 тыс. рублей на содержание дорог  раздел 0400</t>
  </si>
  <si>
    <t>- в сумме 14385,6 тыс. рублей в рамках МП "Формирование современной городской среды на территории Миасского городского округа на 2018-2024 годы" в связи с уточнением бюджетной классификации на раздел 0400</t>
  </si>
  <si>
    <t>- в сумме 92,0 тыс. рублей в рамках обл.программы "Реальные дела" в связи с уточнением бюджетной классификации на раздел 0400</t>
  </si>
  <si>
    <t>Выделение дополнительных ассигнований из областного бюджета на сумму  3374,0 тыс. рублей на создание и содержание мест (площадок) накопления твердых коммунальных отходов</t>
  </si>
  <si>
    <t>Выделение дополнительных ассигнований из областного бюджета на сумму  40 000,00 тыс. рублей на предоставление субсидий теплоснабжающим организациям в целях возмещения недополученных доходов и (или)  затрат при выполнении работ и оказания услуг по производству, передаче и реализации тепловой энергии на территории МГО, в т.ч. затрат, связанных с погашением кредиторской задолженности перед поставщиками ТЭР.</t>
  </si>
  <si>
    <t>0600</t>
  </si>
  <si>
    <t>Охрана  окружающей  среды, в том числе</t>
  </si>
  <si>
    <r>
      <t xml:space="preserve">Администрация МГО </t>
    </r>
    <r>
      <rPr>
        <i/>
        <sz val="12"/>
        <rFont val="Times New Roman"/>
        <family val="1"/>
        <charset val="204"/>
      </rPr>
      <t>(в том числе МКУ "УЭП", МКУ "Комитет по строительству")</t>
    </r>
  </si>
  <si>
    <t>Перемещение ассигнований в сумме 290,0 тыс. рублей с реконструкции очистных сооружений водоотведения на предоставление субсидий предприятиям автотранспорта, раздел 0400</t>
  </si>
  <si>
    <t>Уменьшение ассигнований из областного бюджета на сумму 4132,5 тыс. рублей на рекультивацию земельных участков, нарушенных размещением твердых коммунальных отходов</t>
  </si>
  <si>
    <t>0700</t>
  </si>
  <si>
    <t>Образование, в том числе</t>
  </si>
  <si>
    <t>Управление образования Администрации МГО</t>
  </si>
  <si>
    <t>Увеличение ассигнований на сумму 1619,4 тыс. рублей, в том числе:</t>
  </si>
  <si>
    <t>- в сумме 613,9 тыс. рублей по наказам избирателей  с раздела 0500</t>
  </si>
  <si>
    <t>- в сумме 300,0 тыс. рублей на замену окон в ДОУ № 50 с раздела 0400</t>
  </si>
  <si>
    <t>Уменьшение (перемещение) ассигнований на сумму 1767,7  тыс. рублей, в том числе:</t>
  </si>
  <si>
    <t>- в сумме 574,6 тыс. рублей на на выплату компенсации за питание обучающимся школ-интернатов на раздел 1000 (областные средства)</t>
  </si>
  <si>
    <t xml:space="preserve">- в сумме 1193,1 тыс. рублей между ГРБС на  трудовую занятость подростков в 2020 году </t>
  </si>
  <si>
    <t>- в сумме 37709,3 тыс.рублей 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</si>
  <si>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 xml:space="preserve">- в сумме 16773,8 тыс. рублей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</t>
  </si>
  <si>
    <t>- в сумме 26163,8 тыс.рублей на обеспечение выплат ежемесячного денежного вознаграждения за классное руководство педагогическим работникам муниципальных образовательных организаций, реализующих образовательные программы начального общего, основного общего и среднего общего образования</t>
  </si>
  <si>
    <t>- в сумме 2358,0 тыс. рублей на ремонт социальных объектов</t>
  </si>
  <si>
    <t>- в сумме 9460,8 на приобретение оборудования для пищеблоков муниципальных общеобразовательных организаций</t>
  </si>
  <si>
    <t>Уменьшение  ассигнований из областного бюджета на сумму 57792,7 в том числе:</t>
  </si>
  <si>
    <t>- в сумме 6244,8 тыс.рублей  на проведение капитального ремонта зданий муниципальных общеобразовательных организаций</t>
  </si>
  <si>
    <t xml:space="preserve">- в сумме 873,1 тыс. рублей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 </t>
  </si>
  <si>
    <t xml:space="preserve">- в сумме 195,8 тыс. рублей на организацию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 </t>
  </si>
  <si>
    <t xml:space="preserve">- в сумме 49693,9 тыс. рублей на получение общедоступного и бесплатного дошкольного образования в муниципальных дошкольных образовательных организациях </t>
  </si>
  <si>
    <t>- в сумме 785,1 тыс. рублей на обеспечение питанием детей из малообеспеченных семей и детей с нарушением здоровья, обучающихся в мун.общеоб.организациях</t>
  </si>
  <si>
    <r>
      <t xml:space="preserve">Управление культуры Администрации МГО </t>
    </r>
    <r>
      <rPr>
        <i/>
        <sz val="12"/>
        <rFont val="Times New Roman"/>
        <family val="1"/>
        <charset val="204"/>
      </rPr>
      <t>(муз.школы)</t>
    </r>
  </si>
  <si>
    <t>Увеличение ассигнований (перемещения) на сумму 3856,6 тыс. рублей, в том числе:</t>
  </si>
  <si>
    <t>- в сумме 469,1 тыс. рублей  в рамках мероприятий подпрограммы "Укрепление материально-технической базы учреждений культуры" - перемещение  ассигнований с раздела 0800</t>
  </si>
  <si>
    <t xml:space="preserve">- в сумме 209,8 тыс. рублей на  трудовую занятость подростков в 2020 году (перемещение между ГРБС) </t>
  </si>
  <si>
    <t>- в сумме 577,9 тыс. рублей на проведение противоаварийных мероприятий, на ремонт кровли филиала ЦД "Строитель", ремонт фасада   и ремонт кровли ДШИ № 4 с раздела 0800</t>
  </si>
  <si>
    <t>- в сумме 2599,8 тыс. рублей с раздела 0800 подпрограммы "Культура. Искуство. Творчество" (в связи с отменой празднования Дня Побед, связанной с карантинными мероприятиями) на доведение заработной платы до установленного индикатива</t>
  </si>
  <si>
    <t xml:space="preserve">Выделение дополнительных  ассигнований из областного бюджета в сумме 164,0 тыс. рублей на ремонт учреждений Управления культуры Администрации МГО </t>
  </si>
  <si>
    <t>Управление по физической культуре и спорту Администрации МГО</t>
  </si>
  <si>
    <t>Перераспределение ассигнований в сумме 312,4 тыс. рублей  на  трудовую занятость подростков с Управления Образования Адм МГО</t>
  </si>
  <si>
    <t>Управление социальной защиты населения Администрации МГО</t>
  </si>
  <si>
    <t>Перераспределение ассигнований  в сумме 625,2 тыс. рублей на  трудовую занятость подростков с Управления Образования Адм МГО</t>
  </si>
  <si>
    <t>0800</t>
  </si>
  <si>
    <t>Культура,  в том числе</t>
  </si>
  <si>
    <t>Управление культуры Администрации МГО</t>
  </si>
  <si>
    <t>Перемещение ассигнований в сумме 469,1 тыс. рублей  в рамках мероприятий подпрограммы "Укрепление материально-технической базы учреждений культуры"  на раздел 0700</t>
  </si>
  <si>
    <t>Перемещение ассигнований в сумме 577,9 тыс. рублей по МКУ "ГДК" с ремонта фасада на проведение противоаварийных мероприятий, перемещение ассигнований с МБУ "ГКМ" с ремонта фасада на ремонт кровли филиала ЦД "Строитель", ремонт фасада   и ремонт кровли ДШИ № 4 на раздел 0700</t>
  </si>
  <si>
    <t>Перемещение ассигнований в сумме2599,8  тыс. рублей с подпрограммы "Культура. Искуство. Творчество" (в связи с отменой празднования Дня Побед, связанной с карантинными мероприятиями) на доведение заработной платы до установленного индикатива на раздел 0700</t>
  </si>
  <si>
    <t>1000</t>
  </si>
  <si>
    <t>Социальная политика, в том числе</t>
  </si>
  <si>
    <r>
      <t>Управление социальной защиты населения Администрации МГО (</t>
    </r>
    <r>
      <rPr>
        <i/>
        <sz val="12"/>
        <rFont val="Times New Roman"/>
        <family val="1"/>
        <charset val="204"/>
      </rPr>
      <t>в том числе содержание аппарата,  учреждений социального обслуживания населения, детские дома, пособия, пенсии, компенсации и т.д)</t>
    </r>
  </si>
  <si>
    <t xml:space="preserve">Выделение дополнительных  ассигнований из областного бюджета в сумме 28106,9  тыс. рублей, в том числе: </t>
  </si>
  <si>
    <t>- в сумме 899,5 тыс. рублей на социальную поддержку детей-сирот и детей, оставшихся без попечения родителей;</t>
  </si>
  <si>
    <t>- в сумме 4 226,3 тыс. рублей на реализацию переданных государственных полномочий по социальному обслуживанию граждан</t>
  </si>
  <si>
    <t>- в сумме 8153,8 тыс.рублей на выплату государственных пособий лицам, не подлежащим обязательному социальному страхованию на случай временной нетрудоспособности</t>
  </si>
  <si>
    <t>- в сумме 2250,0 тыс.рублей на компенсацию расходов на уплату взноса на капитальный ремонт общего имущества</t>
  </si>
  <si>
    <t>- в сумме 2742,1 тыс.рублей на содержание ребенка в семье опекуна и приемной семье, а также вознаграждение, причитающееся приемному родителю</t>
  </si>
  <si>
    <t>- в сумме 2428,0 тыс.рублей на  ежемесячную денежную выплату на оплату жилья и коммунальных услуг многодетной семье</t>
  </si>
  <si>
    <t>- в сумме 4458,1 тыс. рублей на осуществление выплат стимулирующего характера за особые условия труда и дополнительную нагрузку работникам мун.учр системы соц.защиты населения за работу в режиме временной изоляции в период короновирусной инфекции</t>
  </si>
  <si>
    <t>- в сумме 60,0 тыс.рублей  на осуществление мер социальной поддержки граждан, работающих и проживающих в сельских населенных пунктах и рабочих поселках Челябинской области</t>
  </si>
  <si>
    <t>- в сумме 300,0 тыс.рублей на ежемесячные денежные выплаты и возмещение расходов, связанных с проездом к местам захоронения ВОВ</t>
  </si>
  <si>
    <t xml:space="preserve">- в сумме 431,7 тыс.рублей на ежегодную денежную выплату лицам, награжденным нагрудным знаком  «Почетный донор России» </t>
  </si>
  <si>
    <t xml:space="preserve">- в сумме 335,1 тыс. рублей на предоставление гражданам субсидий на оплату жилого помещения и коммунальных услуг </t>
  </si>
  <si>
    <t>- в сумме 1362,3 тыс. рублей на содержание УСЗН</t>
  </si>
  <si>
    <t xml:space="preserve">- в сумме 460,2 тыс. рублей на организацию и осуществление деятельности по опеке и попечительству </t>
  </si>
  <si>
    <t>Уменьшение ассигнований из областного бюджета на сумму 51136,4 тыс. рублей  , в том числе:</t>
  </si>
  <si>
    <t xml:space="preserve">- в сумме 37000,0 тыс. рублей на предоставление гражданам субсидий на оплату жилого помещения и коммунальных услуг </t>
  </si>
  <si>
    <t>- в сумме 987,6 тыс. рублей на единовременную выплату в соответствии с Законом Челябинской области «О дополнительных мерах социальной поддержки отдельных категорий граждан в связи с переходом к цифровому телерадиовещанию»</t>
  </si>
  <si>
    <t>- в сумме 3000,0 тыс. рублей на обеспечение мер социальной поддержки граждан, имеющих звание «Ветеран труда Челябинской области»</t>
  </si>
  <si>
    <t xml:space="preserve">- в сумме 28,2 тыс. рублей обеспечение дополнительных мер социальной защиты ветеранов в Челябинской области (компенсационные выплаты за пользование услугами связи) </t>
  </si>
  <si>
    <t>- в сумме 1000,0 тыс.рублей на пособие на ребенка (Закон Челябинской области "О  пособии на ребенка")</t>
  </si>
  <si>
    <t xml:space="preserve">в сумме 48,2 тыс. рублей перемещение на раздел 0700 в связи с изменением бюджетной классификации по расходам по повышение квалификации- </t>
  </si>
  <si>
    <t>- в сумме 87,0 тыс.рублей на обеспечение дополнительных мер социальной защиты ветеранов в Челябинской области (компенсация расходов на оплату жилых помещений и коммунальных услуг)</t>
  </si>
  <si>
    <t xml:space="preserve">в сумме 8914,0 тыс. рублей на обеспечение мер социальной поддержки ветеранов труда и тружеников тыла </t>
  </si>
  <si>
    <t>- в сумме 65,7 тыс. рублей перемещение областных средств на осуществление мер социальной поддержки граждан, работающих и проживающих в сельских населенных пунктах между ГРБС</t>
  </si>
  <si>
    <t>Выделение дополнительных ассигнований из областного бюджета  ассигнований в сумме  10032,4 тыс рублей , в том числе:</t>
  </si>
  <si>
    <t>- в сумме 574,5 тыс рублей на выплату компенсации за питание обучающимся школ-интернатов с раздела 0700</t>
  </si>
  <si>
    <t xml:space="preserve">- в сумме 5587,5 тыс. рублей на компенсацию затрат родителей (законных представителей) детей-инвалидов в части организации обучения по основным общеобразовательным программам на дому </t>
  </si>
  <si>
    <t>- в сумме 3870,4 тыс. рублей на выплату компенсации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</t>
  </si>
  <si>
    <t xml:space="preserve">Увеличение ассигнований  на 6671,4 тыс. рублей из областного бюджета на предоставление молодым семьям - участникам подпрограммы  социальных выплат на приобретение жилого помещения эконом-класса или создание объекта индивидуального жилищного строительства эконом-класса  </t>
  </si>
  <si>
    <t>Увеличение ассигнований на сумму 65,6 тыс. рублей  на осуществление мер социальной поддержки граждан, работающих и проживающих в сельских населенных пунктах перемещение областных средств между ГРБС</t>
  </si>
  <si>
    <r>
      <t xml:space="preserve">Финансовое управление Адм МГО  </t>
    </r>
    <r>
      <rPr>
        <i/>
        <sz val="12"/>
        <rFont val="Times New Roman"/>
        <family val="1"/>
        <charset val="204"/>
      </rPr>
      <t>(в том числе резерв на з/плату, испол.листы)</t>
    </r>
  </si>
  <si>
    <t xml:space="preserve">Увеличение   ассигнований на 300,0 тыс. рублей на мероприятия программы СОНКО - перемещение ассигнований с раздела 1100 </t>
  </si>
  <si>
    <t>1100</t>
  </si>
  <si>
    <t>Физическая культура и спорт, в том числе</t>
  </si>
  <si>
    <r>
      <t xml:space="preserve">Администрация МГО </t>
    </r>
    <r>
      <rPr>
        <i/>
        <sz val="12"/>
        <rFont val="Times New Roman"/>
        <family val="1"/>
        <charset val="204"/>
      </rPr>
      <t xml:space="preserve">(в том числе МКУ "Комитет по строительству") </t>
    </r>
  </si>
  <si>
    <t xml:space="preserve">Перемещение ассигнований в сумме 400,0 тыс. рублей  на Управление ФКиС для подготовки проектно сметной документации  по ремонту легкоатлетического ядра на стадионе "Труд" </t>
  </si>
  <si>
    <t xml:space="preserve">Перемещение ассигнований в сумме 6300,00 тыс. рублей с МКУ "Комитет  по строительству" на МБУ "СШОР №4" на приобретение и монтаж модульной лыжной базы (п.Дачный) </t>
  </si>
  <si>
    <t>Перемещение ассигнований в сумме 1000,0 тыс. рублей с расходов по приобретению здания "Олимп" на п.Строителей на предоставление субсидий предприятиям автотранспорта раздел 0400</t>
  </si>
  <si>
    <t>Управление ФКиС АМГО</t>
  </si>
  <si>
    <t xml:space="preserve">Перемещение  ассигнований в сумме 300,0 тыс. рублей, предусмотренных на мероприятия программы «Развитие физической культуры и спорта в Миасском городском округе» на  раздел 1000 (мероприятия программы СОНКО). </t>
  </si>
  <si>
    <t>Перемещение  ассигнований в сумме 712,5 тыс. рублей, с экономии по модульной лыжной базе на п.Дачный на предоставление субсидий предприятиям автотранспорта раздел 0400</t>
  </si>
  <si>
    <t>Увеличение  ассигнований на 10457,0 тыс. рублей , в том числе:</t>
  </si>
  <si>
    <t>- в сумме  400,0 тыс. рублей   на выполнение работ по ремонту легкоатлетического ядра на стадионе "Труд" - перемещение ассигнований с Администрации МГО</t>
  </si>
  <si>
    <t>- в сумме 6300,00 тыс. рублей на МБУ "СШОР №4" на приобретение и монтаж модульной лыжной базы (п.Дачный) с МКУ "Комитет  по строительству"</t>
  </si>
  <si>
    <t>- в сумме 500,0 тыс. рублей на выполнение работ по наказам избирателей  с раздела 0500</t>
  </si>
  <si>
    <t>- в сумме 3257,9 тыс. рублей на благоустройство стадиона "Труд": с Администрации МГО с раздела 0400 в сумме 791,2 тыс. рублей; с раздела 0500 2466,7 тыс. рублей (перемещение дотации)</t>
  </si>
  <si>
    <t>ВСЕГО</t>
  </si>
  <si>
    <t>Информация об изменении ассигнований бюджета Миасского городского округа в 2020 году (после принятия решения Собранием депутатов МГО от 27.03.2020г. № 3 по состоянию на 09.10.2020 года)</t>
  </si>
  <si>
    <t>в том числе за октябрь</t>
  </si>
  <si>
    <t>обл</t>
  </si>
  <si>
    <t>пожерт</t>
  </si>
  <si>
    <t>- в сумме 100,8 тыс. рублей пожертвования СОШ № 7</t>
  </si>
  <si>
    <t>Увеличение ассигнований  на 9921 тыс. рублей из областного бюджета на 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</si>
  <si>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Увеличение ассигнований на сумму 2712,2 тыс. рублей распределение областной дотации на фот, исполнительные</t>
  </si>
  <si>
    <t>- в сумме 14543,2 тыс. рублей распределение областной дотации на субсидии транспорту, содержание дорог</t>
  </si>
  <si>
    <t>Выделение дополнительных ассигнований из областного бюджета в  сумме  93258,3 тыс. рублей, в том числе:</t>
  </si>
  <si>
    <t>Увеличение ассигнований на сумму 2547,2 тыс. рублей распределение областной дотации на оплату электроэнергии улич.освещение</t>
  </si>
  <si>
    <t>Увеличение ассигнований на сумму 44,3тыс. рублей распределение областной дотации на фот (повышение на 3%)</t>
  </si>
  <si>
    <t>Увеличение ассигнований на сумму 2447,9 тыс. рублей распределение областной дотации на фот (восстановление, повышение на 3%)</t>
  </si>
  <si>
    <t>Увеличение ассигнований на сумму 1757,7 тыс. рублей распределение областной дотации на фот (восстановление, повышение на 3%)</t>
  </si>
  <si>
    <t>Выделение дополнительных  ассигнований из областного бюджета на сумму 117249,2 тыс. рублей, в том числе:</t>
  </si>
  <si>
    <t>Увеличение ассигнований на сумму 1151,5тыс. рублей распределение областной дотации на пособие в случае смерти мун.служащего</t>
  </si>
  <si>
    <t>Октябрь Дотация+70,8+9921</t>
  </si>
  <si>
    <t>Увеличение ассигнований на сумму 19,6 тыс. рублей распределение областной дотации на фот (повышение на 3%)</t>
  </si>
  <si>
    <t>Перемещение ассигнований в  сумме 119,1 тыс. рублей на раздел 0700 в связи с изменением бюджетной классификации по расходам на  повышение квалификации; в сумме 199 тыс. рублей экономия сметы расходов на раздел 0400 (на содержание и ремонт дорог)</t>
  </si>
  <si>
    <t>- в сумме 675,5 тыс рублей (перемещение трудовой занятости с УСЗН, пожертвования для школ, завершение ремонтных работ в Юности, пожертвание на оплату пени)</t>
  </si>
  <si>
    <t>Увеличение ассигнований на сумму 24763,9 тыс. рублей распределение областной дотации на фот (восстановление начислений, повышение на 3%)</t>
  </si>
  <si>
    <t>Увеличение ассигнований на сумму 119,1 тыс. рублей перемещение с раздела 0100 в связи с изменением бюджетной классификации по расходам на повышение квалификации</t>
  </si>
  <si>
    <t>Перемещение ассигнований в сумме 53,9 тыс. рублей  с раздела 1000 в связи с изменением бюджетной классификации по расходам на повышение квалификации</t>
  </si>
  <si>
    <t>Перемещение ассигнований в сумме 5,7 тыс. рублей  на раздел 0700 в связи с изменением бюджетной классификации по расходам на повышение квалификации</t>
  </si>
  <si>
    <t>Перемещение ассигнований в сумме 3500,0 тыс. рублей с объекта школа на 500 мест в п.Динамо, на раздел 0500 на приобретение линий наружного освещения, выполнение работ по устройству ливневых стоков</t>
  </si>
  <si>
    <t>Увеличение ассигнований на сумму 4322,7 тыс. рублей, в том числе:</t>
  </si>
  <si>
    <t>- в сумме 3500,0 тыс. рублей на приобретение линий наружного освещения, выполнение работ по устройству ливневых стоков с раздела 0700</t>
  </si>
  <si>
    <t>Выделение дополнительных ассигнований из областного бюджета на сумму  800,0 тыс. рублей выплату денежного вознаграждения победителям областного конкурса на звание "Самое благоустроенное городское (сельское) поселение Челябинской области"</t>
  </si>
  <si>
    <t>Перемещение ассигнований в сумме 57,6 тыс. рублей  с раздела 1000 в связи с изменением бюджетной классификации по расходам на повышение квалификации</t>
  </si>
  <si>
    <t>-в сумме 100,0 тыс. рублей на асфальтирование территории МБУ СШОР №4 с экономии расходов по оздоровительной компании Управления Образования раздела 0700</t>
  </si>
  <si>
    <t>Увеличение  ассигнований на 10557,0 тыс. рублей , в том числе:</t>
  </si>
  <si>
    <t>- в сумме 100 ,0 тыс. рублей экономия расходов по оздоровительной компании на раздел 1100</t>
  </si>
  <si>
    <t>Уменьшение (перемещение) ассигнований на сумму 1867,7  тыс. рублей, в том числе:</t>
  </si>
  <si>
    <t>- в сумме 9,4 тыс. рублей платные услуги средства за сдачу макулатуры и металлолома учреждениями образования</t>
  </si>
  <si>
    <t>Увеличение ассигнований на сумму 1699,6 тыс. рублей, в том числе:</t>
  </si>
  <si>
    <t>Выделение дополнительных  ассигнований из областного бюджета на сумму 117229,7 тыс. рублей, в том числе:</t>
  </si>
  <si>
    <t>Перераспределение ассигнований в сумме 312,3 тыс. рублей  на  трудовую занятость подростков с Управления Образования Адм МГО</t>
  </si>
  <si>
    <t>Уменьшение ассигнований на возврат неиспользованных субсидий прошлых лет в сумме 2,0 тыс. рублей; перемещение на ремонт кровли библиотеки (п. Тургояк)  в сумме 84,6 тыс. рублей</t>
  </si>
  <si>
    <t>Увеличение ассигнований на сумму 184,6 тыс. рублей на ремонт кровли библиотеки (п. тургояк)</t>
  </si>
  <si>
    <t>- в сумме 100,0 тыс. рублей с экономии расхододв по ликвидации Мупов на раздел 0800 (ремонт кровли библиотеки п. Тургояк)</t>
  </si>
  <si>
    <t>Перемещение ассигнований в  сумме 33,0 тыс. рублей на раздел 0700 в связи с изменением бюджетной классификации по расходам на  повышение квалификации</t>
  </si>
  <si>
    <t>Уменьшение ассигнований по платным услугам на сумму 3,9 тыс. рублей , в связи с не исполнением плана по доходам</t>
  </si>
  <si>
    <t>Перемещение ассигнований в  сумме 14,5 тыс. рублей на раздел 0700 в связи с изменением бюджетной классификации по расходам на  повышение квалификации</t>
  </si>
  <si>
    <t>Увеличение ассигнований на сумму 277,7 тыс. рублей перемещение с разделов 0100,0300,0600 в связи с изменением бюджетной классификации по расходам на повышение квалификации</t>
  </si>
  <si>
    <t>в сумме 230 тыс. рублей перемещение на раздел 0700  в связи с изменением бюджетной классификации по расходам на повышение квалификации</t>
  </si>
  <si>
    <t>в сумме 237,9 тыс. рублей с экономии расходов по имуществу на раздел 0100 (очистные Хребет)</t>
  </si>
  <si>
    <t>Увеличение ассигнований на сумму 237,9 тыс. рублей на поддержание в рабочем состоянии очистных п.Хребет с раздела 0500</t>
  </si>
  <si>
    <t>- в сумме 24764 тыс. рублей распределение областной дотации на фот (восстановление начислений, повышение на 3%)</t>
  </si>
  <si>
    <t>Уменьшение (перемещение) ассигнований на сумму 33755,8 тыс. рублей, в том числе:</t>
  </si>
  <si>
    <t>- в сумме 8978,8 тыс. рублей на проведение работ по благоустройству дворовых территорий и по программе "Реальные дела", перемещение с аналогичных расходов по разделу 0500</t>
  </si>
  <si>
    <t xml:space="preserve">- в сумме 12459,5 тыс. рублей с расходов на выполнение работ по благоустройству дворовых территорий и по программе "Реальные дела"  между ГРБС на разделы 0400,0700,1100 </t>
  </si>
  <si>
    <t>- в сумме 7233,3 тыс. рублей на предоставление субсидий предприятиям автотранспорта , перемещение с разделов 0100,0400, 0500,0600,1101</t>
  </si>
  <si>
    <t>Увеличение ассигнований на сумму 39159,4 тыс. рублей, в том числе:</t>
  </si>
  <si>
    <t>- в сумме 2758 тыс. рублей с экономии по смете расходов на предоставление субсидий предприятиям автотранспорта , перемещение на раздел 0400</t>
  </si>
  <si>
    <t>Уменьшение (перемещение) ассигнований на сумму 9057,3 тыс. рублей, в том числе:</t>
  </si>
  <si>
    <t>Информация об изменении ассигнований бюджета Миасского городского округа в 2020 году (после принятия решения Собранием депутатов МГО от 27.03.2020г. № 3 по состоянию на 15.10.2020 года)</t>
  </si>
  <si>
    <t>Отклонение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</si>
</sst>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4" x14ac:knownFonts="1">
    <font>
      <sz val="10"/>
      <name val="Arial Cyr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color rgb="FF0070C0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i/>
      <sz val="10"/>
      <name val="Arial Cyr"/>
      <charset val="204"/>
    </font>
    <font>
      <b/>
      <sz val="12"/>
      <color rgb="FFFF0000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1" fillId="0" borderId="0"/>
    <xf numFmtId="0" fontId="12" fillId="0" borderId="0"/>
    <xf numFmtId="0" fontId="13" fillId="0" borderId="0"/>
    <xf numFmtId="0" fontId="11" fillId="0" borderId="0"/>
  </cellStyleXfs>
  <cellXfs count="122">
    <xf numFmtId="0" fontId="0" fillId="0" borderId="0" xfId="0"/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1" fillId="0" borderId="0" xfId="0" applyFont="1"/>
    <xf numFmtId="49" fontId="5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Fill="1"/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/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/>
    <xf numFmtId="164" fontId="3" fillId="2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justify" vertical="center" wrapText="1"/>
    </xf>
    <xf numFmtId="49" fontId="1" fillId="0" borderId="1" xfId="0" applyNumberFormat="1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justify" vertical="center" wrapText="1"/>
    </xf>
    <xf numFmtId="0" fontId="2" fillId="0" borderId="0" xfId="0" applyFont="1" applyFill="1" applyAlignment="1"/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justify" vertical="center" wrapText="1"/>
    </xf>
    <xf numFmtId="164" fontId="5" fillId="0" borderId="0" xfId="0" applyNumberFormat="1" applyFont="1" applyFill="1"/>
    <xf numFmtId="164" fontId="3" fillId="0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justify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justify" vertical="center"/>
    </xf>
    <xf numFmtId="164" fontId="1" fillId="2" borderId="1" xfId="0" applyNumberFormat="1" applyFont="1" applyFill="1" applyBorder="1" applyAlignment="1">
      <alignment horizontal="justify" vertical="center"/>
    </xf>
    <xf numFmtId="164" fontId="3" fillId="0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/>
    <xf numFmtId="164" fontId="1" fillId="2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2" fillId="0" borderId="0" xfId="0" applyFont="1" applyFill="1"/>
    <xf numFmtId="164" fontId="2" fillId="0" borderId="0" xfId="0" applyNumberFormat="1" applyFont="1" applyFill="1"/>
    <xf numFmtId="49" fontId="1" fillId="0" borderId="1" xfId="0" applyNumberFormat="1" applyFont="1" applyFill="1" applyBorder="1" applyAlignment="1">
      <alignment horizontal="justify" vertical="center"/>
    </xf>
    <xf numFmtId="49" fontId="5" fillId="0" borderId="1" xfId="0" applyNumberFormat="1" applyFont="1" applyFill="1" applyBorder="1" applyAlignment="1">
      <alignment horizontal="center"/>
    </xf>
    <xf numFmtId="165" fontId="5" fillId="0" borderId="1" xfId="0" applyNumberFormat="1" applyFont="1" applyFill="1" applyBorder="1" applyAlignment="1">
      <alignment horizontal="left" vertical="center"/>
    </xf>
    <xf numFmtId="164" fontId="10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left" vertical="center"/>
    </xf>
    <xf numFmtId="164" fontId="6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justify" vertical="center" wrapText="1"/>
    </xf>
    <xf numFmtId="164" fontId="2" fillId="0" borderId="0" xfId="0" applyNumberFormat="1" applyFont="1" applyFill="1" applyAlignment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justify" vertical="center" wrapText="1"/>
    </xf>
    <xf numFmtId="0" fontId="1" fillId="0" borderId="0" xfId="0" applyFont="1" applyAlignment="1">
      <alignment horizontal="center" vertical="center"/>
    </xf>
    <xf numFmtId="164" fontId="1" fillId="3" borderId="0" xfId="0" applyNumberFormat="1" applyFont="1" applyFill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justify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164" fontId="1" fillId="2" borderId="2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164" fontId="2" fillId="2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justify" vertical="center" wrapText="1"/>
    </xf>
    <xf numFmtId="0" fontId="1" fillId="0" borderId="3" xfId="0" applyFont="1" applyFill="1" applyBorder="1" applyAlignment="1">
      <alignment horizontal="justify" vertical="center" wrapText="1"/>
    </xf>
    <xf numFmtId="0" fontId="1" fillId="0" borderId="4" xfId="0" applyFont="1" applyFill="1" applyBorder="1" applyAlignment="1">
      <alignment horizontal="justify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65" fontId="9" fillId="0" borderId="2" xfId="0" applyNumberFormat="1" applyFont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165" fontId="0" fillId="0" borderId="4" xfId="0" applyNumberFormat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vertical="center"/>
    </xf>
    <xf numFmtId="164" fontId="2" fillId="2" borderId="3" xfId="0" applyNumberFormat="1" applyFont="1" applyFill="1" applyBorder="1" applyAlignment="1">
      <alignment horizontal="center" vertical="center"/>
    </xf>
    <xf numFmtId="164" fontId="1" fillId="0" borderId="3" xfId="0" applyNumberFormat="1" applyFont="1" applyFill="1" applyBorder="1" applyAlignment="1">
      <alignment horizontal="center" vertical="center"/>
    </xf>
  </cellXfs>
  <cellStyles count="5">
    <cellStyle name="Normal" xfId="1"/>
    <cellStyle name="Обычный" xfId="0" builtinId="0"/>
    <cellStyle name="Обычный 2" xfId="2"/>
    <cellStyle name="Обычный 2 2" xfId="3"/>
    <cellStyle name="Обыч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L251"/>
  <sheetViews>
    <sheetView tabSelected="1" zoomScale="80" zoomScaleNormal="8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5" sqref="E5"/>
    </sheetView>
  </sheetViews>
  <sheetFormatPr defaultColWidth="14.42578125" defaultRowHeight="15.75" outlineLevelCol="1" x14ac:dyDescent="0.25"/>
  <cols>
    <col min="1" max="1" width="5.5703125" style="1" customWidth="1"/>
    <col min="2" max="2" width="49.42578125" style="2" bestFit="1" customWidth="1"/>
    <col min="3" max="3" width="15.85546875" style="3" customWidth="1"/>
    <col min="4" max="4" width="17.28515625" style="4" customWidth="1"/>
    <col min="5" max="5" width="13.140625" style="3" customWidth="1"/>
    <col min="6" max="6" width="12.5703125" style="5" hidden="1" customWidth="1" outlineLevel="1"/>
    <col min="7" max="7" width="12.42578125" style="5" hidden="1" customWidth="1" outlineLevel="1"/>
    <col min="8" max="8" width="12.5703125" style="6" hidden="1" customWidth="1" outlineLevel="1"/>
    <col min="9" max="9" width="99.42578125" style="72" customWidth="1" collapsed="1"/>
    <col min="10" max="10" width="10.42578125" style="8" customWidth="1"/>
    <col min="11" max="223" width="9.140625" style="8" customWidth="1"/>
    <col min="224" max="224" width="60.42578125" style="8" customWidth="1"/>
    <col min="225" max="225" width="0" style="8" hidden="1" customWidth="1"/>
    <col min="226" max="226" width="14.7109375" style="8" customWidth="1"/>
    <col min="227" max="227" width="14.5703125" style="8" customWidth="1"/>
    <col min="228" max="228" width="0" style="8" hidden="1" customWidth="1"/>
    <col min="229" max="229" width="14.5703125" style="8" customWidth="1"/>
    <col min="230" max="230" width="15" style="8" customWidth="1"/>
    <col min="231" max="232" width="14.5703125" style="8" customWidth="1"/>
    <col min="233" max="16384" width="14.42578125" style="8"/>
  </cols>
  <sheetData>
    <row r="1" spans="1:12" x14ac:dyDescent="0.25">
      <c r="I1" s="7" t="s">
        <v>0</v>
      </c>
    </row>
    <row r="2" spans="1:12" ht="34.5" customHeight="1" x14ac:dyDescent="0.25">
      <c r="A2" s="118" t="s">
        <v>225</v>
      </c>
      <c r="B2" s="118"/>
      <c r="C2" s="118"/>
      <c r="D2" s="118"/>
      <c r="E2" s="118"/>
      <c r="F2" s="118"/>
      <c r="G2" s="118"/>
      <c r="H2" s="118"/>
      <c r="I2" s="119"/>
    </row>
    <row r="3" spans="1:12" x14ac:dyDescent="0.25">
      <c r="A3" s="9"/>
      <c r="I3" s="10" t="s">
        <v>1</v>
      </c>
    </row>
    <row r="4" spans="1:12" s="17" customFormat="1" ht="47.25" x14ac:dyDescent="0.25">
      <c r="A4" s="11" t="s">
        <v>2</v>
      </c>
      <c r="B4" s="12" t="s">
        <v>3</v>
      </c>
      <c r="C4" s="13" t="s">
        <v>4</v>
      </c>
      <c r="D4" s="13" t="s">
        <v>5</v>
      </c>
      <c r="E4" s="13" t="s">
        <v>226</v>
      </c>
      <c r="F4" s="14" t="s">
        <v>7</v>
      </c>
      <c r="G4" s="14" t="s">
        <v>172</v>
      </c>
      <c r="H4" s="15" t="s">
        <v>8</v>
      </c>
      <c r="I4" s="80" t="s">
        <v>9</v>
      </c>
    </row>
    <row r="5" spans="1:12" s="23" customFormat="1" x14ac:dyDescent="0.25">
      <c r="A5" s="79" t="s">
        <v>10</v>
      </c>
      <c r="B5" s="19">
        <v>2</v>
      </c>
      <c r="C5" s="20">
        <v>3</v>
      </c>
      <c r="D5" s="20">
        <v>4</v>
      </c>
      <c r="E5" s="20">
        <v>5</v>
      </c>
      <c r="F5" s="21"/>
      <c r="G5" s="21"/>
      <c r="H5" s="22"/>
      <c r="I5" s="80">
        <v>6</v>
      </c>
    </row>
    <row r="6" spans="1:12" s="23" customFormat="1" x14ac:dyDescent="0.25">
      <c r="A6" s="75" t="s">
        <v>11</v>
      </c>
      <c r="B6" s="25" t="s">
        <v>12</v>
      </c>
      <c r="C6" s="26">
        <f>SUM(C7:C26)-C26</f>
        <v>319985.3</v>
      </c>
      <c r="D6" s="27">
        <f>SUM(D7:D26)-D26</f>
        <v>315893.40000000002</v>
      </c>
      <c r="E6" s="27">
        <f>D6-C6</f>
        <v>-4091.8999999999651</v>
      </c>
      <c r="F6" s="27">
        <f>SUM(F7:F26)-F26</f>
        <v>-3751.5</v>
      </c>
      <c r="G6" s="27">
        <f>SUM(G7:G26)-G26</f>
        <v>2561.2999999999997</v>
      </c>
      <c r="H6" s="28">
        <f>SUM(H7:H26)</f>
        <v>-4091.9</v>
      </c>
      <c r="I6" s="77"/>
      <c r="J6" s="30"/>
      <c r="L6" s="30"/>
    </row>
    <row r="7" spans="1:12" s="23" customFormat="1" ht="78.75" x14ac:dyDescent="0.25">
      <c r="A7" s="103"/>
      <c r="B7" s="95" t="s">
        <v>13</v>
      </c>
      <c r="C7" s="89">
        <v>249667.9</v>
      </c>
      <c r="D7" s="89">
        <f>246766.3+283.4-2757.9-1017.7+2712.2-230-100+237.9-0.1</f>
        <v>245894.09999999998</v>
      </c>
      <c r="E7" s="88">
        <f>D7-C7</f>
        <v>-3773.8000000000175</v>
      </c>
      <c r="F7" s="99">
        <f>283.4-2757.9-1017.7</f>
        <v>-3492.2</v>
      </c>
      <c r="G7" s="99">
        <f>2712.2-230-100+237.9</f>
        <v>2620.1</v>
      </c>
      <c r="H7" s="31">
        <v>2050</v>
      </c>
      <c r="I7" s="32" t="s">
        <v>14</v>
      </c>
      <c r="J7" s="30"/>
      <c r="L7" s="30"/>
    </row>
    <row r="8" spans="1:12" s="23" customFormat="1" ht="31.5" x14ac:dyDescent="0.25">
      <c r="A8" s="103"/>
      <c r="B8" s="95"/>
      <c r="C8" s="89"/>
      <c r="D8" s="89"/>
      <c r="E8" s="88"/>
      <c r="F8" s="120"/>
      <c r="G8" s="120"/>
      <c r="H8" s="31">
        <v>283.39999999999998</v>
      </c>
      <c r="I8" s="32" t="s">
        <v>15</v>
      </c>
      <c r="J8" s="30"/>
      <c r="L8" s="30"/>
    </row>
    <row r="9" spans="1:12" s="23" customFormat="1" ht="31.5" x14ac:dyDescent="0.25">
      <c r="A9" s="103"/>
      <c r="B9" s="95"/>
      <c r="C9" s="89"/>
      <c r="D9" s="89"/>
      <c r="E9" s="88"/>
      <c r="F9" s="120"/>
      <c r="G9" s="120"/>
      <c r="H9" s="36">
        <v>237.9</v>
      </c>
      <c r="I9" s="32" t="s">
        <v>216</v>
      </c>
      <c r="J9" s="30"/>
      <c r="L9" s="30"/>
    </row>
    <row r="10" spans="1:12" s="23" customFormat="1" ht="31.5" x14ac:dyDescent="0.25">
      <c r="A10" s="103"/>
      <c r="B10" s="95"/>
      <c r="C10" s="89"/>
      <c r="D10" s="89"/>
      <c r="E10" s="88"/>
      <c r="F10" s="120"/>
      <c r="G10" s="120"/>
      <c r="H10" s="31">
        <v>2712.2</v>
      </c>
      <c r="I10" s="32" t="s">
        <v>177</v>
      </c>
      <c r="J10" s="30"/>
      <c r="L10" s="30"/>
    </row>
    <row r="11" spans="1:12" s="23" customFormat="1" x14ac:dyDescent="0.25">
      <c r="A11" s="103"/>
      <c r="B11" s="108"/>
      <c r="C11" s="109"/>
      <c r="D11" s="109"/>
      <c r="E11" s="109"/>
      <c r="F11" s="91"/>
      <c r="G11" s="91"/>
      <c r="H11" s="31"/>
      <c r="I11" s="32" t="s">
        <v>224</v>
      </c>
      <c r="J11" s="30"/>
      <c r="L11" s="30"/>
    </row>
    <row r="12" spans="1:12" s="23" customFormat="1" ht="31.5" x14ac:dyDescent="0.25">
      <c r="A12" s="103"/>
      <c r="B12" s="108"/>
      <c r="C12" s="109"/>
      <c r="D12" s="109"/>
      <c r="E12" s="109"/>
      <c r="F12" s="91"/>
      <c r="G12" s="91"/>
      <c r="H12" s="31">
        <v>-329.7</v>
      </c>
      <c r="I12" s="33" t="s">
        <v>17</v>
      </c>
      <c r="L12" s="30"/>
    </row>
    <row r="13" spans="1:12" s="23" customFormat="1" ht="31.5" x14ac:dyDescent="0.25">
      <c r="A13" s="103"/>
      <c r="B13" s="108"/>
      <c r="C13" s="109"/>
      <c r="D13" s="109"/>
      <c r="E13" s="109"/>
      <c r="F13" s="91"/>
      <c r="G13" s="91"/>
      <c r="H13" s="31">
        <v>-188.5</v>
      </c>
      <c r="I13" s="33" t="s">
        <v>18</v>
      </c>
      <c r="L13" s="30"/>
    </row>
    <row r="14" spans="1:12" s="23" customFormat="1" ht="31.5" x14ac:dyDescent="0.25">
      <c r="A14" s="103"/>
      <c r="B14" s="108"/>
      <c r="C14" s="109"/>
      <c r="D14" s="109"/>
      <c r="E14" s="109"/>
      <c r="F14" s="91"/>
      <c r="G14" s="91"/>
      <c r="H14" s="31">
        <v>-100</v>
      </c>
      <c r="I14" s="33" t="s">
        <v>209</v>
      </c>
      <c r="L14" s="30"/>
    </row>
    <row r="15" spans="1:12" s="23" customFormat="1" ht="63" x14ac:dyDescent="0.25">
      <c r="A15" s="103"/>
      <c r="B15" s="108"/>
      <c r="C15" s="109"/>
      <c r="D15" s="109"/>
      <c r="E15" s="109"/>
      <c r="F15" s="91"/>
      <c r="G15" s="91"/>
      <c r="H15" s="31">
        <v>-642.9</v>
      </c>
      <c r="I15" s="33" t="s">
        <v>19</v>
      </c>
      <c r="L15" s="30"/>
    </row>
    <row r="16" spans="1:12" s="23" customFormat="1" ht="31.5" x14ac:dyDescent="0.25">
      <c r="A16" s="103"/>
      <c r="B16" s="108"/>
      <c r="C16" s="109"/>
      <c r="D16" s="109"/>
      <c r="E16" s="109"/>
      <c r="F16" s="91"/>
      <c r="G16" s="91"/>
      <c r="H16" s="34">
        <v>-235.1</v>
      </c>
      <c r="I16" s="35" t="s">
        <v>20</v>
      </c>
      <c r="L16" s="30"/>
    </row>
    <row r="17" spans="1:12" s="23" customFormat="1" ht="31.5" x14ac:dyDescent="0.25">
      <c r="A17" s="103"/>
      <c r="B17" s="108"/>
      <c r="C17" s="109"/>
      <c r="D17" s="109"/>
      <c r="E17" s="109"/>
      <c r="F17" s="91"/>
      <c r="G17" s="91"/>
      <c r="H17" s="36">
        <v>-230</v>
      </c>
      <c r="I17" s="32" t="s">
        <v>214</v>
      </c>
      <c r="L17" s="30"/>
    </row>
    <row r="18" spans="1:12" s="23" customFormat="1" ht="31.5" x14ac:dyDescent="0.25">
      <c r="A18" s="103"/>
      <c r="B18" s="108"/>
      <c r="C18" s="109"/>
      <c r="D18" s="109"/>
      <c r="E18" s="109"/>
      <c r="F18" s="91"/>
      <c r="G18" s="91"/>
      <c r="H18" s="36">
        <v>-415.1</v>
      </c>
      <c r="I18" s="35" t="s">
        <v>21</v>
      </c>
      <c r="L18" s="30"/>
    </row>
    <row r="19" spans="1:12" s="23" customFormat="1" x14ac:dyDescent="0.25">
      <c r="A19" s="103"/>
      <c r="B19" s="108"/>
      <c r="C19" s="109"/>
      <c r="D19" s="109"/>
      <c r="E19" s="109"/>
      <c r="F19" s="91"/>
      <c r="G19" s="91"/>
      <c r="H19" s="36">
        <v>-1017.7</v>
      </c>
      <c r="I19" s="35" t="s">
        <v>22</v>
      </c>
      <c r="L19" s="30"/>
    </row>
    <row r="20" spans="1:12" s="23" customFormat="1" ht="31.5" x14ac:dyDescent="0.25">
      <c r="A20" s="103"/>
      <c r="B20" s="108"/>
      <c r="C20" s="109"/>
      <c r="D20" s="109"/>
      <c r="E20" s="109"/>
      <c r="F20" s="91"/>
      <c r="G20" s="91"/>
      <c r="H20" s="36">
        <v>-2758</v>
      </c>
      <c r="I20" s="33" t="s">
        <v>223</v>
      </c>
      <c r="L20" s="30"/>
    </row>
    <row r="21" spans="1:12" s="23" customFormat="1" ht="63" x14ac:dyDescent="0.25">
      <c r="A21" s="103"/>
      <c r="B21" s="108"/>
      <c r="C21" s="109"/>
      <c r="D21" s="109"/>
      <c r="E21" s="109"/>
      <c r="F21" s="91"/>
      <c r="G21" s="91"/>
      <c r="H21" s="34">
        <v>-3025</v>
      </c>
      <c r="I21" s="35" t="s">
        <v>24</v>
      </c>
      <c r="L21" s="30"/>
    </row>
    <row r="22" spans="1:12" s="23" customFormat="1" ht="47.25" x14ac:dyDescent="0.25">
      <c r="A22" s="103"/>
      <c r="B22" s="108"/>
      <c r="C22" s="109"/>
      <c r="D22" s="109"/>
      <c r="E22" s="109"/>
      <c r="F22" s="85"/>
      <c r="G22" s="85"/>
      <c r="H22" s="36">
        <v>-115.3</v>
      </c>
      <c r="I22" s="35" t="s">
        <v>25</v>
      </c>
      <c r="L22" s="30"/>
    </row>
    <row r="23" spans="1:12" s="23" customFormat="1" x14ac:dyDescent="0.25">
      <c r="A23" s="103"/>
      <c r="B23" s="76" t="s">
        <v>26</v>
      </c>
      <c r="C23" s="13">
        <v>25760.400000000001</v>
      </c>
      <c r="D23" s="13">
        <v>25760.400000000001</v>
      </c>
      <c r="E23" s="77">
        <f t="shared" ref="E23:E164" si="0">D23-C23</f>
        <v>0</v>
      </c>
      <c r="F23" s="38"/>
      <c r="G23" s="38"/>
      <c r="H23" s="36"/>
      <c r="I23" s="39"/>
      <c r="L23" s="30"/>
    </row>
    <row r="24" spans="1:12" s="23" customFormat="1" x14ac:dyDescent="0.25">
      <c r="A24" s="103"/>
      <c r="B24" s="76" t="s">
        <v>27</v>
      </c>
      <c r="C24" s="13">
        <v>8254.6999999999989</v>
      </c>
      <c r="D24" s="13">
        <v>8254.7000000000007</v>
      </c>
      <c r="E24" s="77">
        <f t="shared" si="0"/>
        <v>0</v>
      </c>
      <c r="F24" s="38"/>
      <c r="G24" s="38"/>
      <c r="H24" s="31"/>
      <c r="I24" s="39"/>
      <c r="L24" s="30"/>
    </row>
    <row r="25" spans="1:12" s="40" customFormat="1" ht="57" customHeight="1" x14ac:dyDescent="0.25">
      <c r="A25" s="103"/>
      <c r="B25" s="76" t="s">
        <v>28</v>
      </c>
      <c r="C25" s="77">
        <v>36302.300000000003</v>
      </c>
      <c r="D25" s="77">
        <f>36302.3-60.3-199-58.8</f>
        <v>35984.199999999997</v>
      </c>
      <c r="E25" s="77">
        <f t="shared" si="0"/>
        <v>-318.10000000000582</v>
      </c>
      <c r="F25" s="38">
        <f>-60.3-199</f>
        <v>-259.3</v>
      </c>
      <c r="G25" s="38">
        <v>-58.8</v>
      </c>
      <c r="H25" s="31">
        <f>-60.3-199-58.8</f>
        <v>-318.10000000000002</v>
      </c>
      <c r="I25" s="32" t="s">
        <v>188</v>
      </c>
      <c r="L25" s="30"/>
    </row>
    <row r="26" spans="1:12" s="17" customFormat="1" ht="31.5" x14ac:dyDescent="0.25">
      <c r="A26" s="41" t="s">
        <v>29</v>
      </c>
      <c r="B26" s="42" t="s">
        <v>30</v>
      </c>
      <c r="C26" s="38">
        <v>900</v>
      </c>
      <c r="D26" s="43">
        <v>900</v>
      </c>
      <c r="E26" s="38">
        <f t="shared" si="0"/>
        <v>0</v>
      </c>
      <c r="F26" s="38"/>
      <c r="G26" s="38"/>
      <c r="H26" s="44"/>
      <c r="I26" s="39"/>
      <c r="L26" s="30"/>
    </row>
    <row r="27" spans="1:12" s="17" customFormat="1" ht="47.25" x14ac:dyDescent="0.25">
      <c r="A27" s="75" t="s">
        <v>31</v>
      </c>
      <c r="B27" s="25" t="s">
        <v>32</v>
      </c>
      <c r="C27" s="26">
        <f>SUM(C28:C30)</f>
        <v>31260.899999999998</v>
      </c>
      <c r="D27" s="26">
        <f>SUM(D28:D30)</f>
        <v>31908.3</v>
      </c>
      <c r="E27" s="26">
        <f t="shared" si="0"/>
        <v>647.40000000000146</v>
      </c>
      <c r="F27" s="26">
        <f>SUM(F30:F30)</f>
        <v>0</v>
      </c>
      <c r="G27" s="26">
        <f>SUM(G30:G30)</f>
        <v>0</v>
      </c>
      <c r="H27" s="28">
        <f>SUM(H28:H30)</f>
        <v>647.4</v>
      </c>
      <c r="I27" s="45"/>
      <c r="L27" s="30"/>
    </row>
    <row r="28" spans="1:12" s="17" customFormat="1" ht="31.5" x14ac:dyDescent="0.25">
      <c r="A28" s="115"/>
      <c r="B28" s="82" t="s">
        <v>33</v>
      </c>
      <c r="C28" s="86">
        <f>31716.3-455.4</f>
        <v>31260.899999999998</v>
      </c>
      <c r="D28" s="86">
        <f>31941.3-33</f>
        <v>31908.3</v>
      </c>
      <c r="E28" s="86">
        <f t="shared" si="0"/>
        <v>647.40000000000146</v>
      </c>
      <c r="F28" s="87"/>
      <c r="G28" s="87">
        <v>-33</v>
      </c>
      <c r="H28" s="31">
        <v>380.4</v>
      </c>
      <c r="I28" s="32" t="s">
        <v>34</v>
      </c>
      <c r="L28" s="30"/>
    </row>
    <row r="29" spans="1:12" s="17" customFormat="1" ht="31.5" x14ac:dyDescent="0.25">
      <c r="A29" s="91"/>
      <c r="B29" s="97"/>
      <c r="C29" s="121"/>
      <c r="D29" s="121"/>
      <c r="E29" s="121"/>
      <c r="F29" s="90"/>
      <c r="G29" s="90"/>
      <c r="H29" s="31">
        <v>-33</v>
      </c>
      <c r="I29" s="32" t="s">
        <v>210</v>
      </c>
      <c r="L29" s="30"/>
    </row>
    <row r="30" spans="1:12" s="17" customFormat="1" ht="31.5" x14ac:dyDescent="0.25">
      <c r="A30" s="85"/>
      <c r="B30" s="83"/>
      <c r="C30" s="85"/>
      <c r="D30" s="85"/>
      <c r="E30" s="85"/>
      <c r="F30" s="85"/>
      <c r="G30" s="85"/>
      <c r="H30" s="31">
        <v>300</v>
      </c>
      <c r="I30" s="32" t="s">
        <v>35</v>
      </c>
      <c r="L30" s="30"/>
    </row>
    <row r="31" spans="1:12" s="17" customFormat="1" ht="40.5" customHeight="1" x14ac:dyDescent="0.25">
      <c r="A31" s="75" t="s">
        <v>36</v>
      </c>
      <c r="B31" s="25" t="s">
        <v>37</v>
      </c>
      <c r="C31" s="26">
        <f t="shared" ref="C31:G31" si="1">SUM(C32)</f>
        <v>345499.7</v>
      </c>
      <c r="D31" s="26">
        <f t="shared" si="1"/>
        <v>475990.5</v>
      </c>
      <c r="E31" s="27">
        <f t="shared" si="0"/>
        <v>130490.79999999999</v>
      </c>
      <c r="F31" s="26">
        <f t="shared" si="1"/>
        <v>9464</v>
      </c>
      <c r="G31" s="26">
        <f t="shared" si="1"/>
        <v>14793.2</v>
      </c>
      <c r="H31" s="28">
        <f>SUM(H32:H56)</f>
        <v>130490.80000000002</v>
      </c>
      <c r="I31" s="13"/>
      <c r="J31" s="46"/>
      <c r="L31" s="30"/>
    </row>
    <row r="32" spans="1:12" s="17" customFormat="1" x14ac:dyDescent="0.25">
      <c r="A32" s="115"/>
      <c r="B32" s="95" t="s">
        <v>38</v>
      </c>
      <c r="C32" s="89">
        <v>345499.7</v>
      </c>
      <c r="D32" s="89">
        <f>451732.8+12-283.4+5533.2+4017.7+184.5+14543.2-0.1+250.5+0.1</f>
        <v>475990.5</v>
      </c>
      <c r="E32" s="89">
        <f t="shared" si="0"/>
        <v>130490.79999999999</v>
      </c>
      <c r="F32" s="110">
        <f>12+5533.2-283.4+4017.7+184.5</f>
        <v>9464</v>
      </c>
      <c r="G32" s="110">
        <f>14543.2+250</f>
        <v>14793.2</v>
      </c>
      <c r="H32" s="31"/>
      <c r="I32" s="32" t="s">
        <v>222</v>
      </c>
      <c r="L32" s="30"/>
    </row>
    <row r="33" spans="1:12" s="17" customFormat="1" ht="31.5" x14ac:dyDescent="0.25">
      <c r="A33" s="116"/>
      <c r="B33" s="95"/>
      <c r="C33" s="89"/>
      <c r="D33" s="89"/>
      <c r="E33" s="89"/>
      <c r="F33" s="111"/>
      <c r="G33" s="111"/>
      <c r="H33" s="31">
        <v>262.5</v>
      </c>
      <c r="I33" s="33" t="s">
        <v>40</v>
      </c>
      <c r="L33" s="30"/>
    </row>
    <row r="34" spans="1:12" s="17" customFormat="1" ht="63" x14ac:dyDescent="0.25">
      <c r="A34" s="116"/>
      <c r="B34" s="95"/>
      <c r="C34" s="89"/>
      <c r="D34" s="89"/>
      <c r="E34" s="89"/>
      <c r="F34" s="111"/>
      <c r="G34" s="111"/>
      <c r="H34" s="31">
        <v>3025</v>
      </c>
      <c r="I34" s="35" t="s">
        <v>41</v>
      </c>
      <c r="L34" s="30"/>
    </row>
    <row r="35" spans="1:12" s="17" customFormat="1" ht="31.5" x14ac:dyDescent="0.25">
      <c r="A35" s="116"/>
      <c r="B35" s="95"/>
      <c r="C35" s="89"/>
      <c r="D35" s="89"/>
      <c r="E35" s="89"/>
      <c r="F35" s="111"/>
      <c r="G35" s="111"/>
      <c r="H35" s="31">
        <v>235.1</v>
      </c>
      <c r="I35" s="35" t="s">
        <v>42</v>
      </c>
      <c r="L35" s="30"/>
    </row>
    <row r="36" spans="1:12" s="17" customFormat="1" ht="31.5" x14ac:dyDescent="0.25">
      <c r="A36" s="116"/>
      <c r="B36" s="95"/>
      <c r="C36" s="89"/>
      <c r="D36" s="89"/>
      <c r="E36" s="89"/>
      <c r="F36" s="111"/>
      <c r="G36" s="111"/>
      <c r="H36" s="31">
        <v>415.1</v>
      </c>
      <c r="I36" s="33" t="s">
        <v>43</v>
      </c>
      <c r="L36" s="30"/>
    </row>
    <row r="37" spans="1:12" s="17" customFormat="1" ht="31.5" x14ac:dyDescent="0.25">
      <c r="A37" s="116"/>
      <c r="B37" s="95"/>
      <c r="C37" s="89"/>
      <c r="D37" s="89"/>
      <c r="E37" s="89"/>
      <c r="F37" s="111"/>
      <c r="G37" s="111"/>
      <c r="H37" s="31">
        <v>300</v>
      </c>
      <c r="I37" s="35" t="s">
        <v>44</v>
      </c>
      <c r="L37" s="30"/>
    </row>
    <row r="38" spans="1:12" s="17" customFormat="1" ht="31.5" x14ac:dyDescent="0.25">
      <c r="A38" s="116"/>
      <c r="B38" s="95"/>
      <c r="C38" s="89"/>
      <c r="D38" s="89"/>
      <c r="E38" s="89"/>
      <c r="F38" s="111"/>
      <c r="G38" s="111"/>
      <c r="H38" s="31">
        <f>6760.3+1908.6+59.5-0.1+250.5</f>
        <v>8978.7999999999993</v>
      </c>
      <c r="I38" s="33" t="s">
        <v>219</v>
      </c>
      <c r="L38" s="30"/>
    </row>
    <row r="39" spans="1:12" s="17" customFormat="1" x14ac:dyDescent="0.25">
      <c r="A39" s="116"/>
      <c r="B39" s="95"/>
      <c r="C39" s="89"/>
      <c r="D39" s="89"/>
      <c r="E39" s="89"/>
      <c r="F39" s="111"/>
      <c r="G39" s="111"/>
      <c r="H39" s="31">
        <f>4017.7+199</f>
        <v>4216.7</v>
      </c>
      <c r="I39" s="33" t="s">
        <v>46</v>
      </c>
      <c r="L39" s="30"/>
    </row>
    <row r="40" spans="1:12" s="17" customFormat="1" ht="31.5" x14ac:dyDescent="0.25">
      <c r="A40" s="116"/>
      <c r="B40" s="95"/>
      <c r="C40" s="89"/>
      <c r="D40" s="89"/>
      <c r="E40" s="89"/>
      <c r="F40" s="111"/>
      <c r="G40" s="111"/>
      <c r="H40" s="31">
        <f>1700+5533.2+0.1</f>
        <v>7233.3</v>
      </c>
      <c r="I40" s="35" t="s">
        <v>221</v>
      </c>
      <c r="L40" s="30"/>
    </row>
    <row r="41" spans="1:12" s="17" customFormat="1" ht="31.5" x14ac:dyDescent="0.25">
      <c r="A41" s="116"/>
      <c r="B41" s="95"/>
      <c r="C41" s="89"/>
      <c r="D41" s="89"/>
      <c r="E41" s="89"/>
      <c r="F41" s="111"/>
      <c r="G41" s="111"/>
      <c r="H41" s="31">
        <v>92</v>
      </c>
      <c r="I41" s="35" t="s">
        <v>48</v>
      </c>
      <c r="L41" s="30"/>
    </row>
    <row r="42" spans="1:12" s="17" customFormat="1" ht="31.5" x14ac:dyDescent="0.25">
      <c r="A42" s="116"/>
      <c r="B42" s="95"/>
      <c r="C42" s="89"/>
      <c r="D42" s="89"/>
      <c r="E42" s="89"/>
      <c r="F42" s="111"/>
      <c r="G42" s="111"/>
      <c r="H42" s="31">
        <v>15.3</v>
      </c>
      <c r="I42" s="35" t="s">
        <v>49</v>
      </c>
      <c r="L42" s="30"/>
    </row>
    <row r="43" spans="1:12" s="17" customFormat="1" ht="47.25" x14ac:dyDescent="0.25">
      <c r="A43" s="116"/>
      <c r="B43" s="95"/>
      <c r="C43" s="89"/>
      <c r="D43" s="89"/>
      <c r="E43" s="89"/>
      <c r="F43" s="111"/>
      <c r="G43" s="111"/>
      <c r="H43" s="31">
        <v>14385.6</v>
      </c>
      <c r="I43" s="35" t="s">
        <v>50</v>
      </c>
      <c r="L43" s="30"/>
    </row>
    <row r="44" spans="1:12" s="17" customFormat="1" x14ac:dyDescent="0.25">
      <c r="A44" s="116"/>
      <c r="B44" s="95"/>
      <c r="C44" s="89"/>
      <c r="D44" s="89"/>
      <c r="E44" s="89"/>
      <c r="F44" s="111"/>
      <c r="G44" s="111"/>
      <c r="H44" s="31"/>
      <c r="I44" s="32" t="s">
        <v>51</v>
      </c>
      <c r="L44" s="30"/>
    </row>
    <row r="45" spans="1:12" s="17" customFormat="1" ht="31.5" x14ac:dyDescent="0.25">
      <c r="A45" s="116"/>
      <c r="B45" s="95"/>
      <c r="C45" s="89"/>
      <c r="D45" s="89"/>
      <c r="E45" s="89"/>
      <c r="F45" s="111"/>
      <c r="G45" s="111"/>
      <c r="H45" s="31">
        <v>-190.7</v>
      </c>
      <c r="I45" s="33" t="s">
        <v>52</v>
      </c>
      <c r="L45" s="30"/>
    </row>
    <row r="46" spans="1:12" s="17" customFormat="1" ht="31.5" x14ac:dyDescent="0.25">
      <c r="A46" s="116"/>
      <c r="B46" s="95"/>
      <c r="C46" s="89"/>
      <c r="D46" s="89"/>
      <c r="E46" s="89"/>
      <c r="F46" s="111"/>
      <c r="G46" s="111"/>
      <c r="H46" s="31">
        <v>-650</v>
      </c>
      <c r="I46" s="33" t="s">
        <v>53</v>
      </c>
      <c r="L46" s="30"/>
    </row>
    <row r="47" spans="1:12" s="17" customFormat="1" ht="31.5" x14ac:dyDescent="0.25">
      <c r="A47" s="116"/>
      <c r="B47" s="95"/>
      <c r="C47" s="89"/>
      <c r="D47" s="89"/>
      <c r="E47" s="89"/>
      <c r="F47" s="111"/>
      <c r="G47" s="111"/>
      <c r="H47" s="31">
        <f>-158.1-14.5</f>
        <v>-172.6</v>
      </c>
      <c r="I47" s="33" t="s">
        <v>54</v>
      </c>
      <c r="L47" s="30"/>
    </row>
    <row r="48" spans="1:12" s="17" customFormat="1" ht="31.5" x14ac:dyDescent="0.25">
      <c r="A48" s="116"/>
      <c r="B48" s="95"/>
      <c r="C48" s="89"/>
      <c r="D48" s="89"/>
      <c r="E48" s="89"/>
      <c r="F48" s="111"/>
      <c r="G48" s="111"/>
      <c r="H48" s="47">
        <f>16379.1-14385.6-1908.6+316.4-415.1</f>
        <v>-13.799999999999955</v>
      </c>
      <c r="I48" s="35" t="s">
        <v>55</v>
      </c>
      <c r="L48" s="30"/>
    </row>
    <row r="49" spans="1:12" s="17" customFormat="1" ht="31.5" x14ac:dyDescent="0.25">
      <c r="A49" s="116"/>
      <c r="B49" s="95"/>
      <c r="C49" s="89"/>
      <c r="D49" s="89"/>
      <c r="E49" s="89"/>
      <c r="F49" s="111"/>
      <c r="G49" s="111"/>
      <c r="H49" s="47">
        <v>-283.39999999999998</v>
      </c>
      <c r="I49" s="33" t="s">
        <v>56</v>
      </c>
      <c r="L49" s="30"/>
    </row>
    <row r="50" spans="1:12" s="17" customFormat="1" ht="31.5" x14ac:dyDescent="0.25">
      <c r="A50" s="116"/>
      <c r="B50" s="95"/>
      <c r="C50" s="89"/>
      <c r="D50" s="89"/>
      <c r="E50" s="89"/>
      <c r="F50" s="111"/>
      <c r="G50" s="111"/>
      <c r="H50" s="31">
        <v>-300</v>
      </c>
      <c r="I50" s="33" t="s">
        <v>57</v>
      </c>
      <c r="L50" s="30"/>
    </row>
    <row r="51" spans="1:12" s="17" customFormat="1" ht="31.5" x14ac:dyDescent="0.25">
      <c r="A51" s="116"/>
      <c r="B51" s="108"/>
      <c r="C51" s="109"/>
      <c r="D51" s="109"/>
      <c r="E51" s="109"/>
      <c r="F51" s="111"/>
      <c r="G51" s="111"/>
      <c r="H51" s="31"/>
      <c r="I51" s="35" t="s">
        <v>179</v>
      </c>
      <c r="L51" s="30"/>
    </row>
    <row r="52" spans="1:12" s="17" customFormat="1" ht="31.5" x14ac:dyDescent="0.25">
      <c r="A52" s="116"/>
      <c r="B52" s="108"/>
      <c r="C52" s="109"/>
      <c r="D52" s="109"/>
      <c r="E52" s="109"/>
      <c r="F52" s="111"/>
      <c r="G52" s="111"/>
      <c r="H52" s="31">
        <v>15300</v>
      </c>
      <c r="I52" s="33" t="s">
        <v>58</v>
      </c>
      <c r="L52" s="30"/>
    </row>
    <row r="53" spans="1:12" s="17" customFormat="1" ht="31.5" x14ac:dyDescent="0.25">
      <c r="A53" s="116"/>
      <c r="B53" s="108"/>
      <c r="C53" s="109"/>
      <c r="D53" s="109"/>
      <c r="E53" s="109"/>
      <c r="F53" s="111"/>
      <c r="G53" s="111"/>
      <c r="H53" s="31">
        <v>14543.2</v>
      </c>
      <c r="I53" s="33" t="s">
        <v>178</v>
      </c>
      <c r="L53" s="30"/>
    </row>
    <row r="54" spans="1:12" s="17" customFormat="1" ht="47.25" x14ac:dyDescent="0.25">
      <c r="A54" s="116"/>
      <c r="B54" s="108"/>
      <c r="C54" s="109"/>
      <c r="D54" s="109"/>
      <c r="E54" s="109"/>
      <c r="F54" s="111"/>
      <c r="G54" s="111"/>
      <c r="H54" s="31">
        <f>1770+12</f>
        <v>1782</v>
      </c>
      <c r="I54" s="33" t="s">
        <v>59</v>
      </c>
      <c r="L54" s="30"/>
    </row>
    <row r="55" spans="1:12" s="17" customFormat="1" ht="31.5" x14ac:dyDescent="0.25">
      <c r="A55" s="116"/>
      <c r="B55" s="108"/>
      <c r="C55" s="109"/>
      <c r="D55" s="109"/>
      <c r="E55" s="109"/>
      <c r="F55" s="111"/>
      <c r="G55" s="111"/>
      <c r="H55" s="31">
        <v>61633.1</v>
      </c>
      <c r="I55" s="33" t="s">
        <v>60</v>
      </c>
      <c r="L55" s="30"/>
    </row>
    <row r="56" spans="1:12" s="17" customFormat="1" ht="31.5" x14ac:dyDescent="0.25">
      <c r="A56" s="117"/>
      <c r="B56" s="108"/>
      <c r="C56" s="109"/>
      <c r="D56" s="109"/>
      <c r="E56" s="109"/>
      <c r="F56" s="112"/>
      <c r="G56" s="112"/>
      <c r="H56" s="31">
        <v>-316.39999999999998</v>
      </c>
      <c r="I56" s="48" t="s">
        <v>61</v>
      </c>
      <c r="L56" s="30"/>
    </row>
    <row r="57" spans="1:12" s="23" customFormat="1" x14ac:dyDescent="0.25">
      <c r="A57" s="75" t="s">
        <v>62</v>
      </c>
      <c r="B57" s="25" t="s">
        <v>63</v>
      </c>
      <c r="C57" s="27">
        <f t="shared" ref="C57:G57" si="2">SUM(C58)</f>
        <v>418559.4</v>
      </c>
      <c r="D57" s="27">
        <f t="shared" si="2"/>
        <v>435847.5</v>
      </c>
      <c r="E57" s="27">
        <f t="shared" si="0"/>
        <v>17288.099999999977</v>
      </c>
      <c r="F57" s="27">
        <f t="shared" si="2"/>
        <v>-4958.3</v>
      </c>
      <c r="G57" s="27">
        <f t="shared" si="2"/>
        <v>6358.6</v>
      </c>
      <c r="H57" s="28">
        <f>SUM(H58:H74)</f>
        <v>17288.099999999999</v>
      </c>
      <c r="I57" s="13"/>
      <c r="J57" s="30"/>
      <c r="L57" s="30"/>
    </row>
    <row r="58" spans="1:12" s="17" customFormat="1" x14ac:dyDescent="0.25">
      <c r="A58" s="96"/>
      <c r="B58" s="95" t="s">
        <v>64</v>
      </c>
      <c r="C58" s="88">
        <v>418559.4</v>
      </c>
      <c r="D58" s="84">
        <f>434447.2-1972.8-3000+14.5+2547+4300-237.9-250.5</f>
        <v>435847.5</v>
      </c>
      <c r="E58" s="89">
        <f t="shared" si="0"/>
        <v>17288.099999999977</v>
      </c>
      <c r="F58" s="87">
        <f>-1972.8-3000+14.5</f>
        <v>-4958.3</v>
      </c>
      <c r="G58" s="87">
        <f>2547+4300-237.9-250.5</f>
        <v>6358.6</v>
      </c>
      <c r="H58" s="31"/>
      <c r="I58" s="32" t="s">
        <v>195</v>
      </c>
      <c r="L58" s="30"/>
    </row>
    <row r="59" spans="1:12" s="17" customFormat="1" x14ac:dyDescent="0.25">
      <c r="A59" s="96"/>
      <c r="B59" s="95"/>
      <c r="C59" s="88"/>
      <c r="D59" s="113"/>
      <c r="E59" s="89"/>
      <c r="F59" s="91"/>
      <c r="G59" s="91"/>
      <c r="H59" s="31">
        <v>518.20000000000005</v>
      </c>
      <c r="I59" s="33" t="s">
        <v>66</v>
      </c>
      <c r="L59" s="30"/>
    </row>
    <row r="60" spans="1:12" s="17" customFormat="1" ht="31.5" x14ac:dyDescent="0.25">
      <c r="A60" s="96"/>
      <c r="B60" s="95"/>
      <c r="C60" s="88"/>
      <c r="D60" s="113"/>
      <c r="E60" s="89"/>
      <c r="F60" s="91"/>
      <c r="G60" s="91"/>
      <c r="H60" s="31">
        <v>190.7</v>
      </c>
      <c r="I60" s="33" t="s">
        <v>67</v>
      </c>
      <c r="L60" s="30"/>
    </row>
    <row r="61" spans="1:12" s="17" customFormat="1" x14ac:dyDescent="0.25">
      <c r="A61" s="96"/>
      <c r="B61" s="95"/>
      <c r="C61" s="88"/>
      <c r="D61" s="113"/>
      <c r="E61" s="89"/>
      <c r="F61" s="91"/>
      <c r="G61" s="91"/>
      <c r="H61" s="31">
        <v>100</v>
      </c>
      <c r="I61" s="33" t="s">
        <v>68</v>
      </c>
      <c r="L61" s="30"/>
    </row>
    <row r="62" spans="1:12" s="17" customFormat="1" ht="31.5" x14ac:dyDescent="0.25">
      <c r="A62" s="96"/>
      <c r="B62" s="95"/>
      <c r="C62" s="88"/>
      <c r="D62" s="113"/>
      <c r="E62" s="89"/>
      <c r="F62" s="91"/>
      <c r="G62" s="91"/>
      <c r="H62" s="31">
        <v>3500</v>
      </c>
      <c r="I62" s="33" t="s">
        <v>196</v>
      </c>
      <c r="L62" s="30"/>
    </row>
    <row r="63" spans="1:12" s="17" customFormat="1" x14ac:dyDescent="0.25">
      <c r="A63" s="96"/>
      <c r="B63" s="95"/>
      <c r="C63" s="88"/>
      <c r="D63" s="113"/>
      <c r="E63" s="89"/>
      <c r="F63" s="91"/>
      <c r="G63" s="91"/>
      <c r="H63" s="31">
        <v>13.8</v>
      </c>
      <c r="I63" s="33" t="s">
        <v>69</v>
      </c>
      <c r="L63" s="30"/>
    </row>
    <row r="64" spans="1:12" s="17" customFormat="1" x14ac:dyDescent="0.25">
      <c r="A64" s="96"/>
      <c r="B64" s="95"/>
      <c r="C64" s="88"/>
      <c r="D64" s="113"/>
      <c r="E64" s="89"/>
      <c r="F64" s="91"/>
      <c r="G64" s="91"/>
      <c r="H64" s="31"/>
      <c r="I64" s="33" t="s">
        <v>218</v>
      </c>
      <c r="L64" s="30"/>
    </row>
    <row r="65" spans="1:12" s="17" customFormat="1" ht="31.5" x14ac:dyDescent="0.25">
      <c r="A65" s="96"/>
      <c r="B65" s="95"/>
      <c r="C65" s="88"/>
      <c r="D65" s="113"/>
      <c r="E65" s="89"/>
      <c r="F65" s="91"/>
      <c r="G65" s="91"/>
      <c r="H65" s="47">
        <f>-6835.1-2974.9+497-13.7-2462.6-342+14.5-0.2-92-250.5</f>
        <v>-12459.500000000002</v>
      </c>
      <c r="I65" s="33" t="s">
        <v>220</v>
      </c>
      <c r="L65" s="30"/>
    </row>
    <row r="66" spans="1:12" s="17" customFormat="1" ht="31.5" x14ac:dyDescent="0.25">
      <c r="A66" s="96"/>
      <c r="B66" s="95"/>
      <c r="C66" s="88"/>
      <c r="D66" s="113"/>
      <c r="E66" s="89"/>
      <c r="F66" s="91"/>
      <c r="G66" s="91"/>
      <c r="H66" s="47">
        <v>-1972.8</v>
      </c>
      <c r="I66" s="33" t="s">
        <v>72</v>
      </c>
      <c r="L66" s="30"/>
    </row>
    <row r="67" spans="1:12" s="17" customFormat="1" x14ac:dyDescent="0.25">
      <c r="A67" s="96"/>
      <c r="B67" s="95"/>
      <c r="C67" s="88"/>
      <c r="D67" s="113"/>
      <c r="E67" s="89"/>
      <c r="F67" s="91"/>
      <c r="G67" s="91"/>
      <c r="H67" s="47">
        <v>-237.9</v>
      </c>
      <c r="I67" s="32" t="s">
        <v>215</v>
      </c>
      <c r="L67" s="30"/>
    </row>
    <row r="68" spans="1:12" s="17" customFormat="1" x14ac:dyDescent="0.25">
      <c r="A68" s="96"/>
      <c r="B68" s="95"/>
      <c r="C68" s="88"/>
      <c r="D68" s="113"/>
      <c r="E68" s="89"/>
      <c r="F68" s="91"/>
      <c r="G68" s="91"/>
      <c r="H68" s="31">
        <v>-300</v>
      </c>
      <c r="I68" s="33" t="s">
        <v>73</v>
      </c>
      <c r="L68" s="30"/>
    </row>
    <row r="69" spans="1:12" s="17" customFormat="1" ht="31.5" x14ac:dyDescent="0.25">
      <c r="A69" s="96"/>
      <c r="B69" s="95"/>
      <c r="C69" s="88"/>
      <c r="D69" s="113"/>
      <c r="E69" s="89"/>
      <c r="F69" s="91"/>
      <c r="G69" s="91"/>
      <c r="H69" s="31">
        <f>-1400-3000</f>
        <v>-4400</v>
      </c>
      <c r="I69" s="33" t="s">
        <v>74</v>
      </c>
      <c r="L69" s="30"/>
    </row>
    <row r="70" spans="1:12" s="17" customFormat="1" ht="47.25" x14ac:dyDescent="0.25">
      <c r="A70" s="96"/>
      <c r="B70" s="95"/>
      <c r="C70" s="88"/>
      <c r="D70" s="113"/>
      <c r="E70" s="89"/>
      <c r="F70" s="91"/>
      <c r="G70" s="91"/>
      <c r="H70" s="31">
        <v>-14385.6</v>
      </c>
      <c r="I70" s="33" t="s">
        <v>75</v>
      </c>
      <c r="L70" s="30"/>
    </row>
    <row r="71" spans="1:12" s="17" customFormat="1" ht="31.5" x14ac:dyDescent="0.25">
      <c r="A71" s="96"/>
      <c r="B71" s="95"/>
      <c r="C71" s="88"/>
      <c r="D71" s="113"/>
      <c r="E71" s="89"/>
      <c r="F71" s="91"/>
      <c r="G71" s="91"/>
      <c r="H71" s="31">
        <v>3374</v>
      </c>
      <c r="I71" s="32" t="s">
        <v>77</v>
      </c>
      <c r="L71" s="30"/>
    </row>
    <row r="72" spans="1:12" s="17" customFormat="1" ht="47.25" x14ac:dyDescent="0.25">
      <c r="A72" s="96"/>
      <c r="B72" s="95"/>
      <c r="C72" s="88"/>
      <c r="D72" s="113"/>
      <c r="E72" s="89"/>
      <c r="F72" s="91"/>
      <c r="G72" s="91"/>
      <c r="H72" s="47">
        <f>4300-3500</f>
        <v>800</v>
      </c>
      <c r="I72" s="32" t="s">
        <v>197</v>
      </c>
      <c r="L72" s="30"/>
    </row>
    <row r="73" spans="1:12" s="17" customFormat="1" ht="31.5" x14ac:dyDescent="0.25">
      <c r="A73" s="96"/>
      <c r="B73" s="95"/>
      <c r="C73" s="88"/>
      <c r="D73" s="113"/>
      <c r="E73" s="89"/>
      <c r="F73" s="91"/>
      <c r="G73" s="91"/>
      <c r="H73" s="47">
        <v>2547.1999999999998</v>
      </c>
      <c r="I73" s="32" t="s">
        <v>180</v>
      </c>
      <c r="L73" s="30"/>
    </row>
    <row r="74" spans="1:12" s="17" customFormat="1" ht="78.75" x14ac:dyDescent="0.25">
      <c r="A74" s="96"/>
      <c r="B74" s="95"/>
      <c r="C74" s="88"/>
      <c r="D74" s="114"/>
      <c r="E74" s="89"/>
      <c r="F74" s="85"/>
      <c r="G74" s="85"/>
      <c r="H74" s="31">
        <v>40000</v>
      </c>
      <c r="I74" s="32" t="s">
        <v>78</v>
      </c>
      <c r="L74" s="30"/>
    </row>
    <row r="75" spans="1:12" s="23" customFormat="1" x14ac:dyDescent="0.25">
      <c r="A75" s="75" t="s">
        <v>79</v>
      </c>
      <c r="B75" s="25" t="s">
        <v>80</v>
      </c>
      <c r="C75" s="26">
        <f>SUM(C76)</f>
        <v>15884.1</v>
      </c>
      <c r="D75" s="26">
        <f>SUM(D76)</f>
        <v>11487.5</v>
      </c>
      <c r="E75" s="26">
        <f t="shared" si="0"/>
        <v>-4396.6000000000004</v>
      </c>
      <c r="F75" s="26">
        <f>SUM(F76)</f>
        <v>-90</v>
      </c>
      <c r="G75" s="26">
        <f>SUM(G76)</f>
        <v>25.9</v>
      </c>
      <c r="H75" s="28">
        <f>SUM(H76:H80)</f>
        <v>-4396.6000000000004</v>
      </c>
      <c r="I75" s="39"/>
      <c r="L75" s="30"/>
    </row>
    <row r="76" spans="1:12" s="23" customFormat="1" ht="31.5" x14ac:dyDescent="0.25">
      <c r="A76" s="103"/>
      <c r="B76" s="95" t="s">
        <v>81</v>
      </c>
      <c r="C76" s="89">
        <v>15884.1</v>
      </c>
      <c r="D76" s="89">
        <f>11551.6-90+44.3-3.9-14.5</f>
        <v>11487.5</v>
      </c>
      <c r="E76" s="89">
        <f>D76-C76</f>
        <v>-4396.6000000000004</v>
      </c>
      <c r="F76" s="87">
        <v>-90</v>
      </c>
      <c r="G76" s="87">
        <f>44.3-3.9-14.5</f>
        <v>25.9</v>
      </c>
      <c r="H76" s="47">
        <f>-200-90</f>
        <v>-290</v>
      </c>
      <c r="I76" s="39" t="s">
        <v>82</v>
      </c>
      <c r="L76" s="30"/>
    </row>
    <row r="77" spans="1:12" s="23" customFormat="1" ht="31.5" x14ac:dyDescent="0.25">
      <c r="A77" s="103"/>
      <c r="B77" s="95"/>
      <c r="C77" s="89"/>
      <c r="D77" s="89"/>
      <c r="E77" s="89"/>
      <c r="F77" s="90"/>
      <c r="G77" s="90"/>
      <c r="H77" s="47">
        <v>44.3</v>
      </c>
      <c r="I77" s="32" t="s">
        <v>181</v>
      </c>
      <c r="L77" s="30"/>
    </row>
    <row r="78" spans="1:12" s="23" customFormat="1" ht="31.5" x14ac:dyDescent="0.25">
      <c r="A78" s="103"/>
      <c r="B78" s="95"/>
      <c r="C78" s="89"/>
      <c r="D78" s="89"/>
      <c r="E78" s="89"/>
      <c r="F78" s="90"/>
      <c r="G78" s="90"/>
      <c r="H78" s="47">
        <v>-3.9</v>
      </c>
      <c r="I78" s="32" t="s">
        <v>211</v>
      </c>
      <c r="L78" s="30"/>
    </row>
    <row r="79" spans="1:12" s="23" customFormat="1" ht="31.5" x14ac:dyDescent="0.25">
      <c r="A79" s="103"/>
      <c r="B79" s="95"/>
      <c r="C79" s="89"/>
      <c r="D79" s="89"/>
      <c r="E79" s="89"/>
      <c r="F79" s="90"/>
      <c r="G79" s="90"/>
      <c r="H79" s="47">
        <v>-14.5</v>
      </c>
      <c r="I79" s="32" t="s">
        <v>212</v>
      </c>
      <c r="L79" s="30"/>
    </row>
    <row r="80" spans="1:12" s="17" customFormat="1" ht="31.5" x14ac:dyDescent="0.25">
      <c r="A80" s="103"/>
      <c r="B80" s="108"/>
      <c r="C80" s="109"/>
      <c r="D80" s="109"/>
      <c r="E80" s="109"/>
      <c r="F80" s="85"/>
      <c r="G80" s="85"/>
      <c r="H80" s="47">
        <v>-4132.5</v>
      </c>
      <c r="I80" s="48" t="s">
        <v>83</v>
      </c>
      <c r="L80" s="30"/>
    </row>
    <row r="81" spans="1:12" s="23" customFormat="1" x14ac:dyDescent="0.25">
      <c r="A81" s="75" t="s">
        <v>84</v>
      </c>
      <c r="B81" s="25" t="s">
        <v>85</v>
      </c>
      <c r="C81" s="26">
        <f>SUM(C82:C117)</f>
        <v>2479136.2999999998</v>
      </c>
      <c r="D81" s="26">
        <f>SUM(D82:D117)</f>
        <v>2542765.5999999996</v>
      </c>
      <c r="E81" s="27">
        <f t="shared" si="0"/>
        <v>63629.299999999814</v>
      </c>
      <c r="F81" s="26">
        <f>SUM(F82:F117)</f>
        <v>28702.799999999999</v>
      </c>
      <c r="G81" s="26">
        <f>SUM(G82:G117)</f>
        <v>23984.800000000003</v>
      </c>
      <c r="H81" s="28">
        <f>SUM(H82:H117)</f>
        <v>63629.299999999988</v>
      </c>
      <c r="I81" s="49"/>
      <c r="J81" s="30"/>
      <c r="L81" s="30"/>
    </row>
    <row r="82" spans="1:12" s="23" customFormat="1" x14ac:dyDescent="0.25">
      <c r="A82" s="103"/>
      <c r="B82" s="105" t="s">
        <v>86</v>
      </c>
      <c r="C82" s="88">
        <v>2381791.2999999998</v>
      </c>
      <c r="D82" s="88">
        <f>2390122.2+30+26163.8+70.8+24783.5-19.6-90.5</f>
        <v>2441060.1999999997</v>
      </c>
      <c r="E82" s="88">
        <f>D82-C82</f>
        <v>59268.899999999907</v>
      </c>
      <c r="F82" s="99">
        <f>30+26163.8</f>
        <v>26193.8</v>
      </c>
      <c r="G82" s="99">
        <f>70.8+24783.5-19.6-90.5</f>
        <v>24744.2</v>
      </c>
      <c r="H82" s="31"/>
      <c r="I82" s="32" t="s">
        <v>204</v>
      </c>
      <c r="L82" s="30"/>
    </row>
    <row r="83" spans="1:12" s="23" customFormat="1" x14ac:dyDescent="0.25">
      <c r="A83" s="103"/>
      <c r="B83" s="106"/>
      <c r="C83" s="88"/>
      <c r="D83" s="88"/>
      <c r="E83" s="88"/>
      <c r="F83" s="91"/>
      <c r="G83" s="91"/>
      <c r="H83" s="31">
        <f>74.7+353.1+173+13.1</f>
        <v>613.9</v>
      </c>
      <c r="I83" s="50" t="s">
        <v>88</v>
      </c>
      <c r="L83" s="30"/>
    </row>
    <row r="84" spans="1:12" s="23" customFormat="1" ht="31.5" x14ac:dyDescent="0.25">
      <c r="A84" s="103"/>
      <c r="B84" s="106"/>
      <c r="C84" s="88"/>
      <c r="D84" s="88"/>
      <c r="E84" s="88"/>
      <c r="F84" s="91"/>
      <c r="G84" s="91"/>
      <c r="H84" s="31">
        <v>675.5</v>
      </c>
      <c r="I84" s="50" t="s">
        <v>189</v>
      </c>
      <c r="L84" s="30"/>
    </row>
    <row r="85" spans="1:12" s="23" customFormat="1" x14ac:dyDescent="0.25">
      <c r="A85" s="103"/>
      <c r="B85" s="106"/>
      <c r="C85" s="88"/>
      <c r="D85" s="88"/>
      <c r="E85" s="88"/>
      <c r="F85" s="91"/>
      <c r="G85" s="91"/>
      <c r="H85" s="31">
        <f>30+70.8</f>
        <v>100.8</v>
      </c>
      <c r="I85" s="50" t="s">
        <v>175</v>
      </c>
      <c r="L85" s="30"/>
    </row>
    <row r="86" spans="1:12" s="23" customFormat="1" x14ac:dyDescent="0.25">
      <c r="A86" s="103"/>
      <c r="B86" s="106"/>
      <c r="C86" s="88"/>
      <c r="D86" s="88"/>
      <c r="E86" s="88"/>
      <c r="F86" s="91"/>
      <c r="G86" s="91"/>
      <c r="H86" s="31">
        <v>300</v>
      </c>
      <c r="I86" s="50" t="s">
        <v>89</v>
      </c>
      <c r="L86" s="30"/>
    </row>
    <row r="87" spans="1:12" s="23" customFormat="1" ht="31.5" x14ac:dyDescent="0.25">
      <c r="A87" s="103"/>
      <c r="B87" s="106"/>
      <c r="C87" s="88"/>
      <c r="D87" s="88"/>
      <c r="E87" s="88"/>
      <c r="F87" s="91"/>
      <c r="G87" s="91"/>
      <c r="H87" s="31">
        <v>9.4</v>
      </c>
      <c r="I87" s="50" t="s">
        <v>203</v>
      </c>
      <c r="L87" s="30"/>
    </row>
    <row r="88" spans="1:12" s="23" customFormat="1" x14ac:dyDescent="0.25">
      <c r="A88" s="103"/>
      <c r="B88" s="106"/>
      <c r="C88" s="88"/>
      <c r="D88" s="88"/>
      <c r="E88" s="88"/>
      <c r="F88" s="91"/>
      <c r="G88" s="91"/>
      <c r="H88" s="31"/>
      <c r="I88" s="32" t="s">
        <v>202</v>
      </c>
      <c r="L88" s="30"/>
    </row>
    <row r="89" spans="1:12" s="23" customFormat="1" ht="31.5" x14ac:dyDescent="0.25">
      <c r="A89" s="103"/>
      <c r="B89" s="106"/>
      <c r="C89" s="88"/>
      <c r="D89" s="88"/>
      <c r="E89" s="88"/>
      <c r="F89" s="91"/>
      <c r="G89" s="91"/>
      <c r="H89" s="31">
        <v>-574.6</v>
      </c>
      <c r="I89" s="50" t="s">
        <v>91</v>
      </c>
      <c r="L89" s="30"/>
    </row>
    <row r="90" spans="1:12" s="23" customFormat="1" x14ac:dyDescent="0.25">
      <c r="A90" s="103"/>
      <c r="B90" s="106"/>
      <c r="C90" s="88"/>
      <c r="D90" s="88"/>
      <c r="E90" s="88"/>
      <c r="F90" s="91"/>
      <c r="G90" s="91"/>
      <c r="H90" s="47">
        <f>-122-1071.1</f>
        <v>-1193.0999999999999</v>
      </c>
      <c r="I90" s="50" t="s">
        <v>92</v>
      </c>
      <c r="L90" s="30"/>
    </row>
    <row r="91" spans="1:12" s="23" customFormat="1" x14ac:dyDescent="0.25">
      <c r="A91" s="103"/>
      <c r="B91" s="106"/>
      <c r="C91" s="88"/>
      <c r="D91" s="88"/>
      <c r="E91" s="88"/>
      <c r="F91" s="91"/>
      <c r="G91" s="91"/>
      <c r="H91" s="47">
        <v>-100</v>
      </c>
      <c r="I91" s="50" t="s">
        <v>201</v>
      </c>
      <c r="L91" s="30"/>
    </row>
    <row r="92" spans="1:12" s="23" customFormat="1" ht="31.5" x14ac:dyDescent="0.25">
      <c r="A92" s="103"/>
      <c r="B92" s="106"/>
      <c r="C92" s="88"/>
      <c r="D92" s="88"/>
      <c r="E92" s="88"/>
      <c r="F92" s="91"/>
      <c r="G92" s="91"/>
      <c r="H92" s="31"/>
      <c r="I92" s="51" t="s">
        <v>205</v>
      </c>
      <c r="L92" s="30"/>
    </row>
    <row r="93" spans="1:12" s="23" customFormat="1" ht="31.5" x14ac:dyDescent="0.25">
      <c r="A93" s="103"/>
      <c r="B93" s="106"/>
      <c r="C93" s="88"/>
      <c r="D93" s="88"/>
      <c r="E93" s="88"/>
      <c r="F93" s="91"/>
      <c r="G93" s="91"/>
      <c r="H93" s="31">
        <v>37709.300000000003</v>
      </c>
      <c r="I93" s="50" t="s">
        <v>93</v>
      </c>
      <c r="L93" s="30"/>
    </row>
    <row r="94" spans="1:12" s="23" customFormat="1" ht="31.5" x14ac:dyDescent="0.25">
      <c r="A94" s="103"/>
      <c r="B94" s="106"/>
      <c r="C94" s="88"/>
      <c r="D94" s="88"/>
      <c r="E94" s="88"/>
      <c r="F94" s="91"/>
      <c r="G94" s="91"/>
      <c r="H94" s="31">
        <f>24783.5-19.6+0.1</f>
        <v>24764</v>
      </c>
      <c r="I94" s="33" t="s">
        <v>217</v>
      </c>
      <c r="L94" s="30"/>
    </row>
    <row r="95" spans="1:12" s="23" customFormat="1" ht="47.25" x14ac:dyDescent="0.25">
      <c r="A95" s="103"/>
      <c r="B95" s="106"/>
      <c r="C95" s="88"/>
      <c r="D95" s="88"/>
      <c r="E95" s="88"/>
      <c r="F95" s="91"/>
      <c r="G95" s="91"/>
      <c r="H95" s="31">
        <v>16773.8</v>
      </c>
      <c r="I95" s="50" t="s">
        <v>94</v>
      </c>
      <c r="L95" s="30"/>
    </row>
    <row r="96" spans="1:12" s="23" customFormat="1" ht="63" x14ac:dyDescent="0.25">
      <c r="A96" s="103"/>
      <c r="B96" s="106"/>
      <c r="C96" s="88"/>
      <c r="D96" s="88"/>
      <c r="E96" s="88"/>
      <c r="F96" s="91"/>
      <c r="G96" s="91"/>
      <c r="H96" s="31">
        <v>26163.8</v>
      </c>
      <c r="I96" s="50" t="s">
        <v>95</v>
      </c>
      <c r="L96" s="30"/>
    </row>
    <row r="97" spans="1:12" s="23" customFormat="1" x14ac:dyDescent="0.25">
      <c r="A97" s="103"/>
      <c r="B97" s="106"/>
      <c r="C97" s="88"/>
      <c r="D97" s="88"/>
      <c r="E97" s="88"/>
      <c r="F97" s="91"/>
      <c r="G97" s="91"/>
      <c r="H97" s="52">
        <v>2358</v>
      </c>
      <c r="I97" s="53" t="s">
        <v>96</v>
      </c>
      <c r="L97" s="30"/>
    </row>
    <row r="98" spans="1:12" s="23" customFormat="1" ht="31.5" x14ac:dyDescent="0.25">
      <c r="A98" s="103"/>
      <c r="B98" s="106"/>
      <c r="C98" s="88"/>
      <c r="D98" s="88"/>
      <c r="E98" s="88"/>
      <c r="F98" s="91"/>
      <c r="G98" s="91"/>
      <c r="H98" s="31">
        <v>9460.7999999999993</v>
      </c>
      <c r="I98" s="50" t="s">
        <v>97</v>
      </c>
      <c r="L98" s="30"/>
    </row>
    <row r="99" spans="1:12" s="23" customFormat="1" x14ac:dyDescent="0.25">
      <c r="A99" s="103"/>
      <c r="B99" s="106"/>
      <c r="C99" s="88"/>
      <c r="D99" s="88"/>
      <c r="E99" s="88"/>
      <c r="F99" s="91"/>
      <c r="G99" s="91"/>
      <c r="H99" s="31"/>
      <c r="I99" s="51" t="s">
        <v>98</v>
      </c>
      <c r="L99" s="30"/>
    </row>
    <row r="100" spans="1:12" s="23" customFormat="1" ht="31.5" x14ac:dyDescent="0.25">
      <c r="A100" s="103"/>
      <c r="B100" s="106"/>
      <c r="C100" s="88"/>
      <c r="D100" s="88"/>
      <c r="E100" s="88"/>
      <c r="F100" s="91"/>
      <c r="G100" s="91"/>
      <c r="H100" s="31">
        <v>-6244.8</v>
      </c>
      <c r="I100" s="50" t="s">
        <v>99</v>
      </c>
      <c r="L100" s="30"/>
    </row>
    <row r="101" spans="1:12" s="23" customFormat="1" ht="63" x14ac:dyDescent="0.25">
      <c r="A101" s="103"/>
      <c r="B101" s="106"/>
      <c r="C101" s="88"/>
      <c r="D101" s="88"/>
      <c r="E101" s="88"/>
      <c r="F101" s="91"/>
      <c r="G101" s="91"/>
      <c r="H101" s="31">
        <v>-873.1</v>
      </c>
      <c r="I101" s="50" t="s">
        <v>100</v>
      </c>
      <c r="L101" s="30"/>
    </row>
    <row r="102" spans="1:12" s="23" customFormat="1" ht="47.25" x14ac:dyDescent="0.25">
      <c r="A102" s="103"/>
      <c r="B102" s="106"/>
      <c r="C102" s="88"/>
      <c r="D102" s="88"/>
      <c r="E102" s="88"/>
      <c r="F102" s="91"/>
      <c r="G102" s="91"/>
      <c r="H102" s="31">
        <v>-195.8</v>
      </c>
      <c r="I102" s="50" t="s">
        <v>101</v>
      </c>
      <c r="L102" s="30"/>
    </row>
    <row r="103" spans="1:12" s="23" customFormat="1" ht="31.5" x14ac:dyDescent="0.25">
      <c r="A103" s="103"/>
      <c r="B103" s="106"/>
      <c r="C103" s="88"/>
      <c r="D103" s="88"/>
      <c r="E103" s="88"/>
      <c r="F103" s="91"/>
      <c r="G103" s="91"/>
      <c r="H103" s="31">
        <v>-49693.9</v>
      </c>
      <c r="I103" s="50" t="s">
        <v>102</v>
      </c>
      <c r="L103" s="30"/>
    </row>
    <row r="104" spans="1:12" s="23" customFormat="1" ht="31.5" x14ac:dyDescent="0.25">
      <c r="A104" s="103"/>
      <c r="B104" s="107"/>
      <c r="C104" s="88"/>
      <c r="D104" s="88"/>
      <c r="E104" s="88"/>
      <c r="F104" s="85"/>
      <c r="G104" s="85"/>
      <c r="H104" s="31">
        <v>-785.1</v>
      </c>
      <c r="I104" s="50" t="s">
        <v>103</v>
      </c>
      <c r="L104" s="30"/>
    </row>
    <row r="105" spans="1:12" s="23" customFormat="1" x14ac:dyDescent="0.25">
      <c r="A105" s="104"/>
      <c r="B105" s="95" t="s">
        <v>104</v>
      </c>
      <c r="C105" s="88">
        <v>93545</v>
      </c>
      <c r="D105" s="88">
        <f>95170.8+163.4+2231.4+2447.9</f>
        <v>100013.49999999999</v>
      </c>
      <c r="E105" s="88">
        <f t="shared" si="0"/>
        <v>6468.4999999999854</v>
      </c>
      <c r="F105" s="99">
        <f>163.4+2231.4</f>
        <v>2394.8000000000002</v>
      </c>
      <c r="G105" s="99">
        <v>2447.9</v>
      </c>
      <c r="H105" s="31"/>
      <c r="I105" s="32" t="s">
        <v>105</v>
      </c>
      <c r="L105" s="30"/>
    </row>
    <row r="106" spans="1:12" s="23" customFormat="1" ht="31.5" x14ac:dyDescent="0.25">
      <c r="A106" s="104"/>
      <c r="B106" s="95"/>
      <c r="C106" s="88"/>
      <c r="D106" s="88"/>
      <c r="E106" s="88"/>
      <c r="F106" s="91"/>
      <c r="G106" s="91"/>
      <c r="H106" s="31">
        <f>305.7+163.4</f>
        <v>469.1</v>
      </c>
      <c r="I106" s="33" t="s">
        <v>106</v>
      </c>
      <c r="L106" s="30"/>
    </row>
    <row r="107" spans="1:12" s="23" customFormat="1" ht="31.5" x14ac:dyDescent="0.25">
      <c r="A107" s="104"/>
      <c r="B107" s="95"/>
      <c r="C107" s="88"/>
      <c r="D107" s="88"/>
      <c r="E107" s="88"/>
      <c r="F107" s="91"/>
      <c r="G107" s="91"/>
      <c r="H107" s="47">
        <f>22.1+187.7</f>
        <v>209.79999999999998</v>
      </c>
      <c r="I107" s="33" t="s">
        <v>107</v>
      </c>
      <c r="L107" s="30"/>
    </row>
    <row r="108" spans="1:12" s="23" customFormat="1" ht="31.5" x14ac:dyDescent="0.25">
      <c r="A108" s="104"/>
      <c r="B108" s="95"/>
      <c r="C108" s="88"/>
      <c r="D108" s="88"/>
      <c r="E108" s="88"/>
      <c r="F108" s="91"/>
      <c r="G108" s="91"/>
      <c r="H108" s="47">
        <v>577.9</v>
      </c>
      <c r="I108" s="33" t="s">
        <v>108</v>
      </c>
      <c r="L108" s="30"/>
    </row>
    <row r="109" spans="1:12" s="23" customFormat="1" ht="47.25" x14ac:dyDescent="0.25">
      <c r="A109" s="104"/>
      <c r="B109" s="95"/>
      <c r="C109" s="88"/>
      <c r="D109" s="88"/>
      <c r="E109" s="88"/>
      <c r="F109" s="91"/>
      <c r="G109" s="91"/>
      <c r="H109" s="47">
        <f>368.4+2231.4</f>
        <v>2599.8000000000002</v>
      </c>
      <c r="I109" s="33" t="s">
        <v>109</v>
      </c>
      <c r="L109" s="30"/>
    </row>
    <row r="110" spans="1:12" s="23" customFormat="1" ht="31.5" x14ac:dyDescent="0.25">
      <c r="A110" s="104"/>
      <c r="B110" s="95"/>
      <c r="C110" s="88"/>
      <c r="D110" s="88"/>
      <c r="E110" s="88"/>
      <c r="F110" s="91"/>
      <c r="G110" s="91"/>
      <c r="H110" s="31">
        <v>2447.9</v>
      </c>
      <c r="I110" s="32" t="s">
        <v>182</v>
      </c>
      <c r="L110" s="30"/>
    </row>
    <row r="111" spans="1:12" s="23" customFormat="1" ht="31.5" x14ac:dyDescent="0.25">
      <c r="A111" s="104"/>
      <c r="B111" s="95"/>
      <c r="C111" s="88"/>
      <c r="D111" s="88"/>
      <c r="E111" s="88"/>
      <c r="F111" s="85"/>
      <c r="G111" s="85"/>
      <c r="H111" s="47">
        <v>164</v>
      </c>
      <c r="I111" s="51" t="s">
        <v>110</v>
      </c>
      <c r="L111" s="30"/>
    </row>
    <row r="112" spans="1:12" s="17" customFormat="1" ht="47.25" x14ac:dyDescent="0.25">
      <c r="A112" s="104"/>
      <c r="B112" s="82" t="s">
        <v>13</v>
      </c>
      <c r="C112" s="84">
        <v>3800</v>
      </c>
      <c r="D112" s="84">
        <f>3800-3500+230.2+33+14.5</f>
        <v>577.70000000000005</v>
      </c>
      <c r="E112" s="86">
        <f t="shared" si="0"/>
        <v>-3222.3</v>
      </c>
      <c r="F112" s="87"/>
      <c r="G112" s="87">
        <f>-3500+230.2</f>
        <v>-3269.8</v>
      </c>
      <c r="H112" s="47">
        <v>-3500</v>
      </c>
      <c r="I112" s="32" t="s">
        <v>194</v>
      </c>
      <c r="L112" s="30"/>
    </row>
    <row r="113" spans="1:12" s="17" customFormat="1" ht="31.5" x14ac:dyDescent="0.25">
      <c r="A113" s="104"/>
      <c r="B113" s="83"/>
      <c r="C113" s="85"/>
      <c r="D113" s="85"/>
      <c r="E113" s="85"/>
      <c r="F113" s="85"/>
      <c r="G113" s="85"/>
      <c r="H113" s="47">
        <f>230.2+33+14.5</f>
        <v>277.7</v>
      </c>
      <c r="I113" s="32" t="s">
        <v>213</v>
      </c>
      <c r="L113" s="30"/>
    </row>
    <row r="114" spans="1:12" s="17" customFormat="1" ht="31.5" x14ac:dyDescent="0.25">
      <c r="A114" s="104"/>
      <c r="B114" s="76" t="s">
        <v>28</v>
      </c>
      <c r="C114" s="78"/>
      <c r="D114" s="78">
        <f>60.3+58.8</f>
        <v>119.1</v>
      </c>
      <c r="E114" s="77">
        <f t="shared" si="0"/>
        <v>119.1</v>
      </c>
      <c r="F114" s="38">
        <v>60.3</v>
      </c>
      <c r="G114" s="38">
        <v>58.8</v>
      </c>
      <c r="H114" s="47">
        <f>60.3+58.8</f>
        <v>119.1</v>
      </c>
      <c r="I114" s="32" t="s">
        <v>191</v>
      </c>
      <c r="L114" s="30"/>
    </row>
    <row r="115" spans="1:12" s="17" customFormat="1" ht="31.5" x14ac:dyDescent="0.25">
      <c r="A115" s="104"/>
      <c r="B115" s="76" t="s">
        <v>111</v>
      </c>
      <c r="C115" s="78">
        <v>0</v>
      </c>
      <c r="D115" s="78">
        <v>312.3</v>
      </c>
      <c r="E115" s="77">
        <f t="shared" si="0"/>
        <v>312.3</v>
      </c>
      <c r="F115" s="38"/>
      <c r="G115" s="38"/>
      <c r="H115" s="47">
        <v>312.3</v>
      </c>
      <c r="I115" s="81" t="s">
        <v>206</v>
      </c>
      <c r="L115" s="30"/>
    </row>
    <row r="116" spans="1:12" s="17" customFormat="1" ht="31.5" x14ac:dyDescent="0.25">
      <c r="A116" s="104"/>
      <c r="B116" s="82" t="s">
        <v>113</v>
      </c>
      <c r="C116" s="84">
        <v>0</v>
      </c>
      <c r="D116" s="84">
        <v>682.8</v>
      </c>
      <c r="E116" s="86">
        <f t="shared" si="0"/>
        <v>682.8</v>
      </c>
      <c r="F116" s="87">
        <v>53.9</v>
      </c>
      <c r="G116" s="87">
        <v>3.7</v>
      </c>
      <c r="H116" s="47">
        <f>66.8+604.1-45.7</f>
        <v>625.19999999999993</v>
      </c>
      <c r="I116" s="81" t="s">
        <v>114</v>
      </c>
      <c r="L116" s="30"/>
    </row>
    <row r="117" spans="1:12" s="17" customFormat="1" ht="31.5" x14ac:dyDescent="0.25">
      <c r="A117" s="104"/>
      <c r="B117" s="83"/>
      <c r="C117" s="85"/>
      <c r="D117" s="85"/>
      <c r="E117" s="85"/>
      <c r="F117" s="85"/>
      <c r="G117" s="85"/>
      <c r="H117" s="47">
        <v>57.6</v>
      </c>
      <c r="I117" s="32" t="s">
        <v>198</v>
      </c>
      <c r="L117" s="30"/>
    </row>
    <row r="118" spans="1:12" s="23" customFormat="1" x14ac:dyDescent="0.25">
      <c r="A118" s="75" t="s">
        <v>115</v>
      </c>
      <c r="B118" s="25" t="s">
        <v>116</v>
      </c>
      <c r="C118" s="27">
        <f>SUM(C119:C119)</f>
        <v>169231.4</v>
      </c>
      <c r="D118" s="27">
        <f>SUM(D119:D119)</f>
        <v>167526.90000000002</v>
      </c>
      <c r="E118" s="26">
        <f t="shared" si="0"/>
        <v>-1704.4999999999709</v>
      </c>
      <c r="F118" s="27">
        <f>SUM(F119:F119)</f>
        <v>-2394.8000000000002</v>
      </c>
      <c r="G118" s="27">
        <f>SUM(G119:G119)</f>
        <v>1942.3</v>
      </c>
      <c r="H118" s="28">
        <f>SUM(H119:H123)</f>
        <v>-1704.5</v>
      </c>
      <c r="I118" s="39"/>
      <c r="L118" s="30"/>
    </row>
    <row r="119" spans="1:12" s="17" customFormat="1" ht="31.5" x14ac:dyDescent="0.25">
      <c r="A119" s="96"/>
      <c r="B119" s="95" t="s">
        <v>117</v>
      </c>
      <c r="C119" s="88">
        <v>169231.4</v>
      </c>
      <c r="D119" s="88">
        <f>167979.4-163.4-2231.4+1757.7+184.6</f>
        <v>167526.90000000002</v>
      </c>
      <c r="E119" s="88">
        <f t="shared" si="0"/>
        <v>-1704.4999999999709</v>
      </c>
      <c r="F119" s="99">
        <f>-163.4-2231.4</f>
        <v>-2394.8000000000002</v>
      </c>
      <c r="G119" s="99">
        <f>1757.7+184.6</f>
        <v>1942.3</v>
      </c>
      <c r="H119" s="31">
        <f>-305.7-163.4</f>
        <v>-469.1</v>
      </c>
      <c r="I119" s="39" t="s">
        <v>118</v>
      </c>
      <c r="L119" s="30"/>
    </row>
    <row r="120" spans="1:12" s="23" customFormat="1" ht="63" x14ac:dyDescent="0.25">
      <c r="A120" s="96"/>
      <c r="B120" s="95"/>
      <c r="C120" s="88"/>
      <c r="D120" s="88"/>
      <c r="E120" s="88"/>
      <c r="F120" s="91"/>
      <c r="G120" s="91"/>
      <c r="H120" s="31">
        <v>-577.9</v>
      </c>
      <c r="I120" s="56" t="s">
        <v>119</v>
      </c>
      <c r="L120" s="30"/>
    </row>
    <row r="121" spans="1:12" s="23" customFormat="1" x14ac:dyDescent="0.25">
      <c r="A121" s="96"/>
      <c r="B121" s="95"/>
      <c r="C121" s="88"/>
      <c r="D121" s="88"/>
      <c r="E121" s="88"/>
      <c r="F121" s="91"/>
      <c r="G121" s="91"/>
      <c r="H121" s="31">
        <v>184.6</v>
      </c>
      <c r="I121" s="56" t="s">
        <v>208</v>
      </c>
      <c r="L121" s="30"/>
    </row>
    <row r="122" spans="1:12" s="23" customFormat="1" ht="31.5" x14ac:dyDescent="0.25">
      <c r="A122" s="96"/>
      <c r="B122" s="95"/>
      <c r="C122" s="88"/>
      <c r="D122" s="88"/>
      <c r="E122" s="88"/>
      <c r="F122" s="91"/>
      <c r="G122" s="91"/>
      <c r="H122" s="31">
        <v>1757.7</v>
      </c>
      <c r="I122" s="32" t="s">
        <v>183</v>
      </c>
      <c r="L122" s="30"/>
    </row>
    <row r="123" spans="1:12" s="23" customFormat="1" ht="47.25" x14ac:dyDescent="0.25">
      <c r="A123" s="96"/>
      <c r="B123" s="95"/>
      <c r="C123" s="88"/>
      <c r="D123" s="88"/>
      <c r="E123" s="88"/>
      <c r="F123" s="85"/>
      <c r="G123" s="85"/>
      <c r="H123" s="31">
        <f>-368.4-2231.4</f>
        <v>-2599.8000000000002</v>
      </c>
      <c r="I123" s="39" t="s">
        <v>120</v>
      </c>
      <c r="L123" s="30"/>
    </row>
    <row r="124" spans="1:12" s="23" customFormat="1" x14ac:dyDescent="0.25">
      <c r="A124" s="75" t="s">
        <v>121</v>
      </c>
      <c r="B124" s="25" t="s">
        <v>122</v>
      </c>
      <c r="C124" s="27">
        <f>SUM(C125:C159)</f>
        <v>1330026.3</v>
      </c>
      <c r="D124" s="27">
        <f>SUM(D125:D159)</f>
        <v>1335048.4000000001</v>
      </c>
      <c r="E124" s="26">
        <f t="shared" si="0"/>
        <v>5022.1000000000931</v>
      </c>
      <c r="F124" s="27">
        <f>SUM(F125:F159)</f>
        <v>-31096.3</v>
      </c>
      <c r="G124" s="27">
        <f>SUM(G125:G159)</f>
        <v>10982.199999999999</v>
      </c>
      <c r="H124" s="28">
        <f>SUM(H125:H159)</f>
        <v>5022.0999999999913</v>
      </c>
      <c r="I124" s="13"/>
      <c r="L124" s="30"/>
    </row>
    <row r="125" spans="1:12" s="23" customFormat="1" ht="31.5" x14ac:dyDescent="0.25">
      <c r="A125" s="96"/>
      <c r="B125" s="100" t="s">
        <v>123</v>
      </c>
      <c r="C125" s="88">
        <v>1205572.6000000001</v>
      </c>
      <c r="D125" s="88">
        <f>1213639.3+5905.8-5.7-37000+3.7+1151.5-3.7</f>
        <v>1183690.9000000001</v>
      </c>
      <c r="E125" s="89">
        <f t="shared" si="0"/>
        <v>-21881.699999999953</v>
      </c>
      <c r="F125" s="87">
        <f>5905.8-5.7-37000+3.7-0.1</f>
        <v>-31096.3</v>
      </c>
      <c r="G125" s="87">
        <f>1151.5-3.7</f>
        <v>1147.8</v>
      </c>
      <c r="H125" s="47"/>
      <c r="I125" s="32" t="s">
        <v>124</v>
      </c>
      <c r="L125" s="30"/>
    </row>
    <row r="126" spans="1:12" s="23" customFormat="1" ht="31.5" x14ac:dyDescent="0.25">
      <c r="A126" s="96"/>
      <c r="B126" s="101"/>
      <c r="C126" s="88"/>
      <c r="D126" s="88"/>
      <c r="E126" s="89"/>
      <c r="F126" s="91"/>
      <c r="G126" s="91"/>
      <c r="H126" s="47">
        <v>899.5</v>
      </c>
      <c r="I126" s="33" t="s">
        <v>125</v>
      </c>
      <c r="L126" s="30"/>
    </row>
    <row r="127" spans="1:12" s="23" customFormat="1" ht="31.5" x14ac:dyDescent="0.25">
      <c r="A127" s="96"/>
      <c r="B127" s="101"/>
      <c r="C127" s="88"/>
      <c r="D127" s="88"/>
      <c r="E127" s="89"/>
      <c r="F127" s="91"/>
      <c r="G127" s="91"/>
      <c r="H127" s="47">
        <v>4226.3</v>
      </c>
      <c r="I127" s="33" t="s">
        <v>126</v>
      </c>
      <c r="L127" s="30"/>
    </row>
    <row r="128" spans="1:12" s="23" customFormat="1" ht="31.5" x14ac:dyDescent="0.25">
      <c r="A128" s="96"/>
      <c r="B128" s="101"/>
      <c r="C128" s="88"/>
      <c r="D128" s="88"/>
      <c r="E128" s="89"/>
      <c r="F128" s="91"/>
      <c r="G128" s="91"/>
      <c r="H128" s="47">
        <v>8153.6</v>
      </c>
      <c r="I128" s="33" t="s">
        <v>127</v>
      </c>
      <c r="L128" s="30"/>
    </row>
    <row r="129" spans="1:12" s="23" customFormat="1" ht="31.5" x14ac:dyDescent="0.25">
      <c r="A129" s="96"/>
      <c r="B129" s="101"/>
      <c r="C129" s="88"/>
      <c r="D129" s="88"/>
      <c r="E129" s="89"/>
      <c r="F129" s="91"/>
      <c r="G129" s="91"/>
      <c r="H129" s="47">
        <v>2250</v>
      </c>
      <c r="I129" s="33" t="s">
        <v>128</v>
      </c>
      <c r="L129" s="30"/>
    </row>
    <row r="130" spans="1:12" s="23" customFormat="1" ht="31.5" x14ac:dyDescent="0.25">
      <c r="A130" s="96"/>
      <c r="B130" s="101"/>
      <c r="C130" s="88"/>
      <c r="D130" s="88"/>
      <c r="E130" s="89"/>
      <c r="F130" s="91"/>
      <c r="G130" s="91"/>
      <c r="H130" s="47">
        <v>2742.1</v>
      </c>
      <c r="I130" s="33" t="s">
        <v>129</v>
      </c>
      <c r="L130" s="30"/>
    </row>
    <row r="131" spans="1:12" s="23" customFormat="1" ht="31.5" x14ac:dyDescent="0.25">
      <c r="A131" s="96"/>
      <c r="B131" s="101"/>
      <c r="C131" s="88"/>
      <c r="D131" s="88"/>
      <c r="E131" s="89"/>
      <c r="F131" s="91"/>
      <c r="G131" s="91"/>
      <c r="H131" s="47">
        <v>2428</v>
      </c>
      <c r="I131" s="33" t="s">
        <v>130</v>
      </c>
      <c r="L131" s="30"/>
    </row>
    <row r="132" spans="1:12" s="23" customFormat="1" ht="47.25" x14ac:dyDescent="0.25">
      <c r="A132" s="96"/>
      <c r="B132" s="101"/>
      <c r="C132" s="88"/>
      <c r="D132" s="88"/>
      <c r="E132" s="89"/>
      <c r="F132" s="91"/>
      <c r="G132" s="91"/>
      <c r="H132" s="47">
        <f>8750.6-1590-2702.5</f>
        <v>4458.1000000000004</v>
      </c>
      <c r="I132" s="33" t="s">
        <v>131</v>
      </c>
      <c r="L132" s="30"/>
    </row>
    <row r="133" spans="1:12" s="23" customFormat="1" ht="31.5" x14ac:dyDescent="0.25">
      <c r="A133" s="96"/>
      <c r="B133" s="101"/>
      <c r="C133" s="88"/>
      <c r="D133" s="88"/>
      <c r="E133" s="89"/>
      <c r="F133" s="91"/>
      <c r="G133" s="91"/>
      <c r="H133" s="47">
        <v>60</v>
      </c>
      <c r="I133" s="33" t="s">
        <v>132</v>
      </c>
      <c r="L133" s="30"/>
    </row>
    <row r="134" spans="1:12" s="23" customFormat="1" ht="31.5" x14ac:dyDescent="0.25">
      <c r="A134" s="96"/>
      <c r="B134" s="101"/>
      <c r="C134" s="88"/>
      <c r="D134" s="88"/>
      <c r="E134" s="89"/>
      <c r="F134" s="91"/>
      <c r="G134" s="91"/>
      <c r="H134" s="47">
        <v>300</v>
      </c>
      <c r="I134" s="33" t="s">
        <v>133</v>
      </c>
      <c r="L134" s="30"/>
    </row>
    <row r="135" spans="1:12" s="23" customFormat="1" ht="31.5" x14ac:dyDescent="0.25">
      <c r="A135" s="96"/>
      <c r="B135" s="101"/>
      <c r="C135" s="88"/>
      <c r="D135" s="88"/>
      <c r="E135" s="89"/>
      <c r="F135" s="91"/>
      <c r="G135" s="91"/>
      <c r="H135" s="47">
        <v>431.7</v>
      </c>
      <c r="I135" s="33" t="s">
        <v>134</v>
      </c>
      <c r="L135" s="30"/>
    </row>
    <row r="136" spans="1:12" s="23" customFormat="1" ht="31.5" x14ac:dyDescent="0.25">
      <c r="A136" s="96"/>
      <c r="B136" s="101"/>
      <c r="C136" s="88"/>
      <c r="D136" s="88"/>
      <c r="E136" s="89"/>
      <c r="F136" s="91"/>
      <c r="G136" s="91"/>
      <c r="H136" s="47">
        <v>335.1</v>
      </c>
      <c r="I136" s="33" t="s">
        <v>135</v>
      </c>
      <c r="L136" s="30"/>
    </row>
    <row r="137" spans="1:12" s="23" customFormat="1" x14ac:dyDescent="0.25">
      <c r="A137" s="96"/>
      <c r="B137" s="101"/>
      <c r="C137" s="88"/>
      <c r="D137" s="88"/>
      <c r="E137" s="89"/>
      <c r="F137" s="91"/>
      <c r="G137" s="91"/>
      <c r="H137" s="31">
        <v>1362.3</v>
      </c>
      <c r="I137" s="35" t="s">
        <v>136</v>
      </c>
      <c r="L137" s="30"/>
    </row>
    <row r="138" spans="1:12" s="23" customFormat="1" ht="31.5" x14ac:dyDescent="0.25">
      <c r="A138" s="96"/>
      <c r="B138" s="101"/>
      <c r="C138" s="88"/>
      <c r="D138" s="88"/>
      <c r="E138" s="89"/>
      <c r="F138" s="91"/>
      <c r="G138" s="91"/>
      <c r="H138" s="31">
        <v>460.2</v>
      </c>
      <c r="I138" s="35" t="s">
        <v>137</v>
      </c>
      <c r="L138" s="30"/>
    </row>
    <row r="139" spans="1:12" s="23" customFormat="1" x14ac:dyDescent="0.25">
      <c r="A139" s="96"/>
      <c r="B139" s="101"/>
      <c r="C139" s="88"/>
      <c r="D139" s="88"/>
      <c r="E139" s="89"/>
      <c r="F139" s="91"/>
      <c r="G139" s="91"/>
      <c r="H139" s="31"/>
      <c r="I139" s="48" t="s">
        <v>138</v>
      </c>
      <c r="L139" s="30"/>
    </row>
    <row r="140" spans="1:12" s="23" customFormat="1" ht="31.5" x14ac:dyDescent="0.25">
      <c r="A140" s="96"/>
      <c r="B140" s="101"/>
      <c r="C140" s="88"/>
      <c r="D140" s="88"/>
      <c r="E140" s="89"/>
      <c r="F140" s="91"/>
      <c r="G140" s="91"/>
      <c r="H140" s="31">
        <v>-37000</v>
      </c>
      <c r="I140" s="33" t="s">
        <v>139</v>
      </c>
      <c r="L140" s="30"/>
    </row>
    <row r="141" spans="1:12" s="23" customFormat="1" ht="47.25" x14ac:dyDescent="0.25">
      <c r="A141" s="96"/>
      <c r="B141" s="101"/>
      <c r="C141" s="88"/>
      <c r="D141" s="88"/>
      <c r="E141" s="89"/>
      <c r="F141" s="91"/>
      <c r="G141" s="91"/>
      <c r="H141" s="31">
        <v>-987.6</v>
      </c>
      <c r="I141" s="35" t="s">
        <v>140</v>
      </c>
      <c r="L141" s="30"/>
    </row>
    <row r="142" spans="1:12" s="23" customFormat="1" ht="31.5" x14ac:dyDescent="0.25">
      <c r="A142" s="96"/>
      <c r="B142" s="101"/>
      <c r="C142" s="88"/>
      <c r="D142" s="88"/>
      <c r="E142" s="89"/>
      <c r="F142" s="91"/>
      <c r="G142" s="91"/>
      <c r="H142" s="31">
        <v>-3000</v>
      </c>
      <c r="I142" s="35" t="s">
        <v>141</v>
      </c>
      <c r="L142" s="30"/>
    </row>
    <row r="143" spans="1:12" s="23" customFormat="1" ht="31.5" x14ac:dyDescent="0.25">
      <c r="A143" s="96"/>
      <c r="B143" s="101"/>
      <c r="C143" s="88"/>
      <c r="D143" s="88"/>
      <c r="E143" s="89"/>
      <c r="F143" s="91"/>
      <c r="G143" s="91"/>
      <c r="H143" s="31">
        <v>-28.2</v>
      </c>
      <c r="I143" s="35" t="s">
        <v>142</v>
      </c>
      <c r="L143" s="30"/>
    </row>
    <row r="144" spans="1:12" s="23" customFormat="1" ht="31.5" x14ac:dyDescent="0.25">
      <c r="A144" s="96"/>
      <c r="B144" s="101"/>
      <c r="C144" s="88"/>
      <c r="D144" s="88"/>
      <c r="E144" s="89"/>
      <c r="F144" s="91"/>
      <c r="G144" s="91"/>
      <c r="H144" s="31">
        <v>-1000</v>
      </c>
      <c r="I144" s="35" t="s">
        <v>143</v>
      </c>
      <c r="L144" s="30"/>
    </row>
    <row r="145" spans="1:12" s="23" customFormat="1" ht="31.5" x14ac:dyDescent="0.25">
      <c r="A145" s="96"/>
      <c r="B145" s="101"/>
      <c r="C145" s="88"/>
      <c r="D145" s="88"/>
      <c r="E145" s="89"/>
      <c r="F145" s="91"/>
      <c r="G145" s="91"/>
      <c r="H145" s="31">
        <f>-51.9+3.7</f>
        <v>-48.199999999999996</v>
      </c>
      <c r="I145" s="35" t="s">
        <v>144</v>
      </c>
      <c r="L145" s="30"/>
    </row>
    <row r="146" spans="1:12" s="23" customFormat="1" ht="47.25" x14ac:dyDescent="0.25">
      <c r="A146" s="96"/>
      <c r="B146" s="101"/>
      <c r="C146" s="88"/>
      <c r="D146" s="88"/>
      <c r="E146" s="89"/>
      <c r="F146" s="91"/>
      <c r="G146" s="91"/>
      <c r="H146" s="31">
        <v>-87</v>
      </c>
      <c r="I146" s="35" t="s">
        <v>145</v>
      </c>
      <c r="L146" s="30"/>
    </row>
    <row r="147" spans="1:12" s="23" customFormat="1" ht="31.5" x14ac:dyDescent="0.25">
      <c r="A147" s="96"/>
      <c r="B147" s="101"/>
      <c r="C147" s="88"/>
      <c r="D147" s="88"/>
      <c r="E147" s="89"/>
      <c r="F147" s="91"/>
      <c r="G147" s="91"/>
      <c r="H147" s="31">
        <f>-6914-2000</f>
        <v>-8914</v>
      </c>
      <c r="I147" s="35" t="s">
        <v>146</v>
      </c>
      <c r="L147" s="30"/>
    </row>
    <row r="148" spans="1:12" s="23" customFormat="1" ht="31.5" x14ac:dyDescent="0.25">
      <c r="A148" s="96"/>
      <c r="B148" s="101"/>
      <c r="C148" s="88"/>
      <c r="D148" s="88"/>
      <c r="E148" s="89"/>
      <c r="F148" s="91"/>
      <c r="G148" s="91"/>
      <c r="H148" s="31">
        <v>-65.7</v>
      </c>
      <c r="I148" s="35" t="s">
        <v>147</v>
      </c>
      <c r="L148" s="30"/>
    </row>
    <row r="149" spans="1:12" s="23" customFormat="1" ht="31.5" x14ac:dyDescent="0.25">
      <c r="A149" s="96"/>
      <c r="B149" s="101"/>
      <c r="C149" s="88"/>
      <c r="D149" s="88"/>
      <c r="E149" s="89"/>
      <c r="F149" s="91"/>
      <c r="G149" s="91"/>
      <c r="H149" s="31">
        <v>1151.5</v>
      </c>
      <c r="I149" s="32" t="s">
        <v>185</v>
      </c>
      <c r="L149" s="30"/>
    </row>
    <row r="150" spans="1:12" s="23" customFormat="1" ht="31.5" x14ac:dyDescent="0.25">
      <c r="A150" s="96"/>
      <c r="B150" s="102"/>
      <c r="C150" s="88"/>
      <c r="D150" s="88"/>
      <c r="E150" s="89"/>
      <c r="F150" s="85"/>
      <c r="G150" s="85"/>
      <c r="H150" s="31">
        <f>-5.7-3.7</f>
        <v>-9.4</v>
      </c>
      <c r="I150" s="32" t="s">
        <v>193</v>
      </c>
      <c r="L150" s="30"/>
    </row>
    <row r="151" spans="1:12" s="23" customFormat="1" ht="31.5" x14ac:dyDescent="0.25">
      <c r="A151" s="96"/>
      <c r="B151" s="95" t="s">
        <v>86</v>
      </c>
      <c r="C151" s="88">
        <v>66954.8</v>
      </c>
      <c r="D151" s="88">
        <v>76987.199999999997</v>
      </c>
      <c r="E151" s="89">
        <f t="shared" si="0"/>
        <v>10032.399999999994</v>
      </c>
      <c r="F151" s="87"/>
      <c r="G151" s="87"/>
      <c r="H151" s="31"/>
      <c r="I151" s="39" t="s">
        <v>148</v>
      </c>
      <c r="L151" s="30"/>
    </row>
    <row r="152" spans="1:12" s="23" customFormat="1" ht="31.5" x14ac:dyDescent="0.25">
      <c r="A152" s="96"/>
      <c r="B152" s="95"/>
      <c r="C152" s="88"/>
      <c r="D152" s="88"/>
      <c r="E152" s="89"/>
      <c r="F152" s="90"/>
      <c r="G152" s="90"/>
      <c r="H152" s="31">
        <v>574.5</v>
      </c>
      <c r="I152" s="33" t="s">
        <v>149</v>
      </c>
      <c r="L152" s="30"/>
    </row>
    <row r="153" spans="1:12" s="23" customFormat="1" ht="47.25" x14ac:dyDescent="0.25">
      <c r="A153" s="96"/>
      <c r="B153" s="95"/>
      <c r="C153" s="88"/>
      <c r="D153" s="88"/>
      <c r="E153" s="89"/>
      <c r="F153" s="91"/>
      <c r="G153" s="91"/>
      <c r="H153" s="31">
        <v>5587.5</v>
      </c>
      <c r="I153" s="50" t="s">
        <v>150</v>
      </c>
      <c r="L153" s="30"/>
    </row>
    <row r="154" spans="1:12" s="23" customFormat="1" ht="47.25" x14ac:dyDescent="0.25">
      <c r="A154" s="96"/>
      <c r="B154" s="95"/>
      <c r="C154" s="88"/>
      <c r="D154" s="88"/>
      <c r="E154" s="89"/>
      <c r="F154" s="85"/>
      <c r="G154" s="85"/>
      <c r="H154" s="31">
        <v>3870.4</v>
      </c>
      <c r="I154" s="50" t="s">
        <v>151</v>
      </c>
      <c r="L154" s="30"/>
    </row>
    <row r="155" spans="1:12" s="23" customFormat="1" ht="63" x14ac:dyDescent="0.25">
      <c r="A155" s="96"/>
      <c r="B155" s="82" t="s">
        <v>13</v>
      </c>
      <c r="C155" s="84">
        <v>55163.3</v>
      </c>
      <c r="D155" s="84">
        <f>61834.7+9921</f>
        <v>71755.7</v>
      </c>
      <c r="E155" s="86">
        <f t="shared" si="0"/>
        <v>16592.399999999994</v>
      </c>
      <c r="F155" s="38"/>
      <c r="G155" s="38"/>
      <c r="H155" s="31">
        <f>6671.4</f>
        <v>6671.4</v>
      </c>
      <c r="I155" s="39" t="s">
        <v>152</v>
      </c>
      <c r="L155" s="30"/>
    </row>
    <row r="156" spans="1:12" s="23" customFormat="1" ht="47.25" x14ac:dyDescent="0.25">
      <c r="A156" s="96"/>
      <c r="B156" s="83"/>
      <c r="C156" s="85"/>
      <c r="D156" s="85"/>
      <c r="E156" s="85"/>
      <c r="F156" s="38"/>
      <c r="G156" s="38">
        <v>9921</v>
      </c>
      <c r="H156" s="31">
        <v>9921</v>
      </c>
      <c r="I156" s="39" t="s">
        <v>176</v>
      </c>
      <c r="L156" s="30"/>
    </row>
    <row r="157" spans="1:12" s="23" customFormat="1" ht="47.25" x14ac:dyDescent="0.25">
      <c r="A157" s="96"/>
      <c r="B157" s="76" t="s">
        <v>117</v>
      </c>
      <c r="C157" s="78">
        <v>389.4</v>
      </c>
      <c r="D157" s="78">
        <v>455</v>
      </c>
      <c r="E157" s="77">
        <f t="shared" si="0"/>
        <v>65.600000000000023</v>
      </c>
      <c r="F157" s="38"/>
      <c r="G157" s="38"/>
      <c r="H157" s="47">
        <v>65.599999999999994</v>
      </c>
      <c r="I157" s="48" t="s">
        <v>153</v>
      </c>
      <c r="L157" s="30"/>
    </row>
    <row r="158" spans="1:12" s="57" customFormat="1" ht="31.5" x14ac:dyDescent="0.25">
      <c r="A158" s="96"/>
      <c r="B158" s="76" t="s">
        <v>154</v>
      </c>
      <c r="C158" s="78">
        <v>1946.2</v>
      </c>
      <c r="D158" s="77">
        <f>1944.2-84.6</f>
        <v>1859.6000000000001</v>
      </c>
      <c r="E158" s="77">
        <f t="shared" si="0"/>
        <v>-86.599999999999909</v>
      </c>
      <c r="F158" s="38"/>
      <c r="G158" s="38">
        <f>-2-84.6</f>
        <v>-86.6</v>
      </c>
      <c r="H158" s="31">
        <f>-2-84.6</f>
        <v>-86.6</v>
      </c>
      <c r="I158" s="39" t="s">
        <v>207</v>
      </c>
      <c r="L158" s="30"/>
    </row>
    <row r="159" spans="1:12" s="57" customFormat="1" ht="31.5" x14ac:dyDescent="0.25">
      <c r="A159" s="96"/>
      <c r="B159" s="76" t="s">
        <v>111</v>
      </c>
      <c r="C159" s="78">
        <v>0</v>
      </c>
      <c r="D159" s="78">
        <v>300</v>
      </c>
      <c r="E159" s="77">
        <f t="shared" si="0"/>
        <v>300</v>
      </c>
      <c r="F159" s="38"/>
      <c r="G159" s="38"/>
      <c r="H159" s="31">
        <v>300</v>
      </c>
      <c r="I159" s="56" t="s">
        <v>155</v>
      </c>
      <c r="L159" s="30"/>
    </row>
    <row r="160" spans="1:12" s="57" customFormat="1" x14ac:dyDescent="0.25">
      <c r="A160" s="75" t="s">
        <v>156</v>
      </c>
      <c r="B160" s="25" t="s">
        <v>157</v>
      </c>
      <c r="C160" s="27">
        <f>SUM(C161:C165)</f>
        <v>307675.7</v>
      </c>
      <c r="D160" s="27">
        <f>SUM(D161:D165)</f>
        <v>309540.7</v>
      </c>
      <c r="E160" s="27">
        <f>SUM(E161:E165)</f>
        <v>1865.0000000000236</v>
      </c>
      <c r="F160" s="27">
        <f>SUM(F161:F165)</f>
        <v>-712.5</v>
      </c>
      <c r="G160" s="27">
        <f>SUM(G161:G165)</f>
        <v>19.600000000000001</v>
      </c>
      <c r="H160" s="28">
        <f>SUM(H161:H172)</f>
        <v>1865.0000000000005</v>
      </c>
      <c r="I160" s="12"/>
      <c r="J160" s="58"/>
      <c r="L160" s="30"/>
    </row>
    <row r="161" spans="1:12" s="23" customFormat="1" ht="31.5" x14ac:dyDescent="0.25">
      <c r="A161" s="96"/>
      <c r="B161" s="82" t="s">
        <v>158</v>
      </c>
      <c r="C161" s="88">
        <v>8900</v>
      </c>
      <c r="D161" s="88">
        <v>1200</v>
      </c>
      <c r="E161" s="89">
        <f t="shared" si="0"/>
        <v>-7700</v>
      </c>
      <c r="F161" s="92"/>
      <c r="G161" s="92"/>
      <c r="H161" s="31">
        <v>-400</v>
      </c>
      <c r="I161" s="56" t="s">
        <v>159</v>
      </c>
      <c r="L161" s="30"/>
    </row>
    <row r="162" spans="1:12" s="23" customFormat="1" ht="31.5" x14ac:dyDescent="0.25">
      <c r="A162" s="96"/>
      <c r="B162" s="97"/>
      <c r="C162" s="88"/>
      <c r="D162" s="88"/>
      <c r="E162" s="89"/>
      <c r="F162" s="93"/>
      <c r="G162" s="93"/>
      <c r="H162" s="47">
        <v>-6300</v>
      </c>
      <c r="I162" s="56" t="s">
        <v>160</v>
      </c>
      <c r="L162" s="30"/>
    </row>
    <row r="163" spans="1:12" s="23" customFormat="1" ht="47.25" x14ac:dyDescent="0.25">
      <c r="A163" s="96"/>
      <c r="B163" s="98"/>
      <c r="C163" s="88"/>
      <c r="D163" s="88"/>
      <c r="E163" s="89"/>
      <c r="F163" s="94"/>
      <c r="G163" s="94"/>
      <c r="H163" s="47">
        <v>-1000</v>
      </c>
      <c r="I163" s="56" t="s">
        <v>161</v>
      </c>
      <c r="L163" s="30"/>
    </row>
    <row r="164" spans="1:12" s="17" customFormat="1" ht="31.5" x14ac:dyDescent="0.25">
      <c r="A164" s="96"/>
      <c r="B164" s="76" t="s">
        <v>86</v>
      </c>
      <c r="C164" s="78">
        <v>2614.6999999999998</v>
      </c>
      <c r="D164" s="78">
        <f>2614.7+19.6</f>
        <v>2634.2999999999997</v>
      </c>
      <c r="E164" s="77">
        <f t="shared" si="0"/>
        <v>19.599999999999909</v>
      </c>
      <c r="F164" s="38"/>
      <c r="G164" s="38">
        <v>19.600000000000001</v>
      </c>
      <c r="H164" s="31">
        <v>19.600000000000001</v>
      </c>
      <c r="I164" s="32" t="s">
        <v>187</v>
      </c>
      <c r="L164" s="30"/>
    </row>
    <row r="165" spans="1:12" s="17" customFormat="1" ht="47.25" x14ac:dyDescent="0.25">
      <c r="A165" s="96"/>
      <c r="B165" s="95" t="s">
        <v>162</v>
      </c>
      <c r="C165" s="88">
        <v>296161</v>
      </c>
      <c r="D165" s="88">
        <v>305706.40000000002</v>
      </c>
      <c r="E165" s="89">
        <f>D165-C165</f>
        <v>9545.4000000000233</v>
      </c>
      <c r="F165" s="87">
        <v>-712.5</v>
      </c>
      <c r="G165" s="87"/>
      <c r="H165" s="31">
        <v>-300</v>
      </c>
      <c r="I165" s="56" t="s">
        <v>163</v>
      </c>
      <c r="L165" s="30"/>
    </row>
    <row r="166" spans="1:12" s="17" customFormat="1" ht="31.5" x14ac:dyDescent="0.25">
      <c r="A166" s="96"/>
      <c r="B166" s="95"/>
      <c r="C166" s="88"/>
      <c r="D166" s="88"/>
      <c r="E166" s="89"/>
      <c r="F166" s="90"/>
      <c r="G166" s="90"/>
      <c r="H166" s="47">
        <v>-712.5</v>
      </c>
      <c r="I166" s="39" t="s">
        <v>164</v>
      </c>
      <c r="L166" s="30"/>
    </row>
    <row r="167" spans="1:12" s="17" customFormat="1" x14ac:dyDescent="0.25">
      <c r="A167" s="96"/>
      <c r="B167" s="95"/>
      <c r="C167" s="88"/>
      <c r="D167" s="88"/>
      <c r="E167" s="89"/>
      <c r="F167" s="90"/>
      <c r="G167" s="90"/>
      <c r="H167" s="47"/>
      <c r="I167" s="39" t="s">
        <v>200</v>
      </c>
      <c r="L167" s="30"/>
    </row>
    <row r="168" spans="1:12" s="17" customFormat="1" ht="31.5" x14ac:dyDescent="0.25">
      <c r="A168" s="96"/>
      <c r="B168" s="95"/>
      <c r="C168" s="88"/>
      <c r="D168" s="88"/>
      <c r="E168" s="89"/>
      <c r="F168" s="91"/>
      <c r="G168" s="91"/>
      <c r="H168" s="31">
        <v>400</v>
      </c>
      <c r="I168" s="35" t="s">
        <v>166</v>
      </c>
      <c r="L168" s="30"/>
    </row>
    <row r="169" spans="1:12" s="17" customFormat="1" ht="31.5" x14ac:dyDescent="0.25">
      <c r="A169" s="96"/>
      <c r="B169" s="95"/>
      <c r="C169" s="88"/>
      <c r="D169" s="88"/>
      <c r="E169" s="89"/>
      <c r="F169" s="91"/>
      <c r="G169" s="91"/>
      <c r="H169" s="31">
        <v>6300</v>
      </c>
      <c r="I169" s="35" t="s">
        <v>167</v>
      </c>
      <c r="L169" s="30"/>
    </row>
    <row r="170" spans="1:12" s="17" customFormat="1" ht="31.5" x14ac:dyDescent="0.25">
      <c r="A170" s="96"/>
      <c r="B170" s="95"/>
      <c r="C170" s="88"/>
      <c r="D170" s="88"/>
      <c r="E170" s="89"/>
      <c r="F170" s="91"/>
      <c r="G170" s="91"/>
      <c r="H170" s="31">
        <v>100</v>
      </c>
      <c r="I170" s="35" t="s">
        <v>199</v>
      </c>
      <c r="L170" s="30"/>
    </row>
    <row r="171" spans="1:12" s="17" customFormat="1" x14ac:dyDescent="0.25">
      <c r="A171" s="96"/>
      <c r="B171" s="95"/>
      <c r="C171" s="88"/>
      <c r="D171" s="88"/>
      <c r="E171" s="89"/>
      <c r="F171" s="91"/>
      <c r="G171" s="91"/>
      <c r="H171" s="47">
        <f>6710-6300+90</f>
        <v>500</v>
      </c>
      <c r="I171" s="50" t="s">
        <v>168</v>
      </c>
      <c r="L171" s="30"/>
    </row>
    <row r="172" spans="1:12" s="17" customFormat="1" ht="47.25" x14ac:dyDescent="0.25">
      <c r="A172" s="96"/>
      <c r="B172" s="95"/>
      <c r="C172" s="88"/>
      <c r="D172" s="88"/>
      <c r="E172" s="89"/>
      <c r="F172" s="85"/>
      <c r="G172" s="85"/>
      <c r="H172" s="31">
        <v>3257.9</v>
      </c>
      <c r="I172" s="59" t="s">
        <v>169</v>
      </c>
      <c r="L172" s="30"/>
    </row>
    <row r="173" spans="1:12" s="23" customFormat="1" ht="14.25" customHeight="1" x14ac:dyDescent="0.25">
      <c r="A173" s="60"/>
      <c r="B173" s="61" t="s">
        <v>170</v>
      </c>
      <c r="C173" s="27">
        <f t="shared" ref="C173:H173" si="3">SUM(C6+C27+C31+C57+C75+C81+C118+C124+C160)</f>
        <v>5417259.1000000006</v>
      </c>
      <c r="D173" s="27">
        <f t="shared" si="3"/>
        <v>5626008.7999999998</v>
      </c>
      <c r="E173" s="27">
        <f t="shared" si="3"/>
        <v>208749.69999999995</v>
      </c>
      <c r="F173" s="27">
        <f t="shared" si="3"/>
        <v>-4836.5999999999985</v>
      </c>
      <c r="G173" s="27">
        <f t="shared" si="3"/>
        <v>60667.9</v>
      </c>
      <c r="H173" s="28">
        <f t="shared" si="3"/>
        <v>208749.7</v>
      </c>
      <c r="I173" s="62"/>
      <c r="L173" s="30"/>
    </row>
    <row r="174" spans="1:12" s="23" customFormat="1" x14ac:dyDescent="0.25">
      <c r="A174" s="63"/>
      <c r="B174" s="64"/>
      <c r="C174" s="4"/>
      <c r="D174" s="65"/>
      <c r="E174" s="3"/>
      <c r="F174" s="5"/>
      <c r="G174" s="5"/>
      <c r="H174" s="6"/>
      <c r="I174" s="66"/>
    </row>
    <row r="175" spans="1:12" s="23" customFormat="1" x14ac:dyDescent="0.25">
      <c r="A175" s="63"/>
      <c r="B175" s="64"/>
      <c r="C175" s="4"/>
      <c r="D175" s="4"/>
      <c r="E175" s="4"/>
      <c r="F175" s="67"/>
      <c r="G175" s="67"/>
      <c r="H175" s="68"/>
      <c r="I175" s="66"/>
    </row>
    <row r="176" spans="1:12" s="23" customFormat="1" x14ac:dyDescent="0.25">
      <c r="A176" s="63"/>
      <c r="B176" s="64"/>
      <c r="C176" s="4"/>
      <c r="D176" s="4"/>
      <c r="E176" s="4"/>
      <c r="F176" s="67"/>
      <c r="G176" s="67"/>
      <c r="H176" s="68"/>
      <c r="I176" s="66"/>
    </row>
    <row r="177" spans="1:9" s="23" customFormat="1" x14ac:dyDescent="0.25">
      <c r="A177" s="63"/>
      <c r="B177" s="64"/>
      <c r="C177" s="4"/>
      <c r="D177" s="4"/>
      <c r="E177" s="4"/>
      <c r="F177" s="67"/>
      <c r="G177" s="67"/>
      <c r="H177" s="68"/>
      <c r="I177" s="66"/>
    </row>
    <row r="178" spans="1:9" s="23" customFormat="1" x14ac:dyDescent="0.25">
      <c r="A178" s="63"/>
      <c r="B178" s="64"/>
      <c r="C178" s="4"/>
      <c r="D178" s="4"/>
      <c r="E178" s="4"/>
      <c r="F178" s="67"/>
      <c r="G178" s="67"/>
      <c r="H178" s="68"/>
      <c r="I178" s="66"/>
    </row>
    <row r="179" spans="1:9" s="23" customFormat="1" x14ac:dyDescent="0.25">
      <c r="A179" s="63"/>
      <c r="B179" s="64"/>
      <c r="C179" s="4"/>
      <c r="D179" s="4"/>
      <c r="E179" s="4"/>
      <c r="F179" s="67"/>
      <c r="G179" s="67"/>
      <c r="H179" s="68"/>
      <c r="I179" s="66"/>
    </row>
    <row r="180" spans="1:9" s="23" customFormat="1" x14ac:dyDescent="0.25">
      <c r="A180" s="63"/>
      <c r="B180" s="64"/>
      <c r="C180" s="4"/>
      <c r="D180" s="4"/>
      <c r="E180" s="4"/>
      <c r="F180" s="67"/>
      <c r="G180" s="67"/>
      <c r="H180" s="68"/>
      <c r="I180" s="66"/>
    </row>
    <row r="181" spans="1:9" s="23" customFormat="1" x14ac:dyDescent="0.25">
      <c r="A181" s="63"/>
      <c r="B181" s="64"/>
      <c r="C181" s="4"/>
      <c r="D181" s="4"/>
      <c r="E181" s="4"/>
      <c r="F181" s="67"/>
      <c r="G181" s="67"/>
      <c r="H181" s="68"/>
      <c r="I181" s="66"/>
    </row>
    <row r="182" spans="1:9" s="23" customFormat="1" x14ac:dyDescent="0.25">
      <c r="A182" s="63"/>
      <c r="B182" s="64"/>
      <c r="C182" s="4"/>
      <c r="D182" s="4"/>
      <c r="E182" s="4"/>
      <c r="F182" s="67"/>
      <c r="G182" s="67"/>
      <c r="H182" s="68"/>
      <c r="I182" s="66"/>
    </row>
    <row r="183" spans="1:9" s="23" customFormat="1" x14ac:dyDescent="0.25">
      <c r="A183" s="63"/>
      <c r="B183" s="64"/>
      <c r="C183" s="4"/>
      <c r="D183" s="4"/>
      <c r="E183" s="4"/>
      <c r="F183" s="67"/>
      <c r="G183" s="67"/>
      <c r="H183" s="68"/>
      <c r="I183" s="66"/>
    </row>
    <row r="184" spans="1:9" s="23" customFormat="1" x14ac:dyDescent="0.25">
      <c r="A184" s="63"/>
      <c r="B184" s="64"/>
      <c r="C184" s="4"/>
      <c r="D184" s="4"/>
      <c r="E184" s="4"/>
      <c r="F184" s="67"/>
      <c r="G184" s="67"/>
      <c r="H184" s="68"/>
      <c r="I184" s="66"/>
    </row>
    <row r="185" spans="1:9" s="23" customFormat="1" x14ac:dyDescent="0.25">
      <c r="A185" s="63"/>
      <c r="B185" s="64"/>
      <c r="C185" s="4"/>
      <c r="D185" s="4"/>
      <c r="E185" s="4"/>
      <c r="F185" s="67"/>
      <c r="G185" s="67"/>
      <c r="H185" s="68"/>
      <c r="I185" s="66"/>
    </row>
    <row r="186" spans="1:9" s="23" customFormat="1" x14ac:dyDescent="0.25">
      <c r="A186" s="63"/>
      <c r="B186" s="64"/>
      <c r="C186" s="4"/>
      <c r="D186" s="4"/>
      <c r="E186" s="4"/>
      <c r="F186" s="67"/>
      <c r="G186" s="67"/>
      <c r="H186" s="68"/>
      <c r="I186" s="66"/>
    </row>
    <row r="187" spans="1:9" s="23" customFormat="1" x14ac:dyDescent="0.25">
      <c r="A187" s="63"/>
      <c r="B187" s="64"/>
      <c r="C187" s="4"/>
      <c r="D187" s="4"/>
      <c r="E187" s="4"/>
      <c r="F187" s="67"/>
      <c r="G187" s="67"/>
      <c r="H187" s="68"/>
      <c r="I187" s="66"/>
    </row>
    <row r="188" spans="1:9" s="23" customFormat="1" x14ac:dyDescent="0.25">
      <c r="A188" s="63"/>
      <c r="B188" s="64"/>
      <c r="C188" s="4"/>
      <c r="D188" s="4"/>
      <c r="E188" s="4"/>
      <c r="F188" s="67"/>
      <c r="G188" s="67"/>
      <c r="H188" s="68"/>
      <c r="I188" s="66"/>
    </row>
    <row r="189" spans="1:9" s="23" customFormat="1" x14ac:dyDescent="0.25">
      <c r="A189" s="63"/>
      <c r="B189" s="64"/>
      <c r="C189" s="4"/>
      <c r="D189" s="4"/>
      <c r="E189" s="4"/>
      <c r="F189" s="67"/>
      <c r="G189" s="67"/>
      <c r="H189" s="68"/>
      <c r="I189" s="66"/>
    </row>
    <row r="190" spans="1:9" s="23" customFormat="1" x14ac:dyDescent="0.25">
      <c r="A190" s="63"/>
      <c r="B190" s="64"/>
      <c r="C190" s="4"/>
      <c r="D190" s="4"/>
      <c r="E190" s="4"/>
      <c r="F190" s="67"/>
      <c r="G190" s="67"/>
      <c r="H190" s="68"/>
      <c r="I190" s="66"/>
    </row>
    <row r="191" spans="1:9" s="23" customFormat="1" x14ac:dyDescent="0.25">
      <c r="A191" s="63"/>
      <c r="B191" s="64"/>
      <c r="C191" s="4"/>
      <c r="D191" s="4"/>
      <c r="E191" s="4"/>
      <c r="F191" s="67"/>
      <c r="G191" s="67"/>
      <c r="H191" s="68"/>
      <c r="I191" s="66"/>
    </row>
    <row r="192" spans="1:9" s="23" customFormat="1" x14ac:dyDescent="0.25">
      <c r="A192" s="63"/>
      <c r="B192" s="64"/>
      <c r="C192" s="4"/>
      <c r="D192" s="4"/>
      <c r="E192" s="4"/>
      <c r="F192" s="67"/>
      <c r="G192" s="67"/>
      <c r="H192" s="68"/>
      <c r="I192" s="66"/>
    </row>
    <row r="193" spans="1:9" s="23" customFormat="1" x14ac:dyDescent="0.25">
      <c r="A193" s="63"/>
      <c r="B193" s="64"/>
      <c r="C193" s="4"/>
      <c r="D193" s="4"/>
      <c r="E193" s="4"/>
      <c r="F193" s="67"/>
      <c r="G193" s="67"/>
      <c r="H193" s="68"/>
      <c r="I193" s="66"/>
    </row>
    <row r="194" spans="1:9" s="23" customFormat="1" x14ac:dyDescent="0.25">
      <c r="A194" s="63"/>
      <c r="B194" s="64"/>
      <c r="C194" s="4"/>
      <c r="D194" s="4"/>
      <c r="E194" s="4"/>
      <c r="F194" s="67"/>
      <c r="G194" s="67"/>
      <c r="H194" s="68"/>
      <c r="I194" s="66"/>
    </row>
    <row r="195" spans="1:9" s="23" customFormat="1" x14ac:dyDescent="0.25">
      <c r="A195" s="63"/>
      <c r="B195" s="64"/>
      <c r="C195" s="4"/>
      <c r="D195" s="4"/>
      <c r="E195" s="4"/>
      <c r="F195" s="67"/>
      <c r="G195" s="67"/>
      <c r="H195" s="68"/>
      <c r="I195" s="66"/>
    </row>
    <row r="196" spans="1:9" s="23" customFormat="1" x14ac:dyDescent="0.25">
      <c r="A196" s="63"/>
      <c r="B196" s="64"/>
      <c r="C196" s="4"/>
      <c r="D196" s="4"/>
      <c r="E196" s="4"/>
      <c r="F196" s="67"/>
      <c r="G196" s="67"/>
      <c r="H196" s="68"/>
      <c r="I196" s="66"/>
    </row>
    <row r="197" spans="1:9" s="23" customFormat="1" x14ac:dyDescent="0.25">
      <c r="A197" s="63"/>
      <c r="B197" s="64"/>
      <c r="C197" s="4"/>
      <c r="D197" s="4"/>
      <c r="E197" s="4"/>
      <c r="F197" s="67"/>
      <c r="G197" s="67"/>
      <c r="H197" s="68"/>
      <c r="I197" s="66"/>
    </row>
    <row r="198" spans="1:9" s="23" customFormat="1" x14ac:dyDescent="0.25">
      <c r="A198" s="63"/>
      <c r="B198" s="64"/>
      <c r="C198" s="4"/>
      <c r="D198" s="4"/>
      <c r="E198" s="4"/>
      <c r="F198" s="67"/>
      <c r="G198" s="67"/>
      <c r="H198" s="68"/>
      <c r="I198" s="66"/>
    </row>
    <row r="199" spans="1:9" s="23" customFormat="1" x14ac:dyDescent="0.25">
      <c r="A199" s="63"/>
      <c r="B199" s="64"/>
      <c r="C199" s="4"/>
      <c r="D199" s="4"/>
      <c r="E199" s="4"/>
      <c r="F199" s="67"/>
      <c r="G199" s="67"/>
      <c r="H199" s="68"/>
      <c r="I199" s="66"/>
    </row>
    <row r="200" spans="1:9" s="23" customFormat="1" x14ac:dyDescent="0.25">
      <c r="A200" s="63"/>
      <c r="B200" s="64"/>
      <c r="C200" s="4"/>
      <c r="D200" s="4"/>
      <c r="E200" s="4"/>
      <c r="F200" s="67"/>
      <c r="G200" s="67"/>
      <c r="H200" s="68"/>
      <c r="I200" s="66"/>
    </row>
    <row r="201" spans="1:9" s="23" customFormat="1" x14ac:dyDescent="0.25">
      <c r="A201" s="63"/>
      <c r="B201" s="64"/>
      <c r="C201" s="4"/>
      <c r="D201" s="4"/>
      <c r="E201" s="4"/>
      <c r="F201" s="67"/>
      <c r="G201" s="67"/>
      <c r="H201" s="68"/>
      <c r="I201" s="66"/>
    </row>
    <row r="202" spans="1:9" s="23" customFormat="1" x14ac:dyDescent="0.25">
      <c r="A202" s="63"/>
      <c r="B202" s="64"/>
      <c r="C202" s="4"/>
      <c r="D202" s="4"/>
      <c r="E202" s="4"/>
      <c r="F202" s="67"/>
      <c r="G202" s="67"/>
      <c r="H202" s="68"/>
      <c r="I202" s="66"/>
    </row>
    <row r="203" spans="1:9" s="23" customFormat="1" x14ac:dyDescent="0.25">
      <c r="A203" s="63"/>
      <c r="B203" s="64"/>
      <c r="C203" s="4"/>
      <c r="D203" s="4"/>
      <c r="E203" s="4"/>
      <c r="F203" s="67"/>
      <c r="G203" s="67"/>
      <c r="H203" s="68"/>
      <c r="I203" s="66"/>
    </row>
    <row r="204" spans="1:9" s="23" customFormat="1" x14ac:dyDescent="0.25">
      <c r="A204" s="63"/>
      <c r="B204" s="64"/>
      <c r="C204" s="4"/>
      <c r="D204" s="4"/>
      <c r="E204" s="4"/>
      <c r="F204" s="67"/>
      <c r="G204" s="67"/>
      <c r="H204" s="68"/>
      <c r="I204" s="66"/>
    </row>
    <row r="205" spans="1:9" s="23" customFormat="1" x14ac:dyDescent="0.25">
      <c r="A205" s="63"/>
      <c r="B205" s="64"/>
      <c r="C205" s="4"/>
      <c r="D205" s="4"/>
      <c r="E205" s="4"/>
      <c r="F205" s="67"/>
      <c r="G205" s="67"/>
      <c r="H205" s="68"/>
      <c r="I205" s="66"/>
    </row>
    <row r="206" spans="1:9" s="23" customFormat="1" x14ac:dyDescent="0.25">
      <c r="A206" s="63"/>
      <c r="B206" s="64"/>
      <c r="C206" s="4"/>
      <c r="D206" s="4"/>
      <c r="E206" s="4"/>
      <c r="F206" s="67"/>
      <c r="G206" s="67"/>
      <c r="H206" s="68"/>
      <c r="I206" s="66"/>
    </row>
    <row r="207" spans="1:9" s="23" customFormat="1" x14ac:dyDescent="0.25">
      <c r="A207" s="63"/>
      <c r="B207" s="64"/>
      <c r="C207" s="4"/>
      <c r="D207" s="4"/>
      <c r="E207" s="4"/>
      <c r="F207" s="67"/>
      <c r="G207" s="67"/>
      <c r="H207" s="68"/>
      <c r="I207" s="66"/>
    </row>
    <row r="208" spans="1:9" s="23" customFormat="1" x14ac:dyDescent="0.25">
      <c r="A208" s="63"/>
      <c r="B208" s="64"/>
      <c r="C208" s="4"/>
      <c r="D208" s="4"/>
      <c r="E208" s="4"/>
      <c r="F208" s="67"/>
      <c r="G208" s="67"/>
      <c r="H208" s="68"/>
      <c r="I208" s="66"/>
    </row>
    <row r="209" spans="1:9" s="23" customFormat="1" x14ac:dyDescent="0.25">
      <c r="A209" s="63"/>
      <c r="B209" s="64"/>
      <c r="C209" s="4"/>
      <c r="D209" s="4"/>
      <c r="E209" s="4"/>
      <c r="F209" s="67"/>
      <c r="G209" s="67"/>
      <c r="H209" s="68"/>
      <c r="I209" s="66"/>
    </row>
    <row r="210" spans="1:9" s="23" customFormat="1" x14ac:dyDescent="0.25">
      <c r="A210" s="63"/>
      <c r="B210" s="64"/>
      <c r="C210" s="4"/>
      <c r="D210" s="4"/>
      <c r="E210" s="4"/>
      <c r="F210" s="67"/>
      <c r="G210" s="67"/>
      <c r="H210" s="68"/>
      <c r="I210" s="66"/>
    </row>
    <row r="211" spans="1:9" s="23" customFormat="1" x14ac:dyDescent="0.25">
      <c r="A211" s="63"/>
      <c r="B211" s="64"/>
      <c r="C211" s="4"/>
      <c r="D211" s="4"/>
      <c r="E211" s="4"/>
      <c r="F211" s="67"/>
      <c r="G211" s="67"/>
      <c r="H211" s="68"/>
      <c r="I211" s="66"/>
    </row>
    <row r="212" spans="1:9" s="23" customFormat="1" x14ac:dyDescent="0.25">
      <c r="A212" s="63"/>
      <c r="B212" s="64"/>
      <c r="C212" s="4"/>
      <c r="D212" s="4"/>
      <c r="E212" s="4"/>
      <c r="F212" s="67"/>
      <c r="G212" s="67"/>
      <c r="H212" s="68"/>
      <c r="I212" s="66"/>
    </row>
    <row r="213" spans="1:9" s="23" customFormat="1" x14ac:dyDescent="0.25">
      <c r="A213" s="63"/>
      <c r="B213" s="64"/>
      <c r="C213" s="4"/>
      <c r="D213" s="4"/>
      <c r="E213" s="4"/>
      <c r="F213" s="67"/>
      <c r="G213" s="67"/>
      <c r="H213" s="68"/>
      <c r="I213" s="66"/>
    </row>
    <row r="214" spans="1:9" s="23" customFormat="1" x14ac:dyDescent="0.25">
      <c r="A214" s="63"/>
      <c r="B214" s="64"/>
      <c r="C214" s="4"/>
      <c r="D214" s="4"/>
      <c r="E214" s="4"/>
      <c r="F214" s="67"/>
      <c r="G214" s="67"/>
      <c r="H214" s="68"/>
      <c r="I214" s="66"/>
    </row>
    <row r="215" spans="1:9" s="23" customFormat="1" x14ac:dyDescent="0.25">
      <c r="A215" s="63"/>
      <c r="B215" s="64"/>
      <c r="C215" s="4"/>
      <c r="D215" s="4"/>
      <c r="E215" s="4"/>
      <c r="F215" s="67"/>
      <c r="G215" s="67"/>
      <c r="H215" s="68"/>
      <c r="I215" s="66"/>
    </row>
    <row r="216" spans="1:9" s="23" customFormat="1" x14ac:dyDescent="0.25">
      <c r="A216" s="63"/>
      <c r="B216" s="64"/>
      <c r="C216" s="4"/>
      <c r="D216" s="4"/>
      <c r="E216" s="4"/>
      <c r="F216" s="67"/>
      <c r="G216" s="67"/>
      <c r="H216" s="68"/>
      <c r="I216" s="66"/>
    </row>
    <row r="217" spans="1:9" s="23" customFormat="1" x14ac:dyDescent="0.25">
      <c r="A217" s="63"/>
      <c r="B217" s="64"/>
      <c r="C217" s="4"/>
      <c r="D217" s="4"/>
      <c r="E217" s="4"/>
      <c r="F217" s="67"/>
      <c r="G217" s="67"/>
      <c r="H217" s="68"/>
      <c r="I217" s="66"/>
    </row>
    <row r="218" spans="1:9" s="23" customFormat="1" x14ac:dyDescent="0.25">
      <c r="A218" s="63"/>
      <c r="B218" s="64"/>
      <c r="C218" s="4"/>
      <c r="D218" s="4"/>
      <c r="E218" s="4"/>
      <c r="F218" s="67"/>
      <c r="G218" s="67"/>
      <c r="H218" s="68"/>
      <c r="I218" s="66"/>
    </row>
    <row r="219" spans="1:9" s="23" customFormat="1" x14ac:dyDescent="0.25">
      <c r="A219" s="63"/>
      <c r="B219" s="64"/>
      <c r="C219" s="4"/>
      <c r="D219" s="4"/>
      <c r="E219" s="4"/>
      <c r="F219" s="67"/>
      <c r="G219" s="67"/>
      <c r="H219" s="68"/>
      <c r="I219" s="66"/>
    </row>
    <row r="220" spans="1:9" s="23" customFormat="1" x14ac:dyDescent="0.25">
      <c r="A220" s="63"/>
      <c r="B220" s="64"/>
      <c r="C220" s="4"/>
      <c r="D220" s="4"/>
      <c r="E220" s="4"/>
      <c r="F220" s="67"/>
      <c r="G220" s="67"/>
      <c r="H220" s="68"/>
      <c r="I220" s="66"/>
    </row>
    <row r="221" spans="1:9" s="23" customFormat="1" x14ac:dyDescent="0.25">
      <c r="A221" s="63"/>
      <c r="B221" s="64"/>
      <c r="C221" s="4"/>
      <c r="D221" s="4"/>
      <c r="E221" s="4"/>
      <c r="F221" s="67"/>
      <c r="G221" s="67"/>
      <c r="H221" s="68"/>
      <c r="I221" s="66"/>
    </row>
    <row r="222" spans="1:9" s="23" customFormat="1" x14ac:dyDescent="0.25">
      <c r="A222" s="63"/>
      <c r="B222" s="64"/>
      <c r="C222" s="4"/>
      <c r="D222" s="4"/>
      <c r="E222" s="4"/>
      <c r="F222" s="67"/>
      <c r="G222" s="67"/>
      <c r="H222" s="68"/>
      <c r="I222" s="66"/>
    </row>
    <row r="223" spans="1:9" s="23" customFormat="1" x14ac:dyDescent="0.25">
      <c r="A223" s="63"/>
      <c r="B223" s="64"/>
      <c r="C223" s="4"/>
      <c r="D223" s="4"/>
      <c r="E223" s="4"/>
      <c r="F223" s="67"/>
      <c r="G223" s="67"/>
      <c r="H223" s="68"/>
      <c r="I223" s="66"/>
    </row>
    <row r="224" spans="1:9" s="23" customFormat="1" x14ac:dyDescent="0.25">
      <c r="A224" s="63"/>
      <c r="B224" s="64"/>
      <c r="C224" s="4"/>
      <c r="D224" s="4"/>
      <c r="E224" s="4"/>
      <c r="F224" s="67"/>
      <c r="G224" s="67"/>
      <c r="H224" s="68"/>
      <c r="I224" s="66"/>
    </row>
    <row r="225" spans="1:9" s="23" customFormat="1" x14ac:dyDescent="0.25">
      <c r="A225" s="63"/>
      <c r="B225" s="64"/>
      <c r="C225" s="4"/>
      <c r="D225" s="4"/>
      <c r="E225" s="4"/>
      <c r="F225" s="67"/>
      <c r="G225" s="67"/>
      <c r="H225" s="68"/>
      <c r="I225" s="66"/>
    </row>
    <row r="226" spans="1:9" s="23" customFormat="1" x14ac:dyDescent="0.25">
      <c r="A226" s="63"/>
      <c r="B226" s="64"/>
      <c r="C226" s="4"/>
      <c r="D226" s="4"/>
      <c r="E226" s="4"/>
      <c r="F226" s="67"/>
      <c r="G226" s="67"/>
      <c r="H226" s="68"/>
      <c r="I226" s="66"/>
    </row>
    <row r="227" spans="1:9" s="23" customFormat="1" x14ac:dyDescent="0.25">
      <c r="A227" s="63"/>
      <c r="B227" s="64"/>
      <c r="C227" s="4"/>
      <c r="D227" s="4"/>
      <c r="E227" s="4"/>
      <c r="F227" s="67"/>
      <c r="G227" s="67"/>
      <c r="H227" s="68"/>
      <c r="I227" s="66"/>
    </row>
    <row r="228" spans="1:9" s="23" customFormat="1" x14ac:dyDescent="0.25">
      <c r="A228" s="63"/>
      <c r="B228" s="64"/>
      <c r="C228" s="4"/>
      <c r="D228" s="4"/>
      <c r="E228" s="4"/>
      <c r="F228" s="67"/>
      <c r="G228" s="67"/>
      <c r="H228" s="68"/>
      <c r="I228" s="66"/>
    </row>
    <row r="229" spans="1:9" s="23" customFormat="1" x14ac:dyDescent="0.25">
      <c r="A229" s="63"/>
      <c r="B229" s="64"/>
      <c r="C229" s="4"/>
      <c r="D229" s="4"/>
      <c r="E229" s="4"/>
      <c r="F229" s="67"/>
      <c r="G229" s="67"/>
      <c r="H229" s="68"/>
      <c r="I229" s="66"/>
    </row>
    <row r="230" spans="1:9" s="23" customFormat="1" x14ac:dyDescent="0.25">
      <c r="A230" s="63"/>
      <c r="B230" s="64"/>
      <c r="C230" s="4"/>
      <c r="D230" s="4"/>
      <c r="E230" s="4"/>
      <c r="F230" s="67"/>
      <c r="G230" s="67"/>
      <c r="H230" s="68"/>
      <c r="I230" s="66"/>
    </row>
    <row r="231" spans="1:9" s="23" customFormat="1" x14ac:dyDescent="0.25">
      <c r="A231" s="63"/>
      <c r="B231" s="64"/>
      <c r="C231" s="4"/>
      <c r="D231" s="4"/>
      <c r="E231" s="4"/>
      <c r="F231" s="67"/>
      <c r="G231" s="67"/>
      <c r="H231" s="68"/>
      <c r="I231" s="66"/>
    </row>
    <row r="232" spans="1:9" s="23" customFormat="1" x14ac:dyDescent="0.25">
      <c r="A232" s="63"/>
      <c r="B232" s="64"/>
      <c r="C232" s="4"/>
      <c r="D232" s="4"/>
      <c r="E232" s="4"/>
      <c r="F232" s="67"/>
      <c r="G232" s="67"/>
      <c r="H232" s="68"/>
      <c r="I232" s="66"/>
    </row>
    <row r="233" spans="1:9" s="23" customFormat="1" x14ac:dyDescent="0.25">
      <c r="A233" s="63"/>
      <c r="B233" s="64"/>
      <c r="C233" s="4"/>
      <c r="D233" s="4"/>
      <c r="E233" s="4"/>
      <c r="F233" s="67"/>
      <c r="G233" s="67"/>
      <c r="H233" s="68"/>
      <c r="I233" s="66"/>
    </row>
    <row r="234" spans="1:9" s="23" customFormat="1" x14ac:dyDescent="0.25">
      <c r="A234" s="63"/>
      <c r="B234" s="64"/>
      <c r="C234" s="4"/>
      <c r="D234" s="4"/>
      <c r="E234" s="4"/>
      <c r="F234" s="67"/>
      <c r="G234" s="67"/>
      <c r="H234" s="68"/>
      <c r="I234" s="66"/>
    </row>
    <row r="235" spans="1:9" s="23" customFormat="1" x14ac:dyDescent="0.25">
      <c r="A235" s="63"/>
      <c r="B235" s="64"/>
      <c r="C235" s="4"/>
      <c r="D235" s="4"/>
      <c r="E235" s="4"/>
      <c r="F235" s="67"/>
      <c r="G235" s="67"/>
      <c r="H235" s="68"/>
      <c r="I235" s="66"/>
    </row>
    <row r="236" spans="1:9" s="23" customFormat="1" x14ac:dyDescent="0.25">
      <c r="A236" s="63"/>
      <c r="B236" s="64"/>
      <c r="C236" s="4"/>
      <c r="D236" s="4"/>
      <c r="E236" s="4"/>
      <c r="F236" s="67"/>
      <c r="G236" s="67"/>
      <c r="H236" s="68"/>
      <c r="I236" s="66"/>
    </row>
    <row r="237" spans="1:9" s="23" customFormat="1" x14ac:dyDescent="0.25">
      <c r="A237" s="63"/>
      <c r="B237" s="64"/>
      <c r="C237" s="4"/>
      <c r="D237" s="4"/>
      <c r="E237" s="4"/>
      <c r="F237" s="67"/>
      <c r="G237" s="67"/>
      <c r="H237" s="68"/>
      <c r="I237" s="66"/>
    </row>
    <row r="238" spans="1:9" s="23" customFormat="1" x14ac:dyDescent="0.25">
      <c r="A238" s="63"/>
      <c r="B238" s="64"/>
      <c r="C238" s="4"/>
      <c r="D238" s="4"/>
      <c r="E238" s="4"/>
      <c r="F238" s="67"/>
      <c r="G238" s="67"/>
      <c r="H238" s="68"/>
      <c r="I238" s="66"/>
    </row>
    <row r="239" spans="1:9" s="23" customFormat="1" x14ac:dyDescent="0.25">
      <c r="A239" s="63"/>
      <c r="B239" s="64"/>
      <c r="C239" s="4"/>
      <c r="D239" s="4"/>
      <c r="E239" s="4"/>
      <c r="F239" s="67"/>
      <c r="G239" s="67"/>
      <c r="H239" s="68"/>
      <c r="I239" s="66"/>
    </row>
    <row r="240" spans="1:9" s="23" customFormat="1" x14ac:dyDescent="0.25">
      <c r="A240" s="63"/>
      <c r="B240" s="64"/>
      <c r="C240" s="4"/>
      <c r="D240" s="4"/>
      <c r="E240" s="4"/>
      <c r="F240" s="67"/>
      <c r="G240" s="67"/>
      <c r="H240" s="68"/>
      <c r="I240" s="66"/>
    </row>
    <row r="251" spans="1:9" s="73" customFormat="1" x14ac:dyDescent="0.25">
      <c r="A251" s="8"/>
      <c r="B251" s="69"/>
      <c r="C251" s="8"/>
      <c r="D251" s="8"/>
      <c r="E251" s="8"/>
      <c r="F251" s="70"/>
      <c r="G251" s="70"/>
      <c r="H251" s="71"/>
      <c r="I251" s="72"/>
    </row>
  </sheetData>
  <mergeCells count="98">
    <mergeCell ref="G28:G30"/>
    <mergeCell ref="A2:I2"/>
    <mergeCell ref="A7:A25"/>
    <mergeCell ref="B7:B22"/>
    <mergeCell ref="C7:C22"/>
    <mergeCell ref="D7:D22"/>
    <mergeCell ref="E7:E22"/>
    <mergeCell ref="F7:F22"/>
    <mergeCell ref="G7:G22"/>
    <mergeCell ref="B28:B30"/>
    <mergeCell ref="C28:C30"/>
    <mergeCell ref="D28:D30"/>
    <mergeCell ref="E28:E30"/>
    <mergeCell ref="F28:F30"/>
    <mergeCell ref="A28:A30"/>
    <mergeCell ref="G32:G56"/>
    <mergeCell ref="A58:A74"/>
    <mergeCell ref="B58:B74"/>
    <mergeCell ref="C58:C74"/>
    <mergeCell ref="D58:D74"/>
    <mergeCell ref="E58:E74"/>
    <mergeCell ref="F58:F74"/>
    <mergeCell ref="G58:G74"/>
    <mergeCell ref="A32:A56"/>
    <mergeCell ref="B32:B56"/>
    <mergeCell ref="C32:C56"/>
    <mergeCell ref="D32:D56"/>
    <mergeCell ref="E32:E56"/>
    <mergeCell ref="F32:F56"/>
    <mergeCell ref="G76:G80"/>
    <mergeCell ref="A82:A117"/>
    <mergeCell ref="B82:B104"/>
    <mergeCell ref="C82:C104"/>
    <mergeCell ref="D82:D104"/>
    <mergeCell ref="E82:E104"/>
    <mergeCell ref="F82:F104"/>
    <mergeCell ref="G82:G104"/>
    <mergeCell ref="B105:B111"/>
    <mergeCell ref="C105:C111"/>
    <mergeCell ref="A76:A80"/>
    <mergeCell ref="B76:B80"/>
    <mergeCell ref="C76:C80"/>
    <mergeCell ref="D76:D80"/>
    <mergeCell ref="E76:E80"/>
    <mergeCell ref="F76:F80"/>
    <mergeCell ref="B116:B117"/>
    <mergeCell ref="C116:C117"/>
    <mergeCell ref="D116:D117"/>
    <mergeCell ref="E116:E117"/>
    <mergeCell ref="F116:F117"/>
    <mergeCell ref="D105:D111"/>
    <mergeCell ref="E105:E111"/>
    <mergeCell ref="F105:F111"/>
    <mergeCell ref="G105:G111"/>
    <mergeCell ref="G116:G117"/>
    <mergeCell ref="G112:G113"/>
    <mergeCell ref="G119:G123"/>
    <mergeCell ref="A125:A159"/>
    <mergeCell ref="B125:B150"/>
    <mergeCell ref="C125:C150"/>
    <mergeCell ref="D125:D150"/>
    <mergeCell ref="E125:E150"/>
    <mergeCell ref="F125:F150"/>
    <mergeCell ref="G125:G150"/>
    <mergeCell ref="B151:B154"/>
    <mergeCell ref="C151:C154"/>
    <mergeCell ref="A119:A123"/>
    <mergeCell ref="B119:B123"/>
    <mergeCell ref="C119:C123"/>
    <mergeCell ref="D119:D123"/>
    <mergeCell ref="E119:E123"/>
    <mergeCell ref="F119:F123"/>
    <mergeCell ref="A161:A172"/>
    <mergeCell ref="B161:B163"/>
    <mergeCell ref="C161:C163"/>
    <mergeCell ref="D161:D163"/>
    <mergeCell ref="E161:E163"/>
    <mergeCell ref="G161:G163"/>
    <mergeCell ref="B165:B172"/>
    <mergeCell ref="C165:C172"/>
    <mergeCell ref="D165:D172"/>
    <mergeCell ref="E165:E172"/>
    <mergeCell ref="F165:F172"/>
    <mergeCell ref="G165:G172"/>
    <mergeCell ref="F161:F163"/>
    <mergeCell ref="D151:D154"/>
    <mergeCell ref="E151:E154"/>
    <mergeCell ref="F151:F154"/>
    <mergeCell ref="G151:G154"/>
    <mergeCell ref="B155:B156"/>
    <mergeCell ref="C155:C156"/>
    <mergeCell ref="D155:D156"/>
    <mergeCell ref="E155:E156"/>
    <mergeCell ref="B112:B113"/>
    <mergeCell ref="C112:C113"/>
    <mergeCell ref="D112:D113"/>
    <mergeCell ref="E112:E113"/>
    <mergeCell ref="F112:F113"/>
  </mergeCells>
  <pageMargins left="0.51181102362204722" right="0.31496062992125984" top="0.15748031496062992" bottom="0" header="0.31496062992125984" footer="0.31496062992125984"/>
  <pageSetup paperSize="9"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9"/>
  <sheetViews>
    <sheetView zoomScale="80" zoomScaleNormal="8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7" sqref="B7:B19"/>
    </sheetView>
  </sheetViews>
  <sheetFormatPr defaultColWidth="14.42578125" defaultRowHeight="15.75" outlineLevelCol="1" x14ac:dyDescent="0.25"/>
  <cols>
    <col min="1" max="1" width="5.5703125" style="1" customWidth="1"/>
    <col min="2" max="2" width="49.42578125" style="2" bestFit="1" customWidth="1"/>
    <col min="3" max="3" width="14" style="3" customWidth="1"/>
    <col min="4" max="4" width="15.140625" style="4" customWidth="1"/>
    <col min="5" max="5" width="11.42578125" style="3" customWidth="1"/>
    <col min="6" max="6" width="12.5703125" style="5" customWidth="1" outlineLevel="1"/>
    <col min="7" max="7" width="12.42578125" style="5" customWidth="1" outlineLevel="1"/>
    <col min="8" max="8" width="12.5703125" style="6" customWidth="1" outlineLevel="1"/>
    <col min="9" max="9" width="99.42578125" style="72" customWidth="1"/>
    <col min="10" max="10" width="10.42578125" style="8" customWidth="1"/>
    <col min="11" max="223" width="9.140625" style="8" customWidth="1"/>
    <col min="224" max="224" width="60.42578125" style="8" customWidth="1"/>
    <col min="225" max="225" width="0" style="8" hidden="1" customWidth="1"/>
    <col min="226" max="226" width="14.7109375" style="8" customWidth="1"/>
    <col min="227" max="227" width="14.5703125" style="8" customWidth="1"/>
    <col min="228" max="228" width="0" style="8" hidden="1" customWidth="1"/>
    <col min="229" max="229" width="14.5703125" style="8" customWidth="1"/>
    <col min="230" max="230" width="15" style="8" customWidth="1"/>
    <col min="231" max="232" width="14.5703125" style="8" customWidth="1"/>
    <col min="233" max="16384" width="14.42578125" style="8"/>
  </cols>
  <sheetData>
    <row r="1" spans="1:12" x14ac:dyDescent="0.25">
      <c r="I1" s="7" t="s">
        <v>0</v>
      </c>
    </row>
    <row r="2" spans="1:12" ht="34.5" customHeight="1" x14ac:dyDescent="0.25">
      <c r="A2" s="118" t="s">
        <v>171</v>
      </c>
      <c r="B2" s="118"/>
      <c r="C2" s="118"/>
      <c r="D2" s="118"/>
      <c r="E2" s="118"/>
      <c r="F2" s="118"/>
      <c r="G2" s="118"/>
      <c r="H2" s="118"/>
      <c r="I2" s="119"/>
    </row>
    <row r="3" spans="1:12" x14ac:dyDescent="0.25">
      <c r="A3" s="9"/>
      <c r="I3" s="10" t="s">
        <v>1</v>
      </c>
    </row>
    <row r="4" spans="1:12" s="17" customFormat="1" ht="47.25" x14ac:dyDescent="0.25">
      <c r="A4" s="11" t="s">
        <v>2</v>
      </c>
      <c r="B4" s="12" t="s">
        <v>3</v>
      </c>
      <c r="C4" s="13" t="s">
        <v>4</v>
      </c>
      <c r="D4" s="13" t="s">
        <v>5</v>
      </c>
      <c r="E4" s="13" t="s">
        <v>6</v>
      </c>
      <c r="F4" s="14" t="s">
        <v>7</v>
      </c>
      <c r="G4" s="14" t="s">
        <v>172</v>
      </c>
      <c r="H4" s="15" t="s">
        <v>8</v>
      </c>
      <c r="I4" s="16" t="s">
        <v>9</v>
      </c>
    </row>
    <row r="5" spans="1:12" s="23" customFormat="1" x14ac:dyDescent="0.25">
      <c r="A5" s="18" t="s">
        <v>10</v>
      </c>
      <c r="B5" s="19">
        <v>2</v>
      </c>
      <c r="C5" s="20">
        <v>3</v>
      </c>
      <c r="D5" s="20">
        <v>4</v>
      </c>
      <c r="E5" s="20">
        <v>5</v>
      </c>
      <c r="F5" s="21"/>
      <c r="G5" s="21"/>
      <c r="H5" s="22"/>
      <c r="I5" s="16">
        <v>6</v>
      </c>
    </row>
    <row r="6" spans="1:12" s="23" customFormat="1" x14ac:dyDescent="0.25">
      <c r="A6" s="24" t="s">
        <v>11</v>
      </c>
      <c r="B6" s="25" t="s">
        <v>12</v>
      </c>
      <c r="C6" s="26">
        <f>SUM(C7:C23)-C23</f>
        <v>319985.3</v>
      </c>
      <c r="D6" s="27">
        <f>SUM(D7:D23)-D23</f>
        <v>315985.60000000003</v>
      </c>
      <c r="E6" s="27">
        <f>D6-C6</f>
        <v>-3999.6999999999534</v>
      </c>
      <c r="F6" s="27">
        <f>SUM(F7:F23)-F23</f>
        <v>-3751.5</v>
      </c>
      <c r="G6" s="27">
        <f>SUM(G7:G23)-G23</f>
        <v>2653.3999999999996</v>
      </c>
      <c r="H6" s="28">
        <f>SUM(H7:H23)</f>
        <v>-3999.7</v>
      </c>
      <c r="I6" s="29"/>
      <c r="J6" s="30"/>
      <c r="L6" s="30"/>
    </row>
    <row r="7" spans="1:12" s="23" customFormat="1" ht="78.75" x14ac:dyDescent="0.25">
      <c r="A7" s="103"/>
      <c r="B7" s="95" t="s">
        <v>13</v>
      </c>
      <c r="C7" s="89">
        <v>249667.9</v>
      </c>
      <c r="D7" s="89">
        <f>246766.3+283.4-2757.9-1017.7+2712.2</f>
        <v>245986.3</v>
      </c>
      <c r="E7" s="88">
        <f>D7-C7</f>
        <v>-3681.6000000000058</v>
      </c>
      <c r="F7" s="99">
        <f>283.4-2757.9-1017.7</f>
        <v>-3492.2</v>
      </c>
      <c r="G7" s="99">
        <v>2712.2</v>
      </c>
      <c r="H7" s="31">
        <v>2050</v>
      </c>
      <c r="I7" s="32" t="s">
        <v>14</v>
      </c>
      <c r="J7" s="30"/>
      <c r="L7" s="30"/>
    </row>
    <row r="8" spans="1:12" s="23" customFormat="1" ht="31.5" x14ac:dyDescent="0.25">
      <c r="A8" s="103"/>
      <c r="B8" s="95"/>
      <c r="C8" s="89"/>
      <c r="D8" s="89"/>
      <c r="E8" s="88"/>
      <c r="F8" s="120"/>
      <c r="G8" s="120"/>
      <c r="H8" s="31">
        <v>283.39999999999998</v>
      </c>
      <c r="I8" s="32" t="s">
        <v>15</v>
      </c>
      <c r="J8" s="30"/>
      <c r="L8" s="30"/>
    </row>
    <row r="9" spans="1:12" s="23" customFormat="1" ht="31.5" x14ac:dyDescent="0.25">
      <c r="A9" s="103"/>
      <c r="B9" s="95"/>
      <c r="C9" s="89"/>
      <c r="D9" s="89"/>
      <c r="E9" s="88"/>
      <c r="F9" s="120"/>
      <c r="G9" s="120"/>
      <c r="H9" s="31">
        <v>2712.2</v>
      </c>
      <c r="I9" s="32" t="s">
        <v>177</v>
      </c>
      <c r="J9" s="30"/>
      <c r="L9" s="30"/>
    </row>
    <row r="10" spans="1:12" s="23" customFormat="1" x14ac:dyDescent="0.25">
      <c r="A10" s="103"/>
      <c r="B10" s="108"/>
      <c r="C10" s="109"/>
      <c r="D10" s="109"/>
      <c r="E10" s="109"/>
      <c r="F10" s="91"/>
      <c r="G10" s="91"/>
      <c r="H10" s="31"/>
      <c r="I10" s="32" t="s">
        <v>16</v>
      </c>
      <c r="J10" s="30"/>
      <c r="L10" s="30"/>
    </row>
    <row r="11" spans="1:12" s="23" customFormat="1" ht="31.5" x14ac:dyDescent="0.25">
      <c r="A11" s="103"/>
      <c r="B11" s="108"/>
      <c r="C11" s="109"/>
      <c r="D11" s="109"/>
      <c r="E11" s="109"/>
      <c r="F11" s="91"/>
      <c r="G11" s="91"/>
      <c r="H11" s="31">
        <v>-329.7</v>
      </c>
      <c r="I11" s="33" t="s">
        <v>17</v>
      </c>
      <c r="L11" s="30"/>
    </row>
    <row r="12" spans="1:12" s="23" customFormat="1" ht="31.5" x14ac:dyDescent="0.25">
      <c r="A12" s="103"/>
      <c r="B12" s="108"/>
      <c r="C12" s="109"/>
      <c r="D12" s="109"/>
      <c r="E12" s="109"/>
      <c r="F12" s="91"/>
      <c r="G12" s="91"/>
      <c r="H12" s="31">
        <v>-188.5</v>
      </c>
      <c r="I12" s="33" t="s">
        <v>18</v>
      </c>
      <c r="L12" s="30"/>
    </row>
    <row r="13" spans="1:12" s="23" customFormat="1" ht="63" x14ac:dyDescent="0.25">
      <c r="A13" s="103"/>
      <c r="B13" s="108"/>
      <c r="C13" s="109"/>
      <c r="D13" s="109"/>
      <c r="E13" s="109"/>
      <c r="F13" s="91"/>
      <c r="G13" s="91"/>
      <c r="H13" s="31">
        <v>-642.9</v>
      </c>
      <c r="I13" s="33" t="s">
        <v>19</v>
      </c>
      <c r="L13" s="30"/>
    </row>
    <row r="14" spans="1:12" s="23" customFormat="1" ht="31.5" x14ac:dyDescent="0.25">
      <c r="A14" s="103"/>
      <c r="B14" s="108"/>
      <c r="C14" s="109"/>
      <c r="D14" s="109"/>
      <c r="E14" s="109"/>
      <c r="F14" s="91"/>
      <c r="G14" s="91"/>
      <c r="H14" s="34">
        <v>-235.1</v>
      </c>
      <c r="I14" s="35" t="s">
        <v>20</v>
      </c>
      <c r="L14" s="30"/>
    </row>
    <row r="15" spans="1:12" s="23" customFormat="1" ht="31.5" x14ac:dyDescent="0.25">
      <c r="A15" s="103"/>
      <c r="B15" s="108"/>
      <c r="C15" s="109"/>
      <c r="D15" s="109"/>
      <c r="E15" s="109"/>
      <c r="F15" s="91"/>
      <c r="G15" s="91"/>
      <c r="H15" s="36">
        <v>-415.1</v>
      </c>
      <c r="I15" s="35" t="s">
        <v>21</v>
      </c>
      <c r="L15" s="30"/>
    </row>
    <row r="16" spans="1:12" s="23" customFormat="1" x14ac:dyDescent="0.25">
      <c r="A16" s="103"/>
      <c r="B16" s="108"/>
      <c r="C16" s="109"/>
      <c r="D16" s="109"/>
      <c r="E16" s="109"/>
      <c r="F16" s="91"/>
      <c r="G16" s="91"/>
      <c r="H16" s="36">
        <v>-1017.7</v>
      </c>
      <c r="I16" s="35" t="s">
        <v>22</v>
      </c>
      <c r="L16" s="30"/>
    </row>
    <row r="17" spans="1:12" s="23" customFormat="1" ht="31.5" x14ac:dyDescent="0.25">
      <c r="A17" s="103"/>
      <c r="B17" s="108"/>
      <c r="C17" s="109"/>
      <c r="D17" s="109"/>
      <c r="E17" s="109"/>
      <c r="F17" s="91"/>
      <c r="G17" s="91"/>
      <c r="H17" s="36">
        <v>-2757.9</v>
      </c>
      <c r="I17" s="33" t="s">
        <v>23</v>
      </c>
      <c r="L17" s="30"/>
    </row>
    <row r="18" spans="1:12" s="23" customFormat="1" ht="63" x14ac:dyDescent="0.25">
      <c r="A18" s="103"/>
      <c r="B18" s="108"/>
      <c r="C18" s="109"/>
      <c r="D18" s="109"/>
      <c r="E18" s="109"/>
      <c r="F18" s="91"/>
      <c r="G18" s="91"/>
      <c r="H18" s="34">
        <v>-3025</v>
      </c>
      <c r="I18" s="35" t="s">
        <v>24</v>
      </c>
      <c r="L18" s="30"/>
    </row>
    <row r="19" spans="1:12" s="23" customFormat="1" ht="47.25" x14ac:dyDescent="0.25">
      <c r="A19" s="103"/>
      <c r="B19" s="108"/>
      <c r="C19" s="109"/>
      <c r="D19" s="109"/>
      <c r="E19" s="109"/>
      <c r="F19" s="85"/>
      <c r="G19" s="85"/>
      <c r="H19" s="36">
        <v>-115.3</v>
      </c>
      <c r="I19" s="35" t="s">
        <v>25</v>
      </c>
      <c r="L19" s="30"/>
    </row>
    <row r="20" spans="1:12" s="23" customFormat="1" x14ac:dyDescent="0.25">
      <c r="A20" s="103"/>
      <c r="B20" s="37" t="s">
        <v>26</v>
      </c>
      <c r="C20" s="13">
        <v>25760.400000000001</v>
      </c>
      <c r="D20" s="13">
        <v>25760.400000000001</v>
      </c>
      <c r="E20" s="29">
        <f t="shared" ref="E20:E152" si="0">D20-C20</f>
        <v>0</v>
      </c>
      <c r="F20" s="38"/>
      <c r="G20" s="38"/>
      <c r="H20" s="36"/>
      <c r="I20" s="39"/>
      <c r="L20" s="30"/>
    </row>
    <row r="21" spans="1:12" s="23" customFormat="1" x14ac:dyDescent="0.25">
      <c r="A21" s="103"/>
      <c r="B21" s="37" t="s">
        <v>27</v>
      </c>
      <c r="C21" s="13">
        <v>8254.6999999999989</v>
      </c>
      <c r="D21" s="13">
        <v>8254.7000000000007</v>
      </c>
      <c r="E21" s="29">
        <f t="shared" si="0"/>
        <v>0</v>
      </c>
      <c r="F21" s="38"/>
      <c r="G21" s="38"/>
      <c r="H21" s="31"/>
      <c r="I21" s="39"/>
      <c r="L21" s="30"/>
    </row>
    <row r="22" spans="1:12" s="40" customFormat="1" ht="57" customHeight="1" x14ac:dyDescent="0.25">
      <c r="A22" s="103"/>
      <c r="B22" s="37" t="s">
        <v>28</v>
      </c>
      <c r="C22" s="29">
        <v>36302.300000000003</v>
      </c>
      <c r="D22" s="29">
        <f>36302.3-60.3-199-58.8</f>
        <v>35984.199999999997</v>
      </c>
      <c r="E22" s="29">
        <f t="shared" si="0"/>
        <v>-318.10000000000582</v>
      </c>
      <c r="F22" s="38">
        <f>-60.3-199</f>
        <v>-259.3</v>
      </c>
      <c r="G22" s="38">
        <v>-58.8</v>
      </c>
      <c r="H22" s="31">
        <f>-60.3-199-58.8</f>
        <v>-318.10000000000002</v>
      </c>
      <c r="I22" s="32" t="s">
        <v>188</v>
      </c>
      <c r="L22" s="30"/>
    </row>
    <row r="23" spans="1:12" s="17" customFormat="1" ht="31.5" x14ac:dyDescent="0.25">
      <c r="A23" s="41" t="s">
        <v>29</v>
      </c>
      <c r="B23" s="42" t="s">
        <v>30</v>
      </c>
      <c r="C23" s="38">
        <v>900</v>
      </c>
      <c r="D23" s="43">
        <v>900</v>
      </c>
      <c r="E23" s="38">
        <f t="shared" si="0"/>
        <v>0</v>
      </c>
      <c r="F23" s="38"/>
      <c r="G23" s="38"/>
      <c r="H23" s="44"/>
      <c r="I23" s="39"/>
      <c r="L23" s="30"/>
    </row>
    <row r="24" spans="1:12" s="17" customFormat="1" ht="47.25" x14ac:dyDescent="0.25">
      <c r="A24" s="24" t="s">
        <v>31</v>
      </c>
      <c r="B24" s="25" t="s">
        <v>32</v>
      </c>
      <c r="C24" s="26">
        <f>SUM(C25:C26)</f>
        <v>31260.899999999998</v>
      </c>
      <c r="D24" s="26">
        <f>SUM(D25:D26)</f>
        <v>31941.3</v>
      </c>
      <c r="E24" s="26">
        <f t="shared" si="0"/>
        <v>680.40000000000146</v>
      </c>
      <c r="F24" s="26">
        <f>SUM(F26:F26)</f>
        <v>0</v>
      </c>
      <c r="G24" s="26">
        <f>SUM(G26:G26)</f>
        <v>0</v>
      </c>
      <c r="H24" s="28">
        <f>SUM(H25:H26)</f>
        <v>680.4</v>
      </c>
      <c r="I24" s="45"/>
      <c r="L24" s="30"/>
    </row>
    <row r="25" spans="1:12" s="17" customFormat="1" ht="31.5" x14ac:dyDescent="0.25">
      <c r="A25" s="24"/>
      <c r="B25" s="82" t="s">
        <v>33</v>
      </c>
      <c r="C25" s="86">
        <f>31716.3-455.4</f>
        <v>31260.899999999998</v>
      </c>
      <c r="D25" s="86">
        <v>31941.3</v>
      </c>
      <c r="E25" s="86">
        <f t="shared" si="0"/>
        <v>680.40000000000146</v>
      </c>
      <c r="F25" s="87"/>
      <c r="G25" s="87"/>
      <c r="H25" s="31">
        <v>380.4</v>
      </c>
      <c r="I25" s="32" t="s">
        <v>34</v>
      </c>
      <c r="L25" s="30"/>
    </row>
    <row r="26" spans="1:12" s="17" customFormat="1" ht="31.5" x14ac:dyDescent="0.25">
      <c r="A26" s="24"/>
      <c r="B26" s="83"/>
      <c r="C26" s="85"/>
      <c r="D26" s="85"/>
      <c r="E26" s="85"/>
      <c r="F26" s="85"/>
      <c r="G26" s="85"/>
      <c r="H26" s="31">
        <v>300</v>
      </c>
      <c r="I26" s="32" t="s">
        <v>35</v>
      </c>
      <c r="L26" s="30"/>
    </row>
    <row r="27" spans="1:12" s="17" customFormat="1" ht="40.5" customHeight="1" x14ac:dyDescent="0.25">
      <c r="A27" s="24" t="s">
        <v>36</v>
      </c>
      <c r="B27" s="25" t="s">
        <v>37</v>
      </c>
      <c r="C27" s="26">
        <f t="shared" ref="C27:G27" si="1">SUM(C28)</f>
        <v>345499.7</v>
      </c>
      <c r="D27" s="26">
        <f t="shared" si="1"/>
        <v>475740</v>
      </c>
      <c r="E27" s="27">
        <f t="shared" si="0"/>
        <v>130240.29999999999</v>
      </c>
      <c r="F27" s="26">
        <f t="shared" si="1"/>
        <v>9464</v>
      </c>
      <c r="G27" s="26">
        <f t="shared" si="1"/>
        <v>14543.2</v>
      </c>
      <c r="H27" s="28">
        <f>SUM(H28:H52)</f>
        <v>130240.30000000002</v>
      </c>
      <c r="I27" s="13"/>
      <c r="J27" s="46"/>
      <c r="L27" s="30"/>
    </row>
    <row r="28" spans="1:12" s="17" customFormat="1" x14ac:dyDescent="0.25">
      <c r="A28" s="115"/>
      <c r="B28" s="95" t="s">
        <v>38</v>
      </c>
      <c r="C28" s="89">
        <v>345499.7</v>
      </c>
      <c r="D28" s="89">
        <f>451732.8+12-283.4+5533.2+4017.7+184.5+14543.2</f>
        <v>475740</v>
      </c>
      <c r="E28" s="89">
        <f t="shared" si="0"/>
        <v>130240.29999999999</v>
      </c>
      <c r="F28" s="110">
        <f>12+5533.2-283.4+4017.7+184.5</f>
        <v>9464</v>
      </c>
      <c r="G28" s="110">
        <v>14543.2</v>
      </c>
      <c r="H28" s="31"/>
      <c r="I28" s="32" t="s">
        <v>39</v>
      </c>
      <c r="L28" s="30"/>
    </row>
    <row r="29" spans="1:12" s="17" customFormat="1" ht="31.5" x14ac:dyDescent="0.25">
      <c r="A29" s="116"/>
      <c r="B29" s="95"/>
      <c r="C29" s="89"/>
      <c r="D29" s="89"/>
      <c r="E29" s="89"/>
      <c r="F29" s="111"/>
      <c r="G29" s="111"/>
      <c r="H29" s="31">
        <v>262.5</v>
      </c>
      <c r="I29" s="33" t="s">
        <v>40</v>
      </c>
      <c r="L29" s="30"/>
    </row>
    <row r="30" spans="1:12" s="17" customFormat="1" ht="63" x14ac:dyDescent="0.25">
      <c r="A30" s="116"/>
      <c r="B30" s="95"/>
      <c r="C30" s="89"/>
      <c r="D30" s="89"/>
      <c r="E30" s="89"/>
      <c r="F30" s="111"/>
      <c r="G30" s="111"/>
      <c r="H30" s="31">
        <v>3025</v>
      </c>
      <c r="I30" s="35" t="s">
        <v>41</v>
      </c>
      <c r="L30" s="30"/>
    </row>
    <row r="31" spans="1:12" s="17" customFormat="1" ht="31.5" x14ac:dyDescent="0.25">
      <c r="A31" s="116"/>
      <c r="B31" s="95"/>
      <c r="C31" s="89"/>
      <c r="D31" s="89"/>
      <c r="E31" s="89"/>
      <c r="F31" s="111"/>
      <c r="G31" s="111"/>
      <c r="H31" s="31">
        <v>235.1</v>
      </c>
      <c r="I31" s="35" t="s">
        <v>42</v>
      </c>
      <c r="L31" s="30"/>
    </row>
    <row r="32" spans="1:12" s="17" customFormat="1" ht="31.5" x14ac:dyDescent="0.25">
      <c r="A32" s="116"/>
      <c r="B32" s="95"/>
      <c r="C32" s="89"/>
      <c r="D32" s="89"/>
      <c r="E32" s="89"/>
      <c r="F32" s="111"/>
      <c r="G32" s="111"/>
      <c r="H32" s="31">
        <v>415.1</v>
      </c>
      <c r="I32" s="33" t="s">
        <v>43</v>
      </c>
      <c r="L32" s="30"/>
    </row>
    <row r="33" spans="1:12" s="17" customFormat="1" ht="31.5" x14ac:dyDescent="0.25">
      <c r="A33" s="116"/>
      <c r="B33" s="95"/>
      <c r="C33" s="89"/>
      <c r="D33" s="89"/>
      <c r="E33" s="89"/>
      <c r="F33" s="111"/>
      <c r="G33" s="111"/>
      <c r="H33" s="31">
        <v>300</v>
      </c>
      <c r="I33" s="35" t="s">
        <v>44</v>
      </c>
      <c r="L33" s="30"/>
    </row>
    <row r="34" spans="1:12" s="17" customFormat="1" ht="31.5" x14ac:dyDescent="0.25">
      <c r="A34" s="116"/>
      <c r="B34" s="95"/>
      <c r="C34" s="89"/>
      <c r="D34" s="89"/>
      <c r="E34" s="89"/>
      <c r="F34" s="111"/>
      <c r="G34" s="111"/>
      <c r="H34" s="31">
        <f>6760.3+1908.6+59.5</f>
        <v>8728.4</v>
      </c>
      <c r="I34" s="33" t="s">
        <v>45</v>
      </c>
      <c r="L34" s="30"/>
    </row>
    <row r="35" spans="1:12" s="17" customFormat="1" x14ac:dyDescent="0.25">
      <c r="A35" s="116"/>
      <c r="B35" s="95"/>
      <c r="C35" s="89"/>
      <c r="D35" s="89"/>
      <c r="E35" s="89"/>
      <c r="F35" s="111"/>
      <c r="G35" s="111"/>
      <c r="H35" s="31">
        <f>4017.7+199</f>
        <v>4216.7</v>
      </c>
      <c r="I35" s="33" t="s">
        <v>46</v>
      </c>
      <c r="L35" s="30"/>
    </row>
    <row r="36" spans="1:12" s="17" customFormat="1" ht="31.5" x14ac:dyDescent="0.25">
      <c r="A36" s="116"/>
      <c r="B36" s="95"/>
      <c r="C36" s="89"/>
      <c r="D36" s="89"/>
      <c r="E36" s="89"/>
      <c r="F36" s="111"/>
      <c r="G36" s="111"/>
      <c r="H36" s="31">
        <f>1700+5533.2</f>
        <v>7233.2</v>
      </c>
      <c r="I36" s="35" t="s">
        <v>47</v>
      </c>
      <c r="L36" s="30"/>
    </row>
    <row r="37" spans="1:12" s="17" customFormat="1" ht="31.5" x14ac:dyDescent="0.25">
      <c r="A37" s="116"/>
      <c r="B37" s="95"/>
      <c r="C37" s="89"/>
      <c r="D37" s="89"/>
      <c r="E37" s="89"/>
      <c r="F37" s="111"/>
      <c r="G37" s="111"/>
      <c r="H37" s="31">
        <v>92</v>
      </c>
      <c r="I37" s="35" t="s">
        <v>48</v>
      </c>
      <c r="L37" s="30"/>
    </row>
    <row r="38" spans="1:12" s="17" customFormat="1" ht="31.5" x14ac:dyDescent="0.25">
      <c r="A38" s="116"/>
      <c r="B38" s="95"/>
      <c r="C38" s="89"/>
      <c r="D38" s="89"/>
      <c r="E38" s="89"/>
      <c r="F38" s="111"/>
      <c r="G38" s="111"/>
      <c r="H38" s="31">
        <v>15.3</v>
      </c>
      <c r="I38" s="35" t="s">
        <v>49</v>
      </c>
      <c r="L38" s="30"/>
    </row>
    <row r="39" spans="1:12" s="17" customFormat="1" ht="47.25" x14ac:dyDescent="0.25">
      <c r="A39" s="116"/>
      <c r="B39" s="95"/>
      <c r="C39" s="89"/>
      <c r="D39" s="89"/>
      <c r="E39" s="89"/>
      <c r="F39" s="111"/>
      <c r="G39" s="111"/>
      <c r="H39" s="31">
        <v>14385.6</v>
      </c>
      <c r="I39" s="35" t="s">
        <v>50</v>
      </c>
      <c r="L39" s="30"/>
    </row>
    <row r="40" spans="1:12" s="17" customFormat="1" x14ac:dyDescent="0.25">
      <c r="A40" s="116"/>
      <c r="B40" s="95"/>
      <c r="C40" s="89"/>
      <c r="D40" s="89"/>
      <c r="E40" s="89"/>
      <c r="F40" s="111"/>
      <c r="G40" s="111"/>
      <c r="H40" s="31"/>
      <c r="I40" s="32" t="s">
        <v>51</v>
      </c>
      <c r="L40" s="30"/>
    </row>
    <row r="41" spans="1:12" s="17" customFormat="1" ht="31.5" x14ac:dyDescent="0.25">
      <c r="A41" s="116"/>
      <c r="B41" s="95"/>
      <c r="C41" s="89"/>
      <c r="D41" s="89"/>
      <c r="E41" s="89"/>
      <c r="F41" s="111"/>
      <c r="G41" s="111"/>
      <c r="H41" s="31">
        <v>-190.7</v>
      </c>
      <c r="I41" s="33" t="s">
        <v>52</v>
      </c>
      <c r="L41" s="30"/>
    </row>
    <row r="42" spans="1:12" s="17" customFormat="1" ht="31.5" x14ac:dyDescent="0.25">
      <c r="A42" s="116"/>
      <c r="B42" s="95"/>
      <c r="C42" s="89"/>
      <c r="D42" s="89"/>
      <c r="E42" s="89"/>
      <c r="F42" s="111"/>
      <c r="G42" s="111"/>
      <c r="H42" s="31">
        <v>-650</v>
      </c>
      <c r="I42" s="33" t="s">
        <v>53</v>
      </c>
      <c r="L42" s="30"/>
    </row>
    <row r="43" spans="1:12" s="17" customFormat="1" ht="31.5" x14ac:dyDescent="0.25">
      <c r="A43" s="116"/>
      <c r="B43" s="95"/>
      <c r="C43" s="89"/>
      <c r="D43" s="89"/>
      <c r="E43" s="89"/>
      <c r="F43" s="111"/>
      <c r="G43" s="111"/>
      <c r="H43" s="31">
        <f>-158.1-14.5</f>
        <v>-172.6</v>
      </c>
      <c r="I43" s="33" t="s">
        <v>54</v>
      </c>
      <c r="L43" s="30"/>
    </row>
    <row r="44" spans="1:12" s="17" customFormat="1" ht="31.5" x14ac:dyDescent="0.25">
      <c r="A44" s="116"/>
      <c r="B44" s="95"/>
      <c r="C44" s="89"/>
      <c r="D44" s="89"/>
      <c r="E44" s="89"/>
      <c r="F44" s="111"/>
      <c r="G44" s="111"/>
      <c r="H44" s="47">
        <f>16379.1-14385.6-1908.6+316.4-415.1</f>
        <v>-13.799999999999955</v>
      </c>
      <c r="I44" s="35" t="s">
        <v>55</v>
      </c>
      <c r="L44" s="30"/>
    </row>
    <row r="45" spans="1:12" s="17" customFormat="1" ht="31.5" x14ac:dyDescent="0.25">
      <c r="A45" s="116"/>
      <c r="B45" s="95"/>
      <c r="C45" s="89"/>
      <c r="D45" s="89"/>
      <c r="E45" s="89"/>
      <c r="F45" s="111"/>
      <c r="G45" s="111"/>
      <c r="H45" s="47">
        <v>-283.39999999999998</v>
      </c>
      <c r="I45" s="33" t="s">
        <v>56</v>
      </c>
      <c r="L45" s="30"/>
    </row>
    <row r="46" spans="1:12" s="17" customFormat="1" ht="31.5" x14ac:dyDescent="0.25">
      <c r="A46" s="116"/>
      <c r="B46" s="95"/>
      <c r="C46" s="89"/>
      <c r="D46" s="89"/>
      <c r="E46" s="89"/>
      <c r="F46" s="111"/>
      <c r="G46" s="111"/>
      <c r="H46" s="31">
        <v>-300</v>
      </c>
      <c r="I46" s="33" t="s">
        <v>57</v>
      </c>
      <c r="L46" s="30"/>
    </row>
    <row r="47" spans="1:12" s="17" customFormat="1" ht="31.5" x14ac:dyDescent="0.25">
      <c r="A47" s="116"/>
      <c r="B47" s="108"/>
      <c r="C47" s="109"/>
      <c r="D47" s="109"/>
      <c r="E47" s="109"/>
      <c r="F47" s="111"/>
      <c r="G47" s="111"/>
      <c r="H47" s="31"/>
      <c r="I47" s="35" t="s">
        <v>179</v>
      </c>
      <c r="L47" s="30"/>
    </row>
    <row r="48" spans="1:12" s="17" customFormat="1" ht="31.5" x14ac:dyDescent="0.25">
      <c r="A48" s="116"/>
      <c r="B48" s="108"/>
      <c r="C48" s="109"/>
      <c r="D48" s="109"/>
      <c r="E48" s="109"/>
      <c r="F48" s="111"/>
      <c r="G48" s="111"/>
      <c r="H48" s="31">
        <v>15300</v>
      </c>
      <c r="I48" s="33" t="s">
        <v>58</v>
      </c>
      <c r="L48" s="30"/>
    </row>
    <row r="49" spans="1:12" s="17" customFormat="1" ht="31.5" x14ac:dyDescent="0.25">
      <c r="A49" s="116"/>
      <c r="B49" s="108"/>
      <c r="C49" s="109"/>
      <c r="D49" s="109"/>
      <c r="E49" s="109"/>
      <c r="F49" s="111"/>
      <c r="G49" s="111"/>
      <c r="H49" s="31">
        <v>14543.2</v>
      </c>
      <c r="I49" s="33" t="s">
        <v>178</v>
      </c>
      <c r="L49" s="30"/>
    </row>
    <row r="50" spans="1:12" s="17" customFormat="1" ht="47.25" x14ac:dyDescent="0.25">
      <c r="A50" s="116"/>
      <c r="B50" s="108"/>
      <c r="C50" s="109"/>
      <c r="D50" s="109"/>
      <c r="E50" s="109"/>
      <c r="F50" s="111"/>
      <c r="G50" s="111"/>
      <c r="H50" s="31">
        <f>1770+12</f>
        <v>1782</v>
      </c>
      <c r="I50" s="33" t="s">
        <v>59</v>
      </c>
      <c r="L50" s="30"/>
    </row>
    <row r="51" spans="1:12" s="17" customFormat="1" ht="31.5" x14ac:dyDescent="0.25">
      <c r="A51" s="116"/>
      <c r="B51" s="108"/>
      <c r="C51" s="109"/>
      <c r="D51" s="109"/>
      <c r="E51" s="109"/>
      <c r="F51" s="111"/>
      <c r="G51" s="111"/>
      <c r="H51" s="31">
        <v>61633.1</v>
      </c>
      <c r="I51" s="33" t="s">
        <v>60</v>
      </c>
      <c r="L51" s="30"/>
    </row>
    <row r="52" spans="1:12" s="17" customFormat="1" ht="31.5" x14ac:dyDescent="0.25">
      <c r="A52" s="117"/>
      <c r="B52" s="108"/>
      <c r="C52" s="109"/>
      <c r="D52" s="109"/>
      <c r="E52" s="109"/>
      <c r="F52" s="112"/>
      <c r="G52" s="112"/>
      <c r="H52" s="31">
        <v>-316.39999999999998</v>
      </c>
      <c r="I52" s="48" t="s">
        <v>61</v>
      </c>
      <c r="L52" s="30"/>
    </row>
    <row r="53" spans="1:12" s="23" customFormat="1" x14ac:dyDescent="0.25">
      <c r="A53" s="24" t="s">
        <v>62</v>
      </c>
      <c r="B53" s="25" t="s">
        <v>63</v>
      </c>
      <c r="C53" s="27">
        <f t="shared" ref="C53:G53" si="2">SUM(C54)</f>
        <v>418559.4</v>
      </c>
      <c r="D53" s="27">
        <f t="shared" si="2"/>
        <v>432035.9</v>
      </c>
      <c r="E53" s="27">
        <f t="shared" si="0"/>
        <v>13476.5</v>
      </c>
      <c r="F53" s="27">
        <f t="shared" si="2"/>
        <v>-4958.3</v>
      </c>
      <c r="G53" s="27">
        <f t="shared" si="2"/>
        <v>2547</v>
      </c>
      <c r="H53" s="28">
        <f>SUM(H54:H68)</f>
        <v>13476.7</v>
      </c>
      <c r="I53" s="13"/>
      <c r="J53" s="30"/>
      <c r="L53" s="30"/>
    </row>
    <row r="54" spans="1:12" s="17" customFormat="1" x14ac:dyDescent="0.25">
      <c r="A54" s="96"/>
      <c r="B54" s="95" t="s">
        <v>64</v>
      </c>
      <c r="C54" s="88">
        <v>418559.4</v>
      </c>
      <c r="D54" s="84">
        <f>434447.2-1972.8-3000+14.5+2547</f>
        <v>432035.9</v>
      </c>
      <c r="E54" s="89">
        <f t="shared" si="0"/>
        <v>13476.5</v>
      </c>
      <c r="F54" s="87">
        <f>-1972.8-3000+14.5</f>
        <v>-4958.3</v>
      </c>
      <c r="G54" s="87">
        <v>2547</v>
      </c>
      <c r="H54" s="31"/>
      <c r="I54" s="32" t="s">
        <v>65</v>
      </c>
      <c r="L54" s="30"/>
    </row>
    <row r="55" spans="1:12" s="17" customFormat="1" x14ac:dyDescent="0.25">
      <c r="A55" s="96"/>
      <c r="B55" s="95"/>
      <c r="C55" s="88"/>
      <c r="D55" s="113"/>
      <c r="E55" s="89"/>
      <c r="F55" s="91"/>
      <c r="G55" s="91"/>
      <c r="H55" s="31">
        <v>518.20000000000005</v>
      </c>
      <c r="I55" s="33" t="s">
        <v>66</v>
      </c>
      <c r="L55" s="30"/>
    </row>
    <row r="56" spans="1:12" s="17" customFormat="1" ht="31.5" x14ac:dyDescent="0.25">
      <c r="A56" s="96"/>
      <c r="B56" s="95"/>
      <c r="C56" s="88"/>
      <c r="D56" s="113"/>
      <c r="E56" s="89"/>
      <c r="F56" s="91"/>
      <c r="G56" s="91"/>
      <c r="H56" s="31">
        <v>190.7</v>
      </c>
      <c r="I56" s="33" t="s">
        <v>67</v>
      </c>
      <c r="L56" s="30"/>
    </row>
    <row r="57" spans="1:12" s="17" customFormat="1" x14ac:dyDescent="0.25">
      <c r="A57" s="96"/>
      <c r="B57" s="95"/>
      <c r="C57" s="88"/>
      <c r="D57" s="113"/>
      <c r="E57" s="89"/>
      <c r="F57" s="91"/>
      <c r="G57" s="91"/>
      <c r="H57" s="31">
        <v>100</v>
      </c>
      <c r="I57" s="33" t="s">
        <v>68</v>
      </c>
      <c r="L57" s="30"/>
    </row>
    <row r="58" spans="1:12" s="17" customFormat="1" x14ac:dyDescent="0.25">
      <c r="A58" s="96"/>
      <c r="B58" s="95"/>
      <c r="C58" s="88"/>
      <c r="D58" s="113"/>
      <c r="E58" s="89"/>
      <c r="F58" s="91"/>
      <c r="G58" s="91"/>
      <c r="H58" s="31">
        <v>13.8</v>
      </c>
      <c r="I58" s="33" t="s">
        <v>69</v>
      </c>
      <c r="L58" s="30"/>
    </row>
    <row r="59" spans="1:12" s="17" customFormat="1" x14ac:dyDescent="0.25">
      <c r="A59" s="96"/>
      <c r="B59" s="95"/>
      <c r="C59" s="88"/>
      <c r="D59" s="113"/>
      <c r="E59" s="89"/>
      <c r="F59" s="91"/>
      <c r="G59" s="91"/>
      <c r="H59" s="31"/>
      <c r="I59" s="33" t="s">
        <v>70</v>
      </c>
      <c r="L59" s="30"/>
    </row>
    <row r="60" spans="1:12" s="17" customFormat="1" ht="31.5" x14ac:dyDescent="0.25">
      <c r="A60" s="96"/>
      <c r="B60" s="95"/>
      <c r="C60" s="88"/>
      <c r="D60" s="113"/>
      <c r="E60" s="89"/>
      <c r="F60" s="91"/>
      <c r="G60" s="91"/>
      <c r="H60" s="47">
        <f>-6835.1-2974.9+497-13.7-2462.6-342+14.5</f>
        <v>-12116.800000000001</v>
      </c>
      <c r="I60" s="33" t="s">
        <v>71</v>
      </c>
      <c r="L60" s="30"/>
    </row>
    <row r="61" spans="1:12" s="17" customFormat="1" ht="31.5" x14ac:dyDescent="0.25">
      <c r="A61" s="96"/>
      <c r="B61" s="95"/>
      <c r="C61" s="88"/>
      <c r="D61" s="113"/>
      <c r="E61" s="89"/>
      <c r="F61" s="91"/>
      <c r="G61" s="91"/>
      <c r="H61" s="47">
        <v>-1972.8</v>
      </c>
      <c r="I61" s="33" t="s">
        <v>72</v>
      </c>
      <c r="L61" s="30"/>
    </row>
    <row r="62" spans="1:12" s="17" customFormat="1" x14ac:dyDescent="0.25">
      <c r="A62" s="96"/>
      <c r="B62" s="95"/>
      <c r="C62" s="88"/>
      <c r="D62" s="113"/>
      <c r="E62" s="89"/>
      <c r="F62" s="91"/>
      <c r="G62" s="91"/>
      <c r="H62" s="31">
        <v>-300</v>
      </c>
      <c r="I62" s="33" t="s">
        <v>73</v>
      </c>
      <c r="L62" s="30"/>
    </row>
    <row r="63" spans="1:12" s="17" customFormat="1" ht="31.5" x14ac:dyDescent="0.25">
      <c r="A63" s="96"/>
      <c r="B63" s="95"/>
      <c r="C63" s="88"/>
      <c r="D63" s="113"/>
      <c r="E63" s="89"/>
      <c r="F63" s="91"/>
      <c r="G63" s="91"/>
      <c r="H63" s="31">
        <f>-1400-3000</f>
        <v>-4400</v>
      </c>
      <c r="I63" s="33" t="s">
        <v>74</v>
      </c>
      <c r="L63" s="30"/>
    </row>
    <row r="64" spans="1:12" s="17" customFormat="1" ht="47.25" x14ac:dyDescent="0.25">
      <c r="A64" s="96"/>
      <c r="B64" s="95"/>
      <c r="C64" s="88"/>
      <c r="D64" s="113"/>
      <c r="E64" s="89"/>
      <c r="F64" s="91"/>
      <c r="G64" s="91"/>
      <c r="H64" s="31">
        <v>-14385.6</v>
      </c>
      <c r="I64" s="33" t="s">
        <v>75</v>
      </c>
      <c r="L64" s="30"/>
    </row>
    <row r="65" spans="1:12" s="17" customFormat="1" ht="31.5" x14ac:dyDescent="0.25">
      <c r="A65" s="96"/>
      <c r="B65" s="95"/>
      <c r="C65" s="88"/>
      <c r="D65" s="113"/>
      <c r="E65" s="89"/>
      <c r="F65" s="91"/>
      <c r="G65" s="91"/>
      <c r="H65" s="31">
        <v>-92</v>
      </c>
      <c r="I65" s="35" t="s">
        <v>76</v>
      </c>
      <c r="L65" s="30"/>
    </row>
    <row r="66" spans="1:12" s="17" customFormat="1" ht="31.5" x14ac:dyDescent="0.25">
      <c r="A66" s="96"/>
      <c r="B66" s="95"/>
      <c r="C66" s="88"/>
      <c r="D66" s="113"/>
      <c r="E66" s="89"/>
      <c r="F66" s="91"/>
      <c r="G66" s="91"/>
      <c r="H66" s="31">
        <v>3374</v>
      </c>
      <c r="I66" s="32" t="s">
        <v>77</v>
      </c>
      <c r="L66" s="30"/>
    </row>
    <row r="67" spans="1:12" s="17" customFormat="1" ht="31.5" x14ac:dyDescent="0.25">
      <c r="A67" s="96"/>
      <c r="B67" s="95"/>
      <c r="C67" s="88"/>
      <c r="D67" s="113"/>
      <c r="E67" s="89"/>
      <c r="F67" s="91"/>
      <c r="G67" s="91"/>
      <c r="H67" s="31">
        <v>2547.1999999999998</v>
      </c>
      <c r="I67" s="32" t="s">
        <v>180</v>
      </c>
      <c r="L67" s="30"/>
    </row>
    <row r="68" spans="1:12" s="17" customFormat="1" ht="78.75" x14ac:dyDescent="0.25">
      <c r="A68" s="96"/>
      <c r="B68" s="95"/>
      <c r="C68" s="88"/>
      <c r="D68" s="114"/>
      <c r="E68" s="89"/>
      <c r="F68" s="85"/>
      <c r="G68" s="85"/>
      <c r="H68" s="31">
        <v>40000</v>
      </c>
      <c r="I68" s="32" t="s">
        <v>78</v>
      </c>
      <c r="L68" s="30"/>
    </row>
    <row r="69" spans="1:12" s="23" customFormat="1" x14ac:dyDescent="0.25">
      <c r="A69" s="24" t="s">
        <v>79</v>
      </c>
      <c r="B69" s="25" t="s">
        <v>80</v>
      </c>
      <c r="C69" s="26">
        <f>SUM(C70)</f>
        <v>15884.1</v>
      </c>
      <c r="D69" s="26">
        <f>SUM(D70)</f>
        <v>11505.9</v>
      </c>
      <c r="E69" s="26">
        <f t="shared" si="0"/>
        <v>-4378.2000000000007</v>
      </c>
      <c r="F69" s="26">
        <f>SUM(F70)</f>
        <v>-90</v>
      </c>
      <c r="G69" s="26">
        <f>SUM(G70)</f>
        <v>44.3</v>
      </c>
      <c r="H69" s="28">
        <f>SUM(H70:H72)</f>
        <v>-4378.2</v>
      </c>
      <c r="I69" s="39"/>
      <c r="L69" s="30"/>
    </row>
    <row r="70" spans="1:12" s="23" customFormat="1" ht="31.5" x14ac:dyDescent="0.25">
      <c r="A70" s="103"/>
      <c r="B70" s="95" t="s">
        <v>81</v>
      </c>
      <c r="C70" s="89">
        <v>15884.1</v>
      </c>
      <c r="D70" s="89">
        <f>11551.6-90+44.3</f>
        <v>11505.9</v>
      </c>
      <c r="E70" s="89">
        <f>D70-C70</f>
        <v>-4378.2000000000007</v>
      </c>
      <c r="F70" s="87">
        <v>-90</v>
      </c>
      <c r="G70" s="87">
        <v>44.3</v>
      </c>
      <c r="H70" s="47">
        <f>-200-90</f>
        <v>-290</v>
      </c>
      <c r="I70" s="39" t="s">
        <v>82</v>
      </c>
      <c r="L70" s="30"/>
    </row>
    <row r="71" spans="1:12" s="23" customFormat="1" ht="31.5" x14ac:dyDescent="0.25">
      <c r="A71" s="103"/>
      <c r="B71" s="95"/>
      <c r="C71" s="89"/>
      <c r="D71" s="89"/>
      <c r="E71" s="89"/>
      <c r="F71" s="90"/>
      <c r="G71" s="90"/>
      <c r="H71" s="47">
        <v>44.3</v>
      </c>
      <c r="I71" s="32" t="s">
        <v>181</v>
      </c>
      <c r="L71" s="30"/>
    </row>
    <row r="72" spans="1:12" s="17" customFormat="1" ht="31.5" x14ac:dyDescent="0.25">
      <c r="A72" s="103"/>
      <c r="B72" s="108"/>
      <c r="C72" s="109"/>
      <c r="D72" s="109"/>
      <c r="E72" s="109"/>
      <c r="F72" s="85"/>
      <c r="G72" s="85"/>
      <c r="H72" s="47">
        <v>-4132.5</v>
      </c>
      <c r="I72" s="48" t="s">
        <v>83</v>
      </c>
      <c r="L72" s="30"/>
    </row>
    <row r="73" spans="1:12" s="23" customFormat="1" x14ac:dyDescent="0.25">
      <c r="A73" s="24" t="s">
        <v>84</v>
      </c>
      <c r="B73" s="25" t="s">
        <v>85</v>
      </c>
      <c r="C73" s="26">
        <f>SUM(C74:C106)</f>
        <v>2479136.2999999998</v>
      </c>
      <c r="D73" s="26">
        <f>SUM(D74:D106)</f>
        <v>2546074.7999999998</v>
      </c>
      <c r="E73" s="27">
        <f t="shared" si="0"/>
        <v>66938.5</v>
      </c>
      <c r="F73" s="26">
        <f>SUM(F74:F106)</f>
        <v>28702.799999999999</v>
      </c>
      <c r="G73" s="26">
        <f>SUM(G74:G106)</f>
        <v>27341.4</v>
      </c>
      <c r="H73" s="28">
        <f>SUM(H74:H106)</f>
        <v>66938.499999999985</v>
      </c>
      <c r="I73" s="49"/>
      <c r="J73" s="30"/>
      <c r="L73" s="30"/>
    </row>
    <row r="74" spans="1:12" s="23" customFormat="1" x14ac:dyDescent="0.25">
      <c r="A74" s="103"/>
      <c r="B74" s="105" t="s">
        <v>86</v>
      </c>
      <c r="C74" s="88">
        <v>2381791.2999999998</v>
      </c>
      <c r="D74" s="88">
        <f>2390122.2+30+26163.8+70.8+24783.5-19.6</f>
        <v>2441150.6999999997</v>
      </c>
      <c r="E74" s="88">
        <f>D74-C74</f>
        <v>59359.399999999907</v>
      </c>
      <c r="F74" s="99">
        <f>30+26163.8</f>
        <v>26193.8</v>
      </c>
      <c r="G74" s="99">
        <f>70.8+24783.5-19.6</f>
        <v>24834.7</v>
      </c>
      <c r="H74" s="31"/>
      <c r="I74" s="32" t="s">
        <v>87</v>
      </c>
      <c r="L74" s="30"/>
    </row>
    <row r="75" spans="1:12" s="23" customFormat="1" x14ac:dyDescent="0.25">
      <c r="A75" s="103"/>
      <c r="B75" s="106"/>
      <c r="C75" s="88"/>
      <c r="D75" s="88"/>
      <c r="E75" s="88"/>
      <c r="F75" s="91"/>
      <c r="G75" s="91"/>
      <c r="H75" s="31">
        <f>74.7+353.1+173+13.1</f>
        <v>613.9</v>
      </c>
      <c r="I75" s="50" t="s">
        <v>88</v>
      </c>
      <c r="L75" s="30"/>
    </row>
    <row r="76" spans="1:12" s="23" customFormat="1" ht="31.5" x14ac:dyDescent="0.25">
      <c r="A76" s="103"/>
      <c r="B76" s="106"/>
      <c r="C76" s="88"/>
      <c r="D76" s="88"/>
      <c r="E76" s="88"/>
      <c r="F76" s="91"/>
      <c r="G76" s="91"/>
      <c r="H76" s="31">
        <v>675.5</v>
      </c>
      <c r="I76" s="50" t="s">
        <v>189</v>
      </c>
      <c r="L76" s="30"/>
    </row>
    <row r="77" spans="1:12" s="23" customFormat="1" x14ac:dyDescent="0.25">
      <c r="A77" s="103"/>
      <c r="B77" s="106"/>
      <c r="C77" s="88"/>
      <c r="D77" s="88"/>
      <c r="E77" s="88"/>
      <c r="F77" s="91"/>
      <c r="G77" s="91"/>
      <c r="H77" s="31">
        <f>30+70.8</f>
        <v>100.8</v>
      </c>
      <c r="I77" s="50" t="s">
        <v>175</v>
      </c>
      <c r="L77" s="30"/>
    </row>
    <row r="78" spans="1:12" s="23" customFormat="1" x14ac:dyDescent="0.25">
      <c r="A78" s="103"/>
      <c r="B78" s="106"/>
      <c r="C78" s="88"/>
      <c r="D78" s="88"/>
      <c r="E78" s="88"/>
      <c r="F78" s="91"/>
      <c r="G78" s="91"/>
      <c r="H78" s="31">
        <v>300</v>
      </c>
      <c r="I78" s="50" t="s">
        <v>89</v>
      </c>
      <c r="L78" s="30"/>
    </row>
    <row r="79" spans="1:12" s="23" customFormat="1" x14ac:dyDescent="0.25">
      <c r="A79" s="103"/>
      <c r="B79" s="106"/>
      <c r="C79" s="88"/>
      <c r="D79" s="88"/>
      <c r="E79" s="88"/>
      <c r="F79" s="91"/>
      <c r="G79" s="91"/>
      <c r="H79" s="31"/>
      <c r="I79" s="32" t="s">
        <v>90</v>
      </c>
      <c r="L79" s="30"/>
    </row>
    <row r="80" spans="1:12" s="23" customFormat="1" ht="31.5" x14ac:dyDescent="0.25">
      <c r="A80" s="103"/>
      <c r="B80" s="106"/>
      <c r="C80" s="88"/>
      <c r="D80" s="88"/>
      <c r="E80" s="88"/>
      <c r="F80" s="91"/>
      <c r="G80" s="91"/>
      <c r="H80" s="31">
        <v>-574.6</v>
      </c>
      <c r="I80" s="50" t="s">
        <v>91</v>
      </c>
      <c r="L80" s="30"/>
    </row>
    <row r="81" spans="1:12" s="23" customFormat="1" x14ac:dyDescent="0.25">
      <c r="A81" s="103"/>
      <c r="B81" s="106"/>
      <c r="C81" s="88"/>
      <c r="D81" s="88"/>
      <c r="E81" s="88"/>
      <c r="F81" s="91"/>
      <c r="G81" s="91"/>
      <c r="H81" s="47">
        <f>-122-1071.1</f>
        <v>-1193.0999999999999</v>
      </c>
      <c r="I81" s="50" t="s">
        <v>92</v>
      </c>
      <c r="L81" s="30"/>
    </row>
    <row r="82" spans="1:12" s="23" customFormat="1" ht="31.5" x14ac:dyDescent="0.25">
      <c r="A82" s="103"/>
      <c r="B82" s="106"/>
      <c r="C82" s="88"/>
      <c r="D82" s="88"/>
      <c r="E82" s="88"/>
      <c r="F82" s="91"/>
      <c r="G82" s="91"/>
      <c r="H82" s="31"/>
      <c r="I82" s="51" t="s">
        <v>184</v>
      </c>
      <c r="L82" s="30"/>
    </row>
    <row r="83" spans="1:12" s="23" customFormat="1" ht="31.5" x14ac:dyDescent="0.25">
      <c r="A83" s="103"/>
      <c r="B83" s="106"/>
      <c r="C83" s="88"/>
      <c r="D83" s="88"/>
      <c r="E83" s="88"/>
      <c r="F83" s="91"/>
      <c r="G83" s="91"/>
      <c r="H83" s="31">
        <v>37709.300000000003</v>
      </c>
      <c r="I83" s="50" t="s">
        <v>93</v>
      </c>
      <c r="L83" s="30"/>
    </row>
    <row r="84" spans="1:12" s="23" customFormat="1" ht="31.5" x14ac:dyDescent="0.25">
      <c r="A84" s="103"/>
      <c r="B84" s="106"/>
      <c r="C84" s="88"/>
      <c r="D84" s="88"/>
      <c r="E84" s="88"/>
      <c r="F84" s="91"/>
      <c r="G84" s="91"/>
      <c r="H84" s="31">
        <f>24783.5-19.6</f>
        <v>24763.9</v>
      </c>
      <c r="I84" s="32" t="s">
        <v>190</v>
      </c>
      <c r="L84" s="30"/>
    </row>
    <row r="85" spans="1:12" s="23" customFormat="1" ht="47.25" x14ac:dyDescent="0.25">
      <c r="A85" s="103"/>
      <c r="B85" s="106"/>
      <c r="C85" s="88"/>
      <c r="D85" s="88"/>
      <c r="E85" s="88"/>
      <c r="F85" s="91"/>
      <c r="G85" s="91"/>
      <c r="H85" s="31">
        <v>16773.8</v>
      </c>
      <c r="I85" s="50" t="s">
        <v>94</v>
      </c>
      <c r="L85" s="30"/>
    </row>
    <row r="86" spans="1:12" s="23" customFormat="1" ht="63" x14ac:dyDescent="0.25">
      <c r="A86" s="103"/>
      <c r="B86" s="106"/>
      <c r="C86" s="88"/>
      <c r="D86" s="88"/>
      <c r="E86" s="88"/>
      <c r="F86" s="91"/>
      <c r="G86" s="91"/>
      <c r="H86" s="31">
        <v>26163.8</v>
      </c>
      <c r="I86" s="50" t="s">
        <v>95</v>
      </c>
      <c r="L86" s="30"/>
    </row>
    <row r="87" spans="1:12" s="23" customFormat="1" x14ac:dyDescent="0.25">
      <c r="A87" s="103"/>
      <c r="B87" s="106"/>
      <c r="C87" s="88"/>
      <c r="D87" s="88"/>
      <c r="E87" s="88"/>
      <c r="F87" s="91"/>
      <c r="G87" s="91"/>
      <c r="H87" s="52">
        <v>2358</v>
      </c>
      <c r="I87" s="53" t="s">
        <v>96</v>
      </c>
      <c r="L87" s="30"/>
    </row>
    <row r="88" spans="1:12" s="23" customFormat="1" ht="31.5" x14ac:dyDescent="0.25">
      <c r="A88" s="103"/>
      <c r="B88" s="106"/>
      <c r="C88" s="88"/>
      <c r="D88" s="88"/>
      <c r="E88" s="88"/>
      <c r="F88" s="91"/>
      <c r="G88" s="91"/>
      <c r="H88" s="31">
        <v>9460.7999999999993</v>
      </c>
      <c r="I88" s="50" t="s">
        <v>97</v>
      </c>
      <c r="L88" s="30"/>
    </row>
    <row r="89" spans="1:12" s="23" customFormat="1" x14ac:dyDescent="0.25">
      <c r="A89" s="103"/>
      <c r="B89" s="106"/>
      <c r="C89" s="88"/>
      <c r="D89" s="88"/>
      <c r="E89" s="88"/>
      <c r="F89" s="91"/>
      <c r="G89" s="91"/>
      <c r="H89" s="31"/>
      <c r="I89" s="51" t="s">
        <v>98</v>
      </c>
      <c r="L89" s="30"/>
    </row>
    <row r="90" spans="1:12" s="23" customFormat="1" ht="31.5" x14ac:dyDescent="0.25">
      <c r="A90" s="103"/>
      <c r="B90" s="106"/>
      <c r="C90" s="88"/>
      <c r="D90" s="88"/>
      <c r="E90" s="88"/>
      <c r="F90" s="91"/>
      <c r="G90" s="91"/>
      <c r="H90" s="31">
        <v>-6244.8</v>
      </c>
      <c r="I90" s="50" t="s">
        <v>99</v>
      </c>
      <c r="L90" s="30"/>
    </row>
    <row r="91" spans="1:12" s="23" customFormat="1" ht="63" x14ac:dyDescent="0.25">
      <c r="A91" s="103"/>
      <c r="B91" s="106"/>
      <c r="C91" s="88"/>
      <c r="D91" s="88"/>
      <c r="E91" s="88"/>
      <c r="F91" s="91"/>
      <c r="G91" s="91"/>
      <c r="H91" s="31">
        <v>-873.1</v>
      </c>
      <c r="I91" s="50" t="s">
        <v>100</v>
      </c>
      <c r="L91" s="30"/>
    </row>
    <row r="92" spans="1:12" s="23" customFormat="1" ht="47.25" x14ac:dyDescent="0.25">
      <c r="A92" s="103"/>
      <c r="B92" s="106"/>
      <c r="C92" s="88"/>
      <c r="D92" s="88"/>
      <c r="E92" s="88"/>
      <c r="F92" s="91"/>
      <c r="G92" s="91"/>
      <c r="H92" s="31">
        <v>-195.8</v>
      </c>
      <c r="I92" s="50" t="s">
        <v>101</v>
      </c>
      <c r="L92" s="30"/>
    </row>
    <row r="93" spans="1:12" s="23" customFormat="1" ht="31.5" x14ac:dyDescent="0.25">
      <c r="A93" s="103"/>
      <c r="B93" s="106"/>
      <c r="C93" s="88"/>
      <c r="D93" s="88"/>
      <c r="E93" s="88"/>
      <c r="F93" s="91"/>
      <c r="G93" s="91"/>
      <c r="H93" s="31">
        <v>-49693.9</v>
      </c>
      <c r="I93" s="50" t="s">
        <v>102</v>
      </c>
      <c r="L93" s="30"/>
    </row>
    <row r="94" spans="1:12" s="23" customFormat="1" ht="31.5" x14ac:dyDescent="0.25">
      <c r="A94" s="103"/>
      <c r="B94" s="107"/>
      <c r="C94" s="88"/>
      <c r="D94" s="88"/>
      <c r="E94" s="88"/>
      <c r="F94" s="85"/>
      <c r="G94" s="85"/>
      <c r="H94" s="31">
        <v>-785.1</v>
      </c>
      <c r="I94" s="50" t="s">
        <v>103</v>
      </c>
      <c r="L94" s="30"/>
    </row>
    <row r="95" spans="1:12" s="23" customFormat="1" x14ac:dyDescent="0.25">
      <c r="A95" s="104"/>
      <c r="B95" s="95" t="s">
        <v>104</v>
      </c>
      <c r="C95" s="88">
        <v>93545</v>
      </c>
      <c r="D95" s="88">
        <f>95170.8+163.4+2231.4+2447.9</f>
        <v>100013.49999999999</v>
      </c>
      <c r="E95" s="88">
        <f t="shared" si="0"/>
        <v>6468.4999999999854</v>
      </c>
      <c r="F95" s="99">
        <f>163.4+2231.4</f>
        <v>2394.8000000000002</v>
      </c>
      <c r="G95" s="99">
        <v>2447.9</v>
      </c>
      <c r="H95" s="31"/>
      <c r="I95" s="32" t="s">
        <v>105</v>
      </c>
      <c r="L95" s="30"/>
    </row>
    <row r="96" spans="1:12" s="23" customFormat="1" ht="31.5" x14ac:dyDescent="0.25">
      <c r="A96" s="104"/>
      <c r="B96" s="95"/>
      <c r="C96" s="88"/>
      <c r="D96" s="88"/>
      <c r="E96" s="88"/>
      <c r="F96" s="91"/>
      <c r="G96" s="91"/>
      <c r="H96" s="31">
        <f>305.7+163.4</f>
        <v>469.1</v>
      </c>
      <c r="I96" s="33" t="s">
        <v>106</v>
      </c>
      <c r="L96" s="30"/>
    </row>
    <row r="97" spans="1:12" s="23" customFormat="1" ht="31.5" x14ac:dyDescent="0.25">
      <c r="A97" s="104"/>
      <c r="B97" s="95"/>
      <c r="C97" s="88"/>
      <c r="D97" s="88"/>
      <c r="E97" s="88"/>
      <c r="F97" s="91"/>
      <c r="G97" s="91"/>
      <c r="H97" s="47">
        <f>22.1+187.7</f>
        <v>209.79999999999998</v>
      </c>
      <c r="I97" s="33" t="s">
        <v>107</v>
      </c>
      <c r="L97" s="30"/>
    </row>
    <row r="98" spans="1:12" s="23" customFormat="1" ht="31.5" x14ac:dyDescent="0.25">
      <c r="A98" s="104"/>
      <c r="B98" s="95"/>
      <c r="C98" s="88"/>
      <c r="D98" s="88"/>
      <c r="E98" s="88"/>
      <c r="F98" s="91"/>
      <c r="G98" s="91"/>
      <c r="H98" s="47">
        <v>577.9</v>
      </c>
      <c r="I98" s="33" t="s">
        <v>108</v>
      </c>
      <c r="L98" s="30"/>
    </row>
    <row r="99" spans="1:12" s="23" customFormat="1" ht="47.25" x14ac:dyDescent="0.25">
      <c r="A99" s="104"/>
      <c r="B99" s="95"/>
      <c r="C99" s="88"/>
      <c r="D99" s="88"/>
      <c r="E99" s="88"/>
      <c r="F99" s="91"/>
      <c r="G99" s="91"/>
      <c r="H99" s="47">
        <f>368.4+2231.4</f>
        <v>2599.8000000000002</v>
      </c>
      <c r="I99" s="33" t="s">
        <v>109</v>
      </c>
      <c r="L99" s="30"/>
    </row>
    <row r="100" spans="1:12" s="23" customFormat="1" ht="31.5" x14ac:dyDescent="0.25">
      <c r="A100" s="104"/>
      <c r="B100" s="95"/>
      <c r="C100" s="88"/>
      <c r="D100" s="88"/>
      <c r="E100" s="88"/>
      <c r="F100" s="91"/>
      <c r="G100" s="91"/>
      <c r="H100" s="31">
        <v>2447.9</v>
      </c>
      <c r="I100" s="32" t="s">
        <v>182</v>
      </c>
      <c r="L100" s="30"/>
    </row>
    <row r="101" spans="1:12" s="23" customFormat="1" ht="31.5" x14ac:dyDescent="0.25">
      <c r="A101" s="104"/>
      <c r="B101" s="95"/>
      <c r="C101" s="88"/>
      <c r="D101" s="88"/>
      <c r="E101" s="88"/>
      <c r="F101" s="85"/>
      <c r="G101" s="85"/>
      <c r="H101" s="47">
        <v>164</v>
      </c>
      <c r="I101" s="51" t="s">
        <v>110</v>
      </c>
      <c r="L101" s="30"/>
    </row>
    <row r="102" spans="1:12" s="17" customFormat="1" x14ac:dyDescent="0.25">
      <c r="A102" s="104"/>
      <c r="B102" s="37" t="s">
        <v>13</v>
      </c>
      <c r="C102" s="54">
        <v>3800</v>
      </c>
      <c r="D102" s="54">
        <v>3800</v>
      </c>
      <c r="E102" s="29">
        <f t="shared" si="0"/>
        <v>0</v>
      </c>
      <c r="F102" s="38"/>
      <c r="G102" s="38"/>
      <c r="H102" s="47"/>
      <c r="I102" s="32"/>
      <c r="L102" s="30"/>
    </row>
    <row r="103" spans="1:12" s="17" customFormat="1" ht="31.5" x14ac:dyDescent="0.25">
      <c r="A103" s="104"/>
      <c r="B103" s="37" t="s">
        <v>28</v>
      </c>
      <c r="C103" s="54"/>
      <c r="D103" s="54">
        <f>60.3+58.8</f>
        <v>119.1</v>
      </c>
      <c r="E103" s="29">
        <f t="shared" si="0"/>
        <v>119.1</v>
      </c>
      <c r="F103" s="38">
        <v>60.3</v>
      </c>
      <c r="G103" s="38">
        <v>58.8</v>
      </c>
      <c r="H103" s="47">
        <f>60.3+58.8</f>
        <v>119.1</v>
      </c>
      <c r="I103" s="32" t="s">
        <v>191</v>
      </c>
      <c r="L103" s="30"/>
    </row>
    <row r="104" spans="1:12" s="17" customFormat="1" ht="31.5" x14ac:dyDescent="0.25">
      <c r="A104" s="104"/>
      <c r="B104" s="37" t="s">
        <v>111</v>
      </c>
      <c r="C104" s="54">
        <v>0</v>
      </c>
      <c r="D104" s="54">
        <v>312.39999999999998</v>
      </c>
      <c r="E104" s="29">
        <f t="shared" si="0"/>
        <v>312.39999999999998</v>
      </c>
      <c r="F104" s="38"/>
      <c r="G104" s="38"/>
      <c r="H104" s="47">
        <f>33.1+279.3</f>
        <v>312.40000000000003</v>
      </c>
      <c r="I104" s="55" t="s">
        <v>112</v>
      </c>
      <c r="L104" s="30"/>
    </row>
    <row r="105" spans="1:12" s="17" customFormat="1" ht="31.5" x14ac:dyDescent="0.25">
      <c r="A105" s="104"/>
      <c r="B105" s="82" t="s">
        <v>113</v>
      </c>
      <c r="C105" s="84">
        <v>0</v>
      </c>
      <c r="D105" s="84">
        <f>625.2+51.9+5.7-3.7</f>
        <v>679.1</v>
      </c>
      <c r="E105" s="86">
        <f t="shared" si="0"/>
        <v>679.1</v>
      </c>
      <c r="F105" s="87">
        <v>53.9</v>
      </c>
      <c r="G105" s="87"/>
      <c r="H105" s="47">
        <f>66.8+604.1-45.7</f>
        <v>625.19999999999993</v>
      </c>
      <c r="I105" s="55" t="s">
        <v>114</v>
      </c>
      <c r="L105" s="30"/>
    </row>
    <row r="106" spans="1:12" s="17" customFormat="1" ht="31.5" x14ac:dyDescent="0.25">
      <c r="A106" s="104"/>
      <c r="B106" s="83"/>
      <c r="C106" s="85"/>
      <c r="D106" s="85"/>
      <c r="E106" s="85"/>
      <c r="F106" s="85"/>
      <c r="G106" s="85"/>
      <c r="H106" s="47">
        <f>51.9+5.7-3.7</f>
        <v>53.9</v>
      </c>
      <c r="I106" s="32" t="s">
        <v>192</v>
      </c>
      <c r="L106" s="30"/>
    </row>
    <row r="107" spans="1:12" s="23" customFormat="1" x14ac:dyDescent="0.25">
      <c r="A107" s="24" t="s">
        <v>115</v>
      </c>
      <c r="B107" s="25" t="s">
        <v>116</v>
      </c>
      <c r="C107" s="27">
        <f>SUM(C108:C108)</f>
        <v>169231.4</v>
      </c>
      <c r="D107" s="27">
        <f>SUM(D108:D108)</f>
        <v>167342.30000000002</v>
      </c>
      <c r="E107" s="26">
        <f t="shared" si="0"/>
        <v>-1889.0999999999767</v>
      </c>
      <c r="F107" s="27">
        <f>SUM(F108:F108)</f>
        <v>-2394.8000000000002</v>
      </c>
      <c r="G107" s="27">
        <f>SUM(G108:G108)</f>
        <v>1757.7</v>
      </c>
      <c r="H107" s="28">
        <f>SUM(H108:H111)</f>
        <v>-1889.1000000000001</v>
      </c>
      <c r="I107" s="39"/>
      <c r="L107" s="30"/>
    </row>
    <row r="108" spans="1:12" s="17" customFormat="1" ht="31.5" x14ac:dyDescent="0.25">
      <c r="A108" s="96"/>
      <c r="B108" s="95" t="s">
        <v>117</v>
      </c>
      <c r="C108" s="88">
        <v>169231.4</v>
      </c>
      <c r="D108" s="88">
        <f>167979.4-163.4-2231.4+1757.7</f>
        <v>167342.30000000002</v>
      </c>
      <c r="E108" s="88">
        <f t="shared" si="0"/>
        <v>-1889.0999999999767</v>
      </c>
      <c r="F108" s="99">
        <f>-163.4-2231.4</f>
        <v>-2394.8000000000002</v>
      </c>
      <c r="G108" s="99">
        <v>1757.7</v>
      </c>
      <c r="H108" s="31">
        <f>-305.7-163.4</f>
        <v>-469.1</v>
      </c>
      <c r="I108" s="39" t="s">
        <v>118</v>
      </c>
      <c r="L108" s="30"/>
    </row>
    <row r="109" spans="1:12" s="23" customFormat="1" ht="63" x14ac:dyDescent="0.25">
      <c r="A109" s="96"/>
      <c r="B109" s="95"/>
      <c r="C109" s="88"/>
      <c r="D109" s="88"/>
      <c r="E109" s="88"/>
      <c r="F109" s="91"/>
      <c r="G109" s="91"/>
      <c r="H109" s="31">
        <v>-577.9</v>
      </c>
      <c r="I109" s="56" t="s">
        <v>119</v>
      </c>
      <c r="L109" s="30"/>
    </row>
    <row r="110" spans="1:12" s="23" customFormat="1" ht="31.5" x14ac:dyDescent="0.25">
      <c r="A110" s="96"/>
      <c r="B110" s="95"/>
      <c r="C110" s="88"/>
      <c r="D110" s="88"/>
      <c r="E110" s="88"/>
      <c r="F110" s="91"/>
      <c r="G110" s="91"/>
      <c r="H110" s="31">
        <v>1757.7</v>
      </c>
      <c r="I110" s="32" t="s">
        <v>183</v>
      </c>
      <c r="L110" s="30"/>
    </row>
    <row r="111" spans="1:12" s="23" customFormat="1" ht="47.25" x14ac:dyDescent="0.25">
      <c r="A111" s="96"/>
      <c r="B111" s="95"/>
      <c r="C111" s="88"/>
      <c r="D111" s="88"/>
      <c r="E111" s="88"/>
      <c r="F111" s="85"/>
      <c r="G111" s="85"/>
      <c r="H111" s="31">
        <f>-368.4-2231.4</f>
        <v>-2599.8000000000002</v>
      </c>
      <c r="I111" s="39" t="s">
        <v>120</v>
      </c>
      <c r="L111" s="30"/>
    </row>
    <row r="112" spans="1:12" s="23" customFormat="1" x14ac:dyDescent="0.25">
      <c r="A112" s="24" t="s">
        <v>121</v>
      </c>
      <c r="B112" s="25" t="s">
        <v>122</v>
      </c>
      <c r="C112" s="27">
        <f>SUM(C113:C147)</f>
        <v>1330026.3</v>
      </c>
      <c r="D112" s="27">
        <f>SUM(D113:D147)</f>
        <v>1335138.7</v>
      </c>
      <c r="E112" s="26">
        <f t="shared" si="0"/>
        <v>5112.3999999999069</v>
      </c>
      <c r="F112" s="27">
        <f>SUM(F113:F147)</f>
        <v>-31096.3</v>
      </c>
      <c r="G112" s="27">
        <f>SUM(G113:G147)</f>
        <v>11072.5</v>
      </c>
      <c r="H112" s="28">
        <f>SUM(H113:H147)</f>
        <v>5112.3999999999924</v>
      </c>
      <c r="I112" s="13"/>
      <c r="L112" s="30"/>
    </row>
    <row r="113" spans="1:12" s="23" customFormat="1" ht="31.5" x14ac:dyDescent="0.25">
      <c r="A113" s="96"/>
      <c r="B113" s="100" t="s">
        <v>123</v>
      </c>
      <c r="C113" s="88">
        <v>1205572.6000000001</v>
      </c>
      <c r="D113" s="88">
        <f>1213639.3+5905.8-5.7-37000+3.7+1151.5</f>
        <v>1183694.6000000001</v>
      </c>
      <c r="E113" s="89">
        <f t="shared" si="0"/>
        <v>-21878</v>
      </c>
      <c r="F113" s="87">
        <f>5905.8-5.7-37000+3.7-0.1</f>
        <v>-31096.3</v>
      </c>
      <c r="G113" s="87">
        <v>1151.5</v>
      </c>
      <c r="H113" s="47"/>
      <c r="I113" s="32" t="s">
        <v>124</v>
      </c>
      <c r="L113" s="30"/>
    </row>
    <row r="114" spans="1:12" s="23" customFormat="1" ht="31.5" x14ac:dyDescent="0.25">
      <c r="A114" s="96"/>
      <c r="B114" s="101"/>
      <c r="C114" s="88"/>
      <c r="D114" s="88"/>
      <c r="E114" s="89"/>
      <c r="F114" s="91"/>
      <c r="G114" s="91"/>
      <c r="H114" s="47">
        <v>899.5</v>
      </c>
      <c r="I114" s="33" t="s">
        <v>125</v>
      </c>
      <c r="L114" s="30"/>
    </row>
    <row r="115" spans="1:12" s="23" customFormat="1" ht="31.5" x14ac:dyDescent="0.25">
      <c r="A115" s="96"/>
      <c r="B115" s="101"/>
      <c r="C115" s="88"/>
      <c r="D115" s="88"/>
      <c r="E115" s="89"/>
      <c r="F115" s="91"/>
      <c r="G115" s="91"/>
      <c r="H115" s="47">
        <v>4226.3</v>
      </c>
      <c r="I115" s="33" t="s">
        <v>126</v>
      </c>
      <c r="L115" s="30"/>
    </row>
    <row r="116" spans="1:12" s="23" customFormat="1" ht="31.5" x14ac:dyDescent="0.25">
      <c r="A116" s="96"/>
      <c r="B116" s="101"/>
      <c r="C116" s="88"/>
      <c r="D116" s="88"/>
      <c r="E116" s="89"/>
      <c r="F116" s="91"/>
      <c r="G116" s="91"/>
      <c r="H116" s="47">
        <v>8153.6</v>
      </c>
      <c r="I116" s="33" t="s">
        <v>127</v>
      </c>
      <c r="L116" s="30"/>
    </row>
    <row r="117" spans="1:12" s="23" customFormat="1" ht="31.5" x14ac:dyDescent="0.25">
      <c r="A117" s="96"/>
      <c r="B117" s="101"/>
      <c r="C117" s="88"/>
      <c r="D117" s="88"/>
      <c r="E117" s="89"/>
      <c r="F117" s="91"/>
      <c r="G117" s="91"/>
      <c r="H117" s="47">
        <v>2250</v>
      </c>
      <c r="I117" s="33" t="s">
        <v>128</v>
      </c>
      <c r="L117" s="30"/>
    </row>
    <row r="118" spans="1:12" s="23" customFormat="1" ht="31.5" x14ac:dyDescent="0.25">
      <c r="A118" s="96"/>
      <c r="B118" s="101"/>
      <c r="C118" s="88"/>
      <c r="D118" s="88"/>
      <c r="E118" s="89"/>
      <c r="F118" s="91"/>
      <c r="G118" s="91"/>
      <c r="H118" s="47">
        <v>2742.1</v>
      </c>
      <c r="I118" s="33" t="s">
        <v>129</v>
      </c>
      <c r="L118" s="30"/>
    </row>
    <row r="119" spans="1:12" s="23" customFormat="1" ht="31.5" x14ac:dyDescent="0.25">
      <c r="A119" s="96"/>
      <c r="B119" s="101"/>
      <c r="C119" s="88"/>
      <c r="D119" s="88"/>
      <c r="E119" s="89"/>
      <c r="F119" s="91"/>
      <c r="G119" s="91"/>
      <c r="H119" s="47">
        <v>2428</v>
      </c>
      <c r="I119" s="33" t="s">
        <v>130</v>
      </c>
      <c r="L119" s="30"/>
    </row>
    <row r="120" spans="1:12" s="23" customFormat="1" ht="47.25" x14ac:dyDescent="0.25">
      <c r="A120" s="96"/>
      <c r="B120" s="101"/>
      <c r="C120" s="88"/>
      <c r="D120" s="88"/>
      <c r="E120" s="89"/>
      <c r="F120" s="91"/>
      <c r="G120" s="91"/>
      <c r="H120" s="47">
        <f>8750.6-1590-2702.5</f>
        <v>4458.1000000000004</v>
      </c>
      <c r="I120" s="33" t="s">
        <v>131</v>
      </c>
      <c r="L120" s="30"/>
    </row>
    <row r="121" spans="1:12" s="23" customFormat="1" ht="31.5" x14ac:dyDescent="0.25">
      <c r="A121" s="96"/>
      <c r="B121" s="101"/>
      <c r="C121" s="88"/>
      <c r="D121" s="88"/>
      <c r="E121" s="89"/>
      <c r="F121" s="91"/>
      <c r="G121" s="91"/>
      <c r="H121" s="47">
        <v>60</v>
      </c>
      <c r="I121" s="33" t="s">
        <v>132</v>
      </c>
      <c r="L121" s="30"/>
    </row>
    <row r="122" spans="1:12" s="23" customFormat="1" ht="31.5" x14ac:dyDescent="0.25">
      <c r="A122" s="96"/>
      <c r="B122" s="101"/>
      <c r="C122" s="88"/>
      <c r="D122" s="88"/>
      <c r="E122" s="89"/>
      <c r="F122" s="91"/>
      <c r="G122" s="91"/>
      <c r="H122" s="47">
        <v>300</v>
      </c>
      <c r="I122" s="33" t="s">
        <v>133</v>
      </c>
      <c r="L122" s="30"/>
    </row>
    <row r="123" spans="1:12" s="23" customFormat="1" ht="31.5" x14ac:dyDescent="0.25">
      <c r="A123" s="96"/>
      <c r="B123" s="101"/>
      <c r="C123" s="88"/>
      <c r="D123" s="88"/>
      <c r="E123" s="89"/>
      <c r="F123" s="91"/>
      <c r="G123" s="91"/>
      <c r="H123" s="47">
        <v>431.7</v>
      </c>
      <c r="I123" s="33" t="s">
        <v>134</v>
      </c>
      <c r="L123" s="30"/>
    </row>
    <row r="124" spans="1:12" s="23" customFormat="1" ht="31.5" x14ac:dyDescent="0.25">
      <c r="A124" s="96"/>
      <c r="B124" s="101"/>
      <c r="C124" s="88"/>
      <c r="D124" s="88"/>
      <c r="E124" s="89"/>
      <c r="F124" s="91"/>
      <c r="G124" s="91"/>
      <c r="H124" s="47">
        <v>335.1</v>
      </c>
      <c r="I124" s="33" t="s">
        <v>135</v>
      </c>
      <c r="L124" s="30"/>
    </row>
    <row r="125" spans="1:12" s="23" customFormat="1" x14ac:dyDescent="0.25">
      <c r="A125" s="96"/>
      <c r="B125" s="101"/>
      <c r="C125" s="88"/>
      <c r="D125" s="88"/>
      <c r="E125" s="89"/>
      <c r="F125" s="91"/>
      <c r="G125" s="91"/>
      <c r="H125" s="31">
        <v>1362.3</v>
      </c>
      <c r="I125" s="35" t="s">
        <v>136</v>
      </c>
      <c r="L125" s="30"/>
    </row>
    <row r="126" spans="1:12" s="23" customFormat="1" ht="31.5" x14ac:dyDescent="0.25">
      <c r="A126" s="96"/>
      <c r="B126" s="101"/>
      <c r="C126" s="88"/>
      <c r="D126" s="88"/>
      <c r="E126" s="89"/>
      <c r="F126" s="91"/>
      <c r="G126" s="91"/>
      <c r="H126" s="31">
        <v>460.2</v>
      </c>
      <c r="I126" s="35" t="s">
        <v>137</v>
      </c>
      <c r="L126" s="30"/>
    </row>
    <row r="127" spans="1:12" s="23" customFormat="1" x14ac:dyDescent="0.25">
      <c r="A127" s="96"/>
      <c r="B127" s="101"/>
      <c r="C127" s="88"/>
      <c r="D127" s="88"/>
      <c r="E127" s="89"/>
      <c r="F127" s="91"/>
      <c r="G127" s="91"/>
      <c r="H127" s="31"/>
      <c r="I127" s="48" t="s">
        <v>138</v>
      </c>
      <c r="L127" s="30"/>
    </row>
    <row r="128" spans="1:12" s="23" customFormat="1" ht="31.5" x14ac:dyDescent="0.25">
      <c r="A128" s="96"/>
      <c r="B128" s="101"/>
      <c r="C128" s="88"/>
      <c r="D128" s="88"/>
      <c r="E128" s="89"/>
      <c r="F128" s="91"/>
      <c r="G128" s="91"/>
      <c r="H128" s="31">
        <v>-37000</v>
      </c>
      <c r="I128" s="33" t="s">
        <v>139</v>
      </c>
      <c r="L128" s="30"/>
    </row>
    <row r="129" spans="1:12" s="23" customFormat="1" ht="47.25" x14ac:dyDescent="0.25">
      <c r="A129" s="96"/>
      <c r="B129" s="101"/>
      <c r="C129" s="88"/>
      <c r="D129" s="88"/>
      <c r="E129" s="89"/>
      <c r="F129" s="91"/>
      <c r="G129" s="91"/>
      <c r="H129" s="31">
        <v>-987.6</v>
      </c>
      <c r="I129" s="35" t="s">
        <v>140</v>
      </c>
      <c r="L129" s="30"/>
    </row>
    <row r="130" spans="1:12" s="23" customFormat="1" ht="31.5" x14ac:dyDescent="0.25">
      <c r="A130" s="96"/>
      <c r="B130" s="101"/>
      <c r="C130" s="88"/>
      <c r="D130" s="88"/>
      <c r="E130" s="89"/>
      <c r="F130" s="91"/>
      <c r="G130" s="91"/>
      <c r="H130" s="31">
        <v>-3000</v>
      </c>
      <c r="I130" s="35" t="s">
        <v>141</v>
      </c>
      <c r="L130" s="30"/>
    </row>
    <row r="131" spans="1:12" s="23" customFormat="1" ht="31.5" x14ac:dyDescent="0.25">
      <c r="A131" s="96"/>
      <c r="B131" s="101"/>
      <c r="C131" s="88"/>
      <c r="D131" s="88"/>
      <c r="E131" s="89"/>
      <c r="F131" s="91"/>
      <c r="G131" s="91"/>
      <c r="H131" s="31">
        <v>-28.2</v>
      </c>
      <c r="I131" s="35" t="s">
        <v>142</v>
      </c>
      <c r="L131" s="30"/>
    </row>
    <row r="132" spans="1:12" s="23" customFormat="1" ht="31.5" x14ac:dyDescent="0.25">
      <c r="A132" s="96"/>
      <c r="B132" s="101"/>
      <c r="C132" s="88"/>
      <c r="D132" s="88"/>
      <c r="E132" s="89"/>
      <c r="F132" s="91"/>
      <c r="G132" s="91"/>
      <c r="H132" s="31">
        <v>-1000</v>
      </c>
      <c r="I132" s="35" t="s">
        <v>143</v>
      </c>
      <c r="L132" s="30"/>
    </row>
    <row r="133" spans="1:12" s="23" customFormat="1" ht="31.5" x14ac:dyDescent="0.25">
      <c r="A133" s="96"/>
      <c r="B133" s="101"/>
      <c r="C133" s="88"/>
      <c r="D133" s="88"/>
      <c r="E133" s="89"/>
      <c r="F133" s="91"/>
      <c r="G133" s="91"/>
      <c r="H133" s="31">
        <f>-51.9+3.7</f>
        <v>-48.199999999999996</v>
      </c>
      <c r="I133" s="35" t="s">
        <v>144</v>
      </c>
      <c r="L133" s="30"/>
    </row>
    <row r="134" spans="1:12" s="23" customFormat="1" ht="47.25" x14ac:dyDescent="0.25">
      <c r="A134" s="96"/>
      <c r="B134" s="101"/>
      <c r="C134" s="88"/>
      <c r="D134" s="88"/>
      <c r="E134" s="89"/>
      <c r="F134" s="91"/>
      <c r="G134" s="91"/>
      <c r="H134" s="31">
        <v>-87</v>
      </c>
      <c r="I134" s="35" t="s">
        <v>145</v>
      </c>
      <c r="L134" s="30"/>
    </row>
    <row r="135" spans="1:12" s="23" customFormat="1" ht="31.5" x14ac:dyDescent="0.25">
      <c r="A135" s="96"/>
      <c r="B135" s="101"/>
      <c r="C135" s="88"/>
      <c r="D135" s="88"/>
      <c r="E135" s="89"/>
      <c r="F135" s="91"/>
      <c r="G135" s="91"/>
      <c r="H135" s="31">
        <f>-6914-2000</f>
        <v>-8914</v>
      </c>
      <c r="I135" s="35" t="s">
        <v>146</v>
      </c>
      <c r="L135" s="30"/>
    </row>
    <row r="136" spans="1:12" s="23" customFormat="1" ht="31.5" x14ac:dyDescent="0.25">
      <c r="A136" s="96"/>
      <c r="B136" s="101"/>
      <c r="C136" s="88"/>
      <c r="D136" s="88"/>
      <c r="E136" s="89"/>
      <c r="F136" s="91"/>
      <c r="G136" s="91"/>
      <c r="H136" s="31">
        <v>-65.7</v>
      </c>
      <c r="I136" s="35" t="s">
        <v>147</v>
      </c>
      <c r="L136" s="30"/>
    </row>
    <row r="137" spans="1:12" s="23" customFormat="1" ht="31.5" x14ac:dyDescent="0.25">
      <c r="A137" s="96"/>
      <c r="B137" s="101"/>
      <c r="C137" s="88"/>
      <c r="D137" s="88"/>
      <c r="E137" s="89"/>
      <c r="F137" s="91"/>
      <c r="G137" s="91"/>
      <c r="H137" s="31">
        <v>1151.5</v>
      </c>
      <c r="I137" s="32" t="s">
        <v>185</v>
      </c>
      <c r="L137" s="30"/>
    </row>
    <row r="138" spans="1:12" s="23" customFormat="1" ht="31.5" x14ac:dyDescent="0.25">
      <c r="A138" s="96"/>
      <c r="B138" s="102"/>
      <c r="C138" s="88"/>
      <c r="D138" s="88"/>
      <c r="E138" s="89"/>
      <c r="F138" s="85"/>
      <c r="G138" s="85"/>
      <c r="H138" s="31">
        <v>-5.7</v>
      </c>
      <c r="I138" s="32" t="s">
        <v>193</v>
      </c>
      <c r="L138" s="30"/>
    </row>
    <row r="139" spans="1:12" s="23" customFormat="1" ht="31.5" x14ac:dyDescent="0.25">
      <c r="A139" s="96"/>
      <c r="B139" s="95" t="s">
        <v>86</v>
      </c>
      <c r="C139" s="88">
        <v>66954.8</v>
      </c>
      <c r="D139" s="88">
        <v>76987.199999999997</v>
      </c>
      <c r="E139" s="89">
        <f t="shared" si="0"/>
        <v>10032.399999999994</v>
      </c>
      <c r="F139" s="87"/>
      <c r="G139" s="87"/>
      <c r="H139" s="31"/>
      <c r="I139" s="39" t="s">
        <v>148</v>
      </c>
      <c r="L139" s="30"/>
    </row>
    <row r="140" spans="1:12" s="23" customFormat="1" ht="31.5" x14ac:dyDescent="0.25">
      <c r="A140" s="96"/>
      <c r="B140" s="95"/>
      <c r="C140" s="88"/>
      <c r="D140" s="88"/>
      <c r="E140" s="89"/>
      <c r="F140" s="90"/>
      <c r="G140" s="90"/>
      <c r="H140" s="31">
        <v>574.5</v>
      </c>
      <c r="I140" s="33" t="s">
        <v>149</v>
      </c>
      <c r="L140" s="30"/>
    </row>
    <row r="141" spans="1:12" s="23" customFormat="1" ht="47.25" x14ac:dyDescent="0.25">
      <c r="A141" s="96"/>
      <c r="B141" s="95"/>
      <c r="C141" s="88"/>
      <c r="D141" s="88"/>
      <c r="E141" s="89"/>
      <c r="F141" s="91"/>
      <c r="G141" s="91"/>
      <c r="H141" s="31">
        <v>5587.5</v>
      </c>
      <c r="I141" s="50" t="s">
        <v>150</v>
      </c>
      <c r="L141" s="30"/>
    </row>
    <row r="142" spans="1:12" s="23" customFormat="1" ht="47.25" x14ac:dyDescent="0.25">
      <c r="A142" s="96"/>
      <c r="B142" s="95"/>
      <c r="C142" s="88"/>
      <c r="D142" s="88"/>
      <c r="E142" s="89"/>
      <c r="F142" s="85"/>
      <c r="G142" s="85"/>
      <c r="H142" s="31">
        <v>3870.4</v>
      </c>
      <c r="I142" s="50" t="s">
        <v>151</v>
      </c>
      <c r="L142" s="30"/>
    </row>
    <row r="143" spans="1:12" s="23" customFormat="1" ht="63" x14ac:dyDescent="0.25">
      <c r="A143" s="96"/>
      <c r="B143" s="82" t="s">
        <v>13</v>
      </c>
      <c r="C143" s="84">
        <v>55163.3</v>
      </c>
      <c r="D143" s="84">
        <f>61834.7+9921</f>
        <v>71755.7</v>
      </c>
      <c r="E143" s="86">
        <f t="shared" si="0"/>
        <v>16592.399999999994</v>
      </c>
      <c r="F143" s="38"/>
      <c r="G143" s="38"/>
      <c r="H143" s="31">
        <f>6671.4</f>
        <v>6671.4</v>
      </c>
      <c r="I143" s="39" t="s">
        <v>152</v>
      </c>
      <c r="L143" s="30"/>
    </row>
    <row r="144" spans="1:12" s="23" customFormat="1" ht="47.25" x14ac:dyDescent="0.25">
      <c r="A144" s="96"/>
      <c r="B144" s="83"/>
      <c r="C144" s="85"/>
      <c r="D144" s="85"/>
      <c r="E144" s="85"/>
      <c r="F144" s="38"/>
      <c r="G144" s="38">
        <v>9921</v>
      </c>
      <c r="H144" s="31">
        <v>9921</v>
      </c>
      <c r="I144" s="39" t="s">
        <v>176</v>
      </c>
      <c r="L144" s="30"/>
    </row>
    <row r="145" spans="1:12" s="23" customFormat="1" ht="47.25" x14ac:dyDescent="0.25">
      <c r="A145" s="96"/>
      <c r="B145" s="37" t="s">
        <v>117</v>
      </c>
      <c r="C145" s="54">
        <v>389.4</v>
      </c>
      <c r="D145" s="54">
        <v>455</v>
      </c>
      <c r="E145" s="29">
        <f t="shared" si="0"/>
        <v>65.600000000000023</v>
      </c>
      <c r="F145" s="38"/>
      <c r="G145" s="38"/>
      <c r="H145" s="47">
        <v>65.599999999999994</v>
      </c>
      <c r="I145" s="48" t="s">
        <v>153</v>
      </c>
      <c r="L145" s="30"/>
    </row>
    <row r="146" spans="1:12" s="57" customFormat="1" ht="31.5" x14ac:dyDescent="0.25">
      <c r="A146" s="96"/>
      <c r="B146" s="37" t="s">
        <v>154</v>
      </c>
      <c r="C146" s="54">
        <v>1946.2</v>
      </c>
      <c r="D146" s="54">
        <v>1946.2</v>
      </c>
      <c r="E146" s="29">
        <f t="shared" si="0"/>
        <v>0</v>
      </c>
      <c r="F146" s="38"/>
      <c r="G146" s="38"/>
      <c r="H146" s="31"/>
      <c r="I146" s="39"/>
      <c r="L146" s="30"/>
    </row>
    <row r="147" spans="1:12" s="57" customFormat="1" ht="31.5" x14ac:dyDescent="0.25">
      <c r="A147" s="96"/>
      <c r="B147" s="37" t="s">
        <v>111</v>
      </c>
      <c r="C147" s="54">
        <v>0</v>
      </c>
      <c r="D147" s="54">
        <v>300</v>
      </c>
      <c r="E147" s="29">
        <f t="shared" si="0"/>
        <v>300</v>
      </c>
      <c r="F147" s="38"/>
      <c r="G147" s="38"/>
      <c r="H147" s="31">
        <v>300</v>
      </c>
      <c r="I147" s="56" t="s">
        <v>155</v>
      </c>
      <c r="L147" s="30"/>
    </row>
    <row r="148" spans="1:12" s="57" customFormat="1" x14ac:dyDescent="0.25">
      <c r="A148" s="24" t="s">
        <v>156</v>
      </c>
      <c r="B148" s="25" t="s">
        <v>157</v>
      </c>
      <c r="C148" s="27">
        <f>SUM(C149:C153)</f>
        <v>307675.7</v>
      </c>
      <c r="D148" s="27">
        <f>SUM(D149:D153)</f>
        <v>309440.7</v>
      </c>
      <c r="E148" s="27">
        <f>SUM(E149:E153)</f>
        <v>1765.0000000000236</v>
      </c>
      <c r="F148" s="27">
        <f>SUM(F149:F153)</f>
        <v>-712.5</v>
      </c>
      <c r="G148" s="27">
        <f>SUM(G149:G153)</f>
        <v>19.600000000000001</v>
      </c>
      <c r="H148" s="28">
        <f>SUM(H149:H159)</f>
        <v>1765.0000000000005</v>
      </c>
      <c r="I148" s="12"/>
      <c r="J148" s="58"/>
      <c r="L148" s="30"/>
    </row>
    <row r="149" spans="1:12" s="23" customFormat="1" ht="31.5" x14ac:dyDescent="0.25">
      <c r="A149" s="96"/>
      <c r="B149" s="82" t="s">
        <v>158</v>
      </c>
      <c r="C149" s="88">
        <v>8900</v>
      </c>
      <c r="D149" s="88">
        <v>1200</v>
      </c>
      <c r="E149" s="89">
        <f t="shared" si="0"/>
        <v>-7700</v>
      </c>
      <c r="F149" s="92"/>
      <c r="G149" s="92"/>
      <c r="H149" s="31">
        <v>-400</v>
      </c>
      <c r="I149" s="56" t="s">
        <v>159</v>
      </c>
      <c r="L149" s="30"/>
    </row>
    <row r="150" spans="1:12" s="23" customFormat="1" ht="31.5" x14ac:dyDescent="0.25">
      <c r="A150" s="96"/>
      <c r="B150" s="97"/>
      <c r="C150" s="88"/>
      <c r="D150" s="88"/>
      <c r="E150" s="89"/>
      <c r="F150" s="93"/>
      <c r="G150" s="93"/>
      <c r="H150" s="47">
        <v>-6300</v>
      </c>
      <c r="I150" s="56" t="s">
        <v>160</v>
      </c>
      <c r="L150" s="30"/>
    </row>
    <row r="151" spans="1:12" s="23" customFormat="1" ht="47.25" x14ac:dyDescent="0.25">
      <c r="A151" s="96"/>
      <c r="B151" s="98"/>
      <c r="C151" s="88"/>
      <c r="D151" s="88"/>
      <c r="E151" s="89"/>
      <c r="F151" s="94"/>
      <c r="G151" s="94"/>
      <c r="H151" s="47">
        <v>-1000</v>
      </c>
      <c r="I151" s="56" t="s">
        <v>161</v>
      </c>
      <c r="L151" s="30"/>
    </row>
    <row r="152" spans="1:12" s="17" customFormat="1" ht="31.5" x14ac:dyDescent="0.25">
      <c r="A152" s="96"/>
      <c r="B152" s="37" t="s">
        <v>86</v>
      </c>
      <c r="C152" s="54">
        <v>2614.6999999999998</v>
      </c>
      <c r="D152" s="54">
        <f>2614.7+19.6</f>
        <v>2634.2999999999997</v>
      </c>
      <c r="E152" s="29">
        <f t="shared" si="0"/>
        <v>19.599999999999909</v>
      </c>
      <c r="F152" s="38"/>
      <c r="G152" s="38">
        <v>19.600000000000001</v>
      </c>
      <c r="H152" s="31">
        <v>19.600000000000001</v>
      </c>
      <c r="I152" s="32" t="s">
        <v>187</v>
      </c>
      <c r="L152" s="30"/>
    </row>
    <row r="153" spans="1:12" s="17" customFormat="1" ht="47.25" x14ac:dyDescent="0.25">
      <c r="A153" s="96"/>
      <c r="B153" s="95" t="s">
        <v>162</v>
      </c>
      <c r="C153" s="88">
        <v>296161</v>
      </c>
      <c r="D153" s="88">
        <f>306318.9-712.5</f>
        <v>305606.40000000002</v>
      </c>
      <c r="E153" s="89">
        <f>D153-C153</f>
        <v>9445.4000000000233</v>
      </c>
      <c r="F153" s="87">
        <v>-712.5</v>
      </c>
      <c r="G153" s="87"/>
      <c r="H153" s="31">
        <v>-300</v>
      </c>
      <c r="I153" s="56" t="s">
        <v>163</v>
      </c>
      <c r="L153" s="30"/>
    </row>
    <row r="154" spans="1:12" s="17" customFormat="1" ht="31.5" x14ac:dyDescent="0.25">
      <c r="A154" s="96"/>
      <c r="B154" s="95"/>
      <c r="C154" s="88"/>
      <c r="D154" s="88"/>
      <c r="E154" s="89"/>
      <c r="F154" s="90"/>
      <c r="G154" s="90"/>
      <c r="H154" s="47">
        <v>-712.5</v>
      </c>
      <c r="I154" s="39" t="s">
        <v>164</v>
      </c>
      <c r="L154" s="30"/>
    </row>
    <row r="155" spans="1:12" s="17" customFormat="1" x14ac:dyDescent="0.25">
      <c r="A155" s="96"/>
      <c r="B155" s="95"/>
      <c r="C155" s="88"/>
      <c r="D155" s="88"/>
      <c r="E155" s="89"/>
      <c r="F155" s="90"/>
      <c r="G155" s="90"/>
      <c r="H155" s="47"/>
      <c r="I155" s="39" t="s">
        <v>165</v>
      </c>
      <c r="L155" s="30"/>
    </row>
    <row r="156" spans="1:12" s="17" customFormat="1" ht="31.5" x14ac:dyDescent="0.25">
      <c r="A156" s="96"/>
      <c r="B156" s="95"/>
      <c r="C156" s="88"/>
      <c r="D156" s="88"/>
      <c r="E156" s="89"/>
      <c r="F156" s="91"/>
      <c r="G156" s="91"/>
      <c r="H156" s="31">
        <v>400</v>
      </c>
      <c r="I156" s="35" t="s">
        <v>166</v>
      </c>
      <c r="L156" s="30"/>
    </row>
    <row r="157" spans="1:12" s="17" customFormat="1" ht="31.5" x14ac:dyDescent="0.25">
      <c r="A157" s="96"/>
      <c r="B157" s="95"/>
      <c r="C157" s="88"/>
      <c r="D157" s="88"/>
      <c r="E157" s="89"/>
      <c r="F157" s="91"/>
      <c r="G157" s="91"/>
      <c r="H157" s="31">
        <v>6300</v>
      </c>
      <c r="I157" s="35" t="s">
        <v>167</v>
      </c>
      <c r="L157" s="30"/>
    </row>
    <row r="158" spans="1:12" s="17" customFormat="1" x14ac:dyDescent="0.25">
      <c r="A158" s="96"/>
      <c r="B158" s="95"/>
      <c r="C158" s="88"/>
      <c r="D158" s="88"/>
      <c r="E158" s="89"/>
      <c r="F158" s="91"/>
      <c r="G158" s="91"/>
      <c r="H158" s="47">
        <f>6710-6300+90</f>
        <v>500</v>
      </c>
      <c r="I158" s="50" t="s">
        <v>168</v>
      </c>
      <c r="L158" s="30"/>
    </row>
    <row r="159" spans="1:12" s="17" customFormat="1" ht="47.25" x14ac:dyDescent="0.25">
      <c r="A159" s="96"/>
      <c r="B159" s="95"/>
      <c r="C159" s="88"/>
      <c r="D159" s="88"/>
      <c r="E159" s="89"/>
      <c r="F159" s="85"/>
      <c r="G159" s="85"/>
      <c r="H159" s="31">
        <v>3257.9</v>
      </c>
      <c r="I159" s="59" t="s">
        <v>169</v>
      </c>
      <c r="L159" s="30"/>
    </row>
    <row r="160" spans="1:12" s="23" customFormat="1" ht="14.25" customHeight="1" x14ac:dyDescent="0.25">
      <c r="A160" s="60"/>
      <c r="B160" s="61" t="s">
        <v>170</v>
      </c>
      <c r="C160" s="27">
        <f t="shared" ref="C160:H160" si="3">SUM(C6+C24+C27+C53+C69+C73+C107+C112+C148)</f>
        <v>5417259.1000000006</v>
      </c>
      <c r="D160" s="27">
        <f t="shared" si="3"/>
        <v>5625205.2000000002</v>
      </c>
      <c r="E160" s="27">
        <f t="shared" si="3"/>
        <v>207946.09999999998</v>
      </c>
      <c r="F160" s="27">
        <f t="shared" si="3"/>
        <v>-4836.5999999999985</v>
      </c>
      <c r="G160" s="27">
        <f t="shared" si="3"/>
        <v>59979.1</v>
      </c>
      <c r="H160" s="28">
        <f t="shared" si="3"/>
        <v>207946.3</v>
      </c>
      <c r="I160" s="62"/>
      <c r="L160" s="30"/>
    </row>
    <row r="161" spans="1:9" s="23" customFormat="1" hidden="1" x14ac:dyDescent="0.25">
      <c r="A161" s="63"/>
      <c r="B161" s="64"/>
      <c r="C161" s="4"/>
      <c r="D161" s="65"/>
      <c r="E161" s="3"/>
      <c r="F161" s="5"/>
      <c r="G161" s="5"/>
      <c r="H161" s="6"/>
      <c r="I161" s="66"/>
    </row>
    <row r="162" spans="1:9" s="23" customFormat="1" hidden="1" x14ac:dyDescent="0.25">
      <c r="A162" s="63"/>
      <c r="B162" s="64"/>
      <c r="C162" s="4"/>
      <c r="D162" s="4">
        <f>5565226.1+59908.3+70.8</f>
        <v>5625205.1999999993</v>
      </c>
      <c r="E162" s="3"/>
      <c r="F162" s="5" t="s">
        <v>173</v>
      </c>
      <c r="G162" s="5">
        <f>49987.3+9921</f>
        <v>59908.3</v>
      </c>
      <c r="H162" s="6"/>
      <c r="I162" s="66"/>
    </row>
    <row r="163" spans="1:9" s="23" customFormat="1" hidden="1" x14ac:dyDescent="0.25">
      <c r="A163" s="63"/>
      <c r="B163" s="64"/>
      <c r="C163" s="4"/>
      <c r="D163" s="4"/>
      <c r="E163" s="4"/>
      <c r="F163" s="67" t="s">
        <v>174</v>
      </c>
      <c r="G163" s="67">
        <v>70.8</v>
      </c>
      <c r="H163" s="68"/>
      <c r="I163" s="66"/>
    </row>
    <row r="164" spans="1:9" s="23" customFormat="1" hidden="1" x14ac:dyDescent="0.25">
      <c r="A164" s="63"/>
      <c r="B164" s="64"/>
      <c r="C164" s="4"/>
      <c r="D164" s="4"/>
      <c r="E164" s="4"/>
      <c r="F164" s="67"/>
      <c r="G164" s="67"/>
      <c r="H164" s="68"/>
      <c r="I164" s="66"/>
    </row>
    <row r="165" spans="1:9" s="23" customFormat="1" hidden="1" x14ac:dyDescent="0.25">
      <c r="A165" s="63"/>
      <c r="B165" s="64"/>
      <c r="C165" s="4"/>
      <c r="D165" s="4"/>
      <c r="E165" s="4"/>
      <c r="F165" s="67"/>
      <c r="G165" s="67">
        <f>SUM(G162:G164)</f>
        <v>59979.100000000006</v>
      </c>
      <c r="H165" s="68"/>
      <c r="I165" s="66"/>
    </row>
    <row r="166" spans="1:9" s="23" customFormat="1" hidden="1" x14ac:dyDescent="0.25">
      <c r="A166" s="63"/>
      <c r="B166" s="64"/>
      <c r="C166" s="4"/>
      <c r="D166" s="4"/>
      <c r="E166" s="4"/>
      <c r="F166" s="67"/>
      <c r="G166" s="67"/>
      <c r="H166" s="68"/>
      <c r="I166" s="66"/>
    </row>
    <row r="167" spans="1:9" s="23" customFormat="1" hidden="1" x14ac:dyDescent="0.25">
      <c r="A167" s="63"/>
      <c r="B167" s="64"/>
      <c r="C167" s="74"/>
      <c r="D167" s="74" t="s">
        <v>186</v>
      </c>
      <c r="E167" s="74"/>
      <c r="F167" s="67"/>
      <c r="G167" s="67"/>
      <c r="H167" s="68"/>
      <c r="I167" s="66"/>
    </row>
    <row r="168" spans="1:9" s="23" customFormat="1" hidden="1" x14ac:dyDescent="0.25">
      <c r="A168" s="63"/>
      <c r="B168" s="64"/>
      <c r="C168" s="4"/>
      <c r="D168" s="4">
        <v>4205.6000000000004</v>
      </c>
      <c r="E168" s="4"/>
      <c r="F168" s="67"/>
      <c r="G168" s="67"/>
      <c r="H168" s="68"/>
      <c r="I168" s="66"/>
    </row>
    <row r="169" spans="1:9" s="23" customFormat="1" hidden="1" x14ac:dyDescent="0.25">
      <c r="A169" s="63"/>
      <c r="B169" s="64"/>
      <c r="C169" s="4"/>
      <c r="D169" s="4">
        <f>19846.7+9921</f>
        <v>29767.7</v>
      </c>
      <c r="E169" s="4"/>
      <c r="F169" s="67"/>
      <c r="G169" s="67"/>
      <c r="H169" s="68"/>
      <c r="I169" s="66"/>
    </row>
    <row r="170" spans="1:9" s="23" customFormat="1" hidden="1" x14ac:dyDescent="0.25">
      <c r="A170" s="63"/>
      <c r="B170" s="64"/>
      <c r="C170" s="4"/>
      <c r="D170" s="4">
        <v>24783.5</v>
      </c>
      <c r="E170" s="4"/>
      <c r="F170" s="67"/>
      <c r="G170" s="67"/>
      <c r="H170" s="68"/>
      <c r="I170" s="66"/>
    </row>
    <row r="171" spans="1:9" s="23" customFormat="1" hidden="1" x14ac:dyDescent="0.25">
      <c r="A171" s="63"/>
      <c r="B171" s="64"/>
      <c r="C171" s="4"/>
      <c r="D171" s="4">
        <v>1151.5</v>
      </c>
      <c r="E171" s="4"/>
      <c r="F171" s="67"/>
      <c r="G171" s="67"/>
      <c r="H171" s="68"/>
      <c r="I171" s="66"/>
    </row>
    <row r="172" spans="1:9" s="23" customFormat="1" hidden="1" x14ac:dyDescent="0.25">
      <c r="A172" s="63"/>
      <c r="B172" s="64"/>
      <c r="C172" s="4"/>
      <c r="D172" s="4">
        <v>70.8</v>
      </c>
      <c r="E172" s="4"/>
      <c r="F172" s="67"/>
      <c r="G172" s="67"/>
      <c r="H172" s="68"/>
      <c r="I172" s="66"/>
    </row>
    <row r="173" spans="1:9" s="23" customFormat="1" hidden="1" x14ac:dyDescent="0.25">
      <c r="A173" s="63"/>
      <c r="B173" s="64"/>
      <c r="C173" s="4"/>
      <c r="D173" s="4">
        <f>SUM(D168:D172)</f>
        <v>59979.100000000006</v>
      </c>
      <c r="E173" s="4"/>
      <c r="F173" s="67"/>
      <c r="G173" s="67"/>
      <c r="H173" s="68"/>
      <c r="I173" s="66"/>
    </row>
    <row r="174" spans="1:9" s="23" customFormat="1" x14ac:dyDescent="0.25">
      <c r="A174" s="63"/>
      <c r="B174" s="64"/>
      <c r="C174" s="4"/>
      <c r="D174" s="4"/>
      <c r="E174" s="4"/>
      <c r="F174" s="67"/>
      <c r="G174" s="67"/>
      <c r="H174" s="68"/>
      <c r="I174" s="66"/>
    </row>
    <row r="175" spans="1:9" s="23" customFormat="1" x14ac:dyDescent="0.25">
      <c r="A175" s="63"/>
      <c r="B175" s="64"/>
      <c r="C175" s="4"/>
      <c r="D175" s="4"/>
      <c r="E175" s="4"/>
      <c r="F175" s="67"/>
      <c r="G175" s="67"/>
      <c r="H175" s="68"/>
      <c r="I175" s="66"/>
    </row>
    <row r="176" spans="1:9" s="23" customFormat="1" x14ac:dyDescent="0.25">
      <c r="A176" s="63"/>
      <c r="B176" s="64"/>
      <c r="C176" s="4"/>
      <c r="D176" s="4"/>
      <c r="E176" s="4"/>
      <c r="F176" s="67"/>
      <c r="G176" s="67"/>
      <c r="H176" s="68"/>
      <c r="I176" s="66"/>
    </row>
    <row r="177" spans="1:9" s="23" customFormat="1" x14ac:dyDescent="0.25">
      <c r="A177" s="63"/>
      <c r="B177" s="64"/>
      <c r="C177" s="4"/>
      <c r="D177" s="4"/>
      <c r="E177" s="4"/>
      <c r="F177" s="67"/>
      <c r="G177" s="67"/>
      <c r="H177" s="68"/>
      <c r="I177" s="66"/>
    </row>
    <row r="178" spans="1:9" s="23" customFormat="1" x14ac:dyDescent="0.25">
      <c r="A178" s="63"/>
      <c r="B178" s="64"/>
      <c r="C178" s="4"/>
      <c r="D178" s="4"/>
      <c r="E178" s="4"/>
      <c r="F178" s="67"/>
      <c r="G178" s="67"/>
      <c r="H178" s="68"/>
      <c r="I178" s="66"/>
    </row>
    <row r="179" spans="1:9" s="23" customFormat="1" x14ac:dyDescent="0.25">
      <c r="A179" s="63"/>
      <c r="B179" s="64"/>
      <c r="C179" s="4"/>
      <c r="D179" s="4"/>
      <c r="E179" s="4"/>
      <c r="F179" s="67"/>
      <c r="G179" s="67"/>
      <c r="H179" s="68"/>
      <c r="I179" s="66"/>
    </row>
    <row r="180" spans="1:9" s="23" customFormat="1" x14ac:dyDescent="0.25">
      <c r="A180" s="63"/>
      <c r="B180" s="64"/>
      <c r="C180" s="4"/>
      <c r="D180" s="4"/>
      <c r="E180" s="4"/>
      <c r="F180" s="67"/>
      <c r="G180" s="67"/>
      <c r="H180" s="68"/>
      <c r="I180" s="66"/>
    </row>
    <row r="181" spans="1:9" s="23" customFormat="1" x14ac:dyDescent="0.25">
      <c r="A181" s="63"/>
      <c r="B181" s="64"/>
      <c r="C181" s="4"/>
      <c r="D181" s="4"/>
      <c r="E181" s="4"/>
      <c r="F181" s="67"/>
      <c r="G181" s="67"/>
      <c r="H181" s="68"/>
      <c r="I181" s="66"/>
    </row>
    <row r="182" spans="1:9" s="23" customFormat="1" x14ac:dyDescent="0.25">
      <c r="A182" s="63"/>
      <c r="B182" s="64"/>
      <c r="C182" s="4"/>
      <c r="D182" s="4"/>
      <c r="E182" s="4"/>
      <c r="F182" s="67"/>
      <c r="G182" s="67"/>
      <c r="H182" s="68"/>
      <c r="I182" s="66"/>
    </row>
    <row r="183" spans="1:9" s="23" customFormat="1" x14ac:dyDescent="0.25">
      <c r="A183" s="63"/>
      <c r="B183" s="64"/>
      <c r="C183" s="4"/>
      <c r="D183" s="4"/>
      <c r="E183" s="4"/>
      <c r="F183" s="67"/>
      <c r="G183" s="67"/>
      <c r="H183" s="68"/>
      <c r="I183" s="66"/>
    </row>
    <row r="184" spans="1:9" s="23" customFormat="1" x14ac:dyDescent="0.25">
      <c r="A184" s="63"/>
      <c r="B184" s="64"/>
      <c r="C184" s="4"/>
      <c r="D184" s="4"/>
      <c r="E184" s="4"/>
      <c r="F184" s="67"/>
      <c r="G184" s="67"/>
      <c r="H184" s="68"/>
      <c r="I184" s="66"/>
    </row>
    <row r="185" spans="1:9" s="23" customFormat="1" x14ac:dyDescent="0.25">
      <c r="A185" s="63"/>
      <c r="B185" s="64"/>
      <c r="C185" s="4"/>
      <c r="D185" s="4"/>
      <c r="E185" s="4"/>
      <c r="F185" s="67"/>
      <c r="G185" s="67"/>
      <c r="H185" s="68"/>
      <c r="I185" s="66"/>
    </row>
    <row r="186" spans="1:9" s="23" customFormat="1" x14ac:dyDescent="0.25">
      <c r="A186" s="63"/>
      <c r="B186" s="64"/>
      <c r="C186" s="4"/>
      <c r="D186" s="4"/>
      <c r="E186" s="4"/>
      <c r="F186" s="67"/>
      <c r="G186" s="67"/>
      <c r="H186" s="68"/>
      <c r="I186" s="66"/>
    </row>
    <row r="187" spans="1:9" s="23" customFormat="1" x14ac:dyDescent="0.25">
      <c r="A187" s="63"/>
      <c r="B187" s="64"/>
      <c r="C187" s="4"/>
      <c r="D187" s="4"/>
      <c r="E187" s="4"/>
      <c r="F187" s="67"/>
      <c r="G187" s="67"/>
      <c r="H187" s="68"/>
      <c r="I187" s="66"/>
    </row>
    <row r="188" spans="1:9" s="23" customFormat="1" x14ac:dyDescent="0.25">
      <c r="A188" s="63"/>
      <c r="B188" s="64"/>
      <c r="C188" s="4"/>
      <c r="D188" s="4"/>
      <c r="E188" s="4"/>
      <c r="F188" s="67"/>
      <c r="G188" s="67"/>
      <c r="H188" s="68"/>
      <c r="I188" s="66"/>
    </row>
    <row r="189" spans="1:9" s="23" customFormat="1" x14ac:dyDescent="0.25">
      <c r="A189" s="63"/>
      <c r="B189" s="64"/>
      <c r="C189" s="4"/>
      <c r="D189" s="4"/>
      <c r="E189" s="4"/>
      <c r="F189" s="67"/>
      <c r="G189" s="67"/>
      <c r="H189" s="68"/>
      <c r="I189" s="66"/>
    </row>
    <row r="190" spans="1:9" s="23" customFormat="1" x14ac:dyDescent="0.25">
      <c r="A190" s="63"/>
      <c r="B190" s="64"/>
      <c r="C190" s="4"/>
      <c r="D190" s="4"/>
      <c r="E190" s="4"/>
      <c r="F190" s="67"/>
      <c r="G190" s="67"/>
      <c r="H190" s="68"/>
      <c r="I190" s="66"/>
    </row>
    <row r="191" spans="1:9" s="23" customFormat="1" x14ac:dyDescent="0.25">
      <c r="A191" s="63"/>
      <c r="B191" s="64"/>
      <c r="C191" s="4"/>
      <c r="D191" s="4"/>
      <c r="E191" s="4"/>
      <c r="F191" s="67"/>
      <c r="G191" s="67"/>
      <c r="H191" s="68"/>
      <c r="I191" s="66"/>
    </row>
    <row r="192" spans="1:9" s="23" customFormat="1" x14ac:dyDescent="0.25">
      <c r="A192" s="63"/>
      <c r="B192" s="64"/>
      <c r="C192" s="4"/>
      <c r="D192" s="4"/>
      <c r="E192" s="4"/>
      <c r="F192" s="67"/>
      <c r="G192" s="67"/>
      <c r="H192" s="68"/>
      <c r="I192" s="66"/>
    </row>
    <row r="193" spans="1:9" s="23" customFormat="1" x14ac:dyDescent="0.25">
      <c r="A193" s="63"/>
      <c r="B193" s="64"/>
      <c r="C193" s="4"/>
      <c r="D193" s="4"/>
      <c r="E193" s="4"/>
      <c r="F193" s="67"/>
      <c r="G193" s="67"/>
      <c r="H193" s="68"/>
      <c r="I193" s="66"/>
    </row>
    <row r="194" spans="1:9" s="23" customFormat="1" x14ac:dyDescent="0.25">
      <c r="A194" s="63"/>
      <c r="B194" s="64"/>
      <c r="C194" s="4"/>
      <c r="D194" s="4"/>
      <c r="E194" s="4"/>
      <c r="F194" s="67"/>
      <c r="G194" s="67"/>
      <c r="H194" s="68"/>
      <c r="I194" s="66"/>
    </row>
    <row r="195" spans="1:9" s="23" customFormat="1" x14ac:dyDescent="0.25">
      <c r="A195" s="63"/>
      <c r="B195" s="64"/>
      <c r="C195" s="4"/>
      <c r="D195" s="4"/>
      <c r="E195" s="4"/>
      <c r="F195" s="67"/>
      <c r="G195" s="67"/>
      <c r="H195" s="68"/>
      <c r="I195" s="66"/>
    </row>
    <row r="196" spans="1:9" s="23" customFormat="1" x14ac:dyDescent="0.25">
      <c r="A196" s="63"/>
      <c r="B196" s="64"/>
      <c r="C196" s="4"/>
      <c r="D196" s="4"/>
      <c r="E196" s="4"/>
      <c r="F196" s="67"/>
      <c r="G196" s="67"/>
      <c r="H196" s="68"/>
      <c r="I196" s="66"/>
    </row>
    <row r="197" spans="1:9" s="23" customFormat="1" x14ac:dyDescent="0.25">
      <c r="A197" s="63"/>
      <c r="B197" s="64"/>
      <c r="C197" s="4"/>
      <c r="D197" s="4"/>
      <c r="E197" s="4"/>
      <c r="F197" s="67"/>
      <c r="G197" s="67"/>
      <c r="H197" s="68"/>
      <c r="I197" s="66"/>
    </row>
    <row r="198" spans="1:9" s="23" customFormat="1" x14ac:dyDescent="0.25">
      <c r="A198" s="63"/>
      <c r="B198" s="64"/>
      <c r="C198" s="4"/>
      <c r="D198" s="4"/>
      <c r="E198" s="4"/>
      <c r="F198" s="67"/>
      <c r="G198" s="67"/>
      <c r="H198" s="68"/>
      <c r="I198" s="66"/>
    </row>
    <row r="199" spans="1:9" s="23" customFormat="1" x14ac:dyDescent="0.25">
      <c r="A199" s="63"/>
      <c r="B199" s="64"/>
      <c r="C199" s="4"/>
      <c r="D199" s="4"/>
      <c r="E199" s="4"/>
      <c r="F199" s="67"/>
      <c r="G199" s="67"/>
      <c r="H199" s="68"/>
      <c r="I199" s="66"/>
    </row>
    <row r="200" spans="1:9" s="23" customFormat="1" x14ac:dyDescent="0.25">
      <c r="A200" s="63"/>
      <c r="B200" s="64"/>
      <c r="C200" s="4"/>
      <c r="D200" s="4"/>
      <c r="E200" s="4"/>
      <c r="F200" s="67"/>
      <c r="G200" s="67"/>
      <c r="H200" s="68"/>
      <c r="I200" s="66"/>
    </row>
    <row r="201" spans="1:9" s="23" customFormat="1" x14ac:dyDescent="0.25">
      <c r="A201" s="63"/>
      <c r="B201" s="64"/>
      <c r="C201" s="4"/>
      <c r="D201" s="4"/>
      <c r="E201" s="4"/>
      <c r="F201" s="67"/>
      <c r="G201" s="67"/>
      <c r="H201" s="68"/>
      <c r="I201" s="66"/>
    </row>
    <row r="202" spans="1:9" s="23" customFormat="1" x14ac:dyDescent="0.25">
      <c r="A202" s="63"/>
      <c r="B202" s="64"/>
      <c r="C202" s="4"/>
      <c r="D202" s="4"/>
      <c r="E202" s="4"/>
      <c r="F202" s="67"/>
      <c r="G202" s="67"/>
      <c r="H202" s="68"/>
      <c r="I202" s="66"/>
    </row>
    <row r="203" spans="1:9" s="23" customFormat="1" x14ac:dyDescent="0.25">
      <c r="A203" s="63"/>
      <c r="B203" s="64"/>
      <c r="C203" s="4"/>
      <c r="D203" s="4"/>
      <c r="E203" s="4"/>
      <c r="F203" s="67"/>
      <c r="G203" s="67"/>
      <c r="H203" s="68"/>
      <c r="I203" s="66"/>
    </row>
    <row r="204" spans="1:9" s="23" customFormat="1" x14ac:dyDescent="0.25">
      <c r="A204" s="63"/>
      <c r="B204" s="64"/>
      <c r="C204" s="4"/>
      <c r="D204" s="4"/>
      <c r="E204" s="4"/>
      <c r="F204" s="67"/>
      <c r="G204" s="67"/>
      <c r="H204" s="68"/>
      <c r="I204" s="66"/>
    </row>
    <row r="205" spans="1:9" s="23" customFormat="1" x14ac:dyDescent="0.25">
      <c r="A205" s="63"/>
      <c r="B205" s="64"/>
      <c r="C205" s="4"/>
      <c r="D205" s="4"/>
      <c r="E205" s="4"/>
      <c r="F205" s="67"/>
      <c r="G205" s="67"/>
      <c r="H205" s="68"/>
      <c r="I205" s="66"/>
    </row>
    <row r="206" spans="1:9" s="23" customFormat="1" x14ac:dyDescent="0.25">
      <c r="A206" s="63"/>
      <c r="B206" s="64"/>
      <c r="C206" s="4"/>
      <c r="D206" s="4"/>
      <c r="E206" s="4"/>
      <c r="F206" s="67"/>
      <c r="G206" s="67"/>
      <c r="H206" s="68"/>
      <c r="I206" s="66"/>
    </row>
    <row r="207" spans="1:9" s="23" customFormat="1" x14ac:dyDescent="0.25">
      <c r="A207" s="63"/>
      <c r="B207" s="64"/>
      <c r="C207" s="4"/>
      <c r="D207" s="4"/>
      <c r="E207" s="4"/>
      <c r="F207" s="67"/>
      <c r="G207" s="67"/>
      <c r="H207" s="68"/>
      <c r="I207" s="66"/>
    </row>
    <row r="208" spans="1:9" s="23" customFormat="1" x14ac:dyDescent="0.25">
      <c r="A208" s="63"/>
      <c r="B208" s="64"/>
      <c r="C208" s="4"/>
      <c r="D208" s="4"/>
      <c r="E208" s="4"/>
      <c r="F208" s="67"/>
      <c r="G208" s="67"/>
      <c r="H208" s="68"/>
      <c r="I208" s="66"/>
    </row>
    <row r="209" spans="1:9" s="23" customFormat="1" x14ac:dyDescent="0.25">
      <c r="A209" s="63"/>
      <c r="B209" s="64"/>
      <c r="C209" s="4"/>
      <c r="D209" s="4"/>
      <c r="E209" s="4"/>
      <c r="F209" s="67"/>
      <c r="G209" s="67"/>
      <c r="H209" s="68"/>
      <c r="I209" s="66"/>
    </row>
    <row r="210" spans="1:9" s="23" customFormat="1" x14ac:dyDescent="0.25">
      <c r="A210" s="63"/>
      <c r="B210" s="64"/>
      <c r="C210" s="4"/>
      <c r="D210" s="4"/>
      <c r="E210" s="4"/>
      <c r="F210" s="67"/>
      <c r="G210" s="67"/>
      <c r="H210" s="68"/>
      <c r="I210" s="66"/>
    </row>
    <row r="211" spans="1:9" s="23" customFormat="1" x14ac:dyDescent="0.25">
      <c r="A211" s="63"/>
      <c r="B211" s="64"/>
      <c r="C211" s="4"/>
      <c r="D211" s="4"/>
      <c r="E211" s="4"/>
      <c r="F211" s="67"/>
      <c r="G211" s="67"/>
      <c r="H211" s="68"/>
      <c r="I211" s="66"/>
    </row>
    <row r="212" spans="1:9" s="23" customFormat="1" x14ac:dyDescent="0.25">
      <c r="A212" s="63"/>
      <c r="B212" s="64"/>
      <c r="C212" s="4"/>
      <c r="D212" s="4"/>
      <c r="E212" s="4"/>
      <c r="F212" s="67"/>
      <c r="G212" s="67"/>
      <c r="H212" s="68"/>
      <c r="I212" s="66"/>
    </row>
    <row r="213" spans="1:9" s="23" customFormat="1" x14ac:dyDescent="0.25">
      <c r="A213" s="63"/>
      <c r="B213" s="64"/>
      <c r="C213" s="4"/>
      <c r="D213" s="4"/>
      <c r="E213" s="4"/>
      <c r="F213" s="67"/>
      <c r="G213" s="67"/>
      <c r="H213" s="68"/>
      <c r="I213" s="66"/>
    </row>
    <row r="214" spans="1:9" s="23" customFormat="1" x14ac:dyDescent="0.25">
      <c r="A214" s="63"/>
      <c r="B214" s="64"/>
      <c r="C214" s="4"/>
      <c r="D214" s="4"/>
      <c r="E214" s="4"/>
      <c r="F214" s="67"/>
      <c r="G214" s="67"/>
      <c r="H214" s="68"/>
      <c r="I214" s="66"/>
    </row>
    <row r="215" spans="1:9" s="23" customFormat="1" x14ac:dyDescent="0.25">
      <c r="A215" s="63"/>
      <c r="B215" s="64"/>
      <c r="C215" s="4"/>
      <c r="D215" s="4"/>
      <c r="E215" s="4"/>
      <c r="F215" s="67"/>
      <c r="G215" s="67"/>
      <c r="H215" s="68"/>
      <c r="I215" s="66"/>
    </row>
    <row r="216" spans="1:9" s="23" customFormat="1" x14ac:dyDescent="0.25">
      <c r="A216" s="63"/>
      <c r="B216" s="64"/>
      <c r="C216" s="4"/>
      <c r="D216" s="4"/>
      <c r="E216" s="4"/>
      <c r="F216" s="67"/>
      <c r="G216" s="67"/>
      <c r="H216" s="68"/>
      <c r="I216" s="66"/>
    </row>
    <row r="217" spans="1:9" s="23" customFormat="1" x14ac:dyDescent="0.25">
      <c r="A217" s="63"/>
      <c r="B217" s="64"/>
      <c r="C217" s="4"/>
      <c r="D217" s="4"/>
      <c r="E217" s="4"/>
      <c r="F217" s="67"/>
      <c r="G217" s="67"/>
      <c r="H217" s="68"/>
      <c r="I217" s="66"/>
    </row>
    <row r="218" spans="1:9" s="23" customFormat="1" x14ac:dyDescent="0.25">
      <c r="A218" s="63"/>
      <c r="B218" s="64"/>
      <c r="C218" s="4"/>
      <c r="D218" s="4"/>
      <c r="E218" s="4"/>
      <c r="F218" s="67"/>
      <c r="G218" s="67"/>
      <c r="H218" s="68"/>
      <c r="I218" s="66"/>
    </row>
    <row r="219" spans="1:9" s="23" customFormat="1" x14ac:dyDescent="0.25">
      <c r="A219" s="63"/>
      <c r="B219" s="64"/>
      <c r="C219" s="4"/>
      <c r="D219" s="4"/>
      <c r="E219" s="4"/>
      <c r="F219" s="67"/>
      <c r="G219" s="67"/>
      <c r="H219" s="68"/>
      <c r="I219" s="66"/>
    </row>
    <row r="220" spans="1:9" s="23" customFormat="1" x14ac:dyDescent="0.25">
      <c r="A220" s="63"/>
      <c r="B220" s="64"/>
      <c r="C220" s="4"/>
      <c r="D220" s="4"/>
      <c r="E220" s="4"/>
      <c r="F220" s="67"/>
      <c r="G220" s="67"/>
      <c r="H220" s="68"/>
      <c r="I220" s="66"/>
    </row>
    <row r="221" spans="1:9" s="23" customFormat="1" x14ac:dyDescent="0.25">
      <c r="A221" s="63"/>
      <c r="B221" s="64"/>
      <c r="C221" s="4"/>
      <c r="D221" s="4"/>
      <c r="E221" s="4"/>
      <c r="F221" s="67"/>
      <c r="G221" s="67"/>
      <c r="H221" s="68"/>
      <c r="I221" s="66"/>
    </row>
    <row r="222" spans="1:9" s="23" customFormat="1" x14ac:dyDescent="0.25">
      <c r="A222" s="63"/>
      <c r="B222" s="64"/>
      <c r="C222" s="4"/>
      <c r="D222" s="4"/>
      <c r="E222" s="4"/>
      <c r="F222" s="67"/>
      <c r="G222" s="67"/>
      <c r="H222" s="68"/>
      <c r="I222" s="66"/>
    </row>
    <row r="223" spans="1:9" s="23" customFormat="1" x14ac:dyDescent="0.25">
      <c r="A223" s="63"/>
      <c r="B223" s="64"/>
      <c r="C223" s="4"/>
      <c r="D223" s="4"/>
      <c r="E223" s="4"/>
      <c r="F223" s="67"/>
      <c r="G223" s="67"/>
      <c r="H223" s="68"/>
      <c r="I223" s="66"/>
    </row>
    <row r="224" spans="1:9" s="23" customFormat="1" x14ac:dyDescent="0.25">
      <c r="A224" s="63"/>
      <c r="B224" s="64"/>
      <c r="C224" s="4"/>
      <c r="D224" s="4"/>
      <c r="E224" s="4"/>
      <c r="F224" s="67"/>
      <c r="G224" s="67"/>
      <c r="H224" s="68"/>
      <c r="I224" s="66"/>
    </row>
    <row r="225" spans="1:9" s="23" customFormat="1" x14ac:dyDescent="0.25">
      <c r="A225" s="63"/>
      <c r="B225" s="64"/>
      <c r="C225" s="4"/>
      <c r="D225" s="4"/>
      <c r="E225" s="4"/>
      <c r="F225" s="67"/>
      <c r="G225" s="67"/>
      <c r="H225" s="68"/>
      <c r="I225" s="66"/>
    </row>
    <row r="226" spans="1:9" s="23" customFormat="1" x14ac:dyDescent="0.25">
      <c r="A226" s="63"/>
      <c r="B226" s="64"/>
      <c r="C226" s="4"/>
      <c r="D226" s="4"/>
      <c r="E226" s="4"/>
      <c r="F226" s="67"/>
      <c r="G226" s="67"/>
      <c r="H226" s="68"/>
      <c r="I226" s="66"/>
    </row>
    <row r="227" spans="1:9" s="23" customFormat="1" x14ac:dyDescent="0.25">
      <c r="A227" s="63"/>
      <c r="B227" s="64"/>
      <c r="C227" s="4"/>
      <c r="D227" s="4"/>
      <c r="E227" s="4"/>
      <c r="F227" s="67"/>
      <c r="G227" s="67"/>
      <c r="H227" s="68"/>
      <c r="I227" s="66"/>
    </row>
    <row r="228" spans="1:9" s="23" customFormat="1" x14ac:dyDescent="0.25">
      <c r="A228" s="63"/>
      <c r="B228" s="64"/>
      <c r="C228" s="4"/>
      <c r="D228" s="4"/>
      <c r="E228" s="4"/>
      <c r="F228" s="67"/>
      <c r="G228" s="67"/>
      <c r="H228" s="68"/>
      <c r="I228" s="66"/>
    </row>
    <row r="229" spans="1:9" s="23" customFormat="1" x14ac:dyDescent="0.25">
      <c r="A229" s="63"/>
      <c r="B229" s="64"/>
      <c r="C229" s="4"/>
      <c r="D229" s="4"/>
      <c r="E229" s="4"/>
      <c r="F229" s="67"/>
      <c r="G229" s="67"/>
      <c r="H229" s="68"/>
      <c r="I229" s="66"/>
    </row>
    <row r="230" spans="1:9" s="23" customFormat="1" x14ac:dyDescent="0.25">
      <c r="A230" s="63"/>
      <c r="B230" s="64"/>
      <c r="C230" s="4"/>
      <c r="D230" s="4"/>
      <c r="E230" s="4"/>
      <c r="F230" s="67"/>
      <c r="G230" s="67"/>
      <c r="H230" s="68"/>
      <c r="I230" s="66"/>
    </row>
    <row r="231" spans="1:9" s="23" customFormat="1" x14ac:dyDescent="0.25">
      <c r="A231" s="63"/>
      <c r="B231" s="64"/>
      <c r="C231" s="4"/>
      <c r="D231" s="4"/>
      <c r="E231" s="4"/>
      <c r="F231" s="67"/>
      <c r="G231" s="67"/>
      <c r="H231" s="68"/>
      <c r="I231" s="66"/>
    </row>
    <row r="232" spans="1:9" s="23" customFormat="1" x14ac:dyDescent="0.25">
      <c r="A232" s="63"/>
      <c r="B232" s="64"/>
      <c r="C232" s="4"/>
      <c r="D232" s="4"/>
      <c r="E232" s="4"/>
      <c r="F232" s="67"/>
      <c r="G232" s="67"/>
      <c r="H232" s="68"/>
      <c r="I232" s="66"/>
    </row>
    <row r="233" spans="1:9" s="23" customFormat="1" x14ac:dyDescent="0.25">
      <c r="A233" s="63"/>
      <c r="B233" s="64"/>
      <c r="C233" s="4"/>
      <c r="D233" s="4"/>
      <c r="E233" s="4"/>
      <c r="F233" s="67"/>
      <c r="G233" s="67"/>
      <c r="H233" s="68"/>
      <c r="I233" s="66"/>
    </row>
    <row r="234" spans="1:9" s="23" customFormat="1" x14ac:dyDescent="0.25">
      <c r="A234" s="63"/>
      <c r="B234" s="64"/>
      <c r="C234" s="4"/>
      <c r="D234" s="4"/>
      <c r="E234" s="4"/>
      <c r="F234" s="67"/>
      <c r="G234" s="67"/>
      <c r="H234" s="68"/>
      <c r="I234" s="66"/>
    </row>
    <row r="235" spans="1:9" s="23" customFormat="1" x14ac:dyDescent="0.25">
      <c r="A235" s="63"/>
      <c r="B235" s="64"/>
      <c r="C235" s="4"/>
      <c r="D235" s="4"/>
      <c r="E235" s="4"/>
      <c r="F235" s="67"/>
      <c r="G235" s="67"/>
      <c r="H235" s="68"/>
      <c r="I235" s="66"/>
    </row>
    <row r="236" spans="1:9" s="23" customFormat="1" x14ac:dyDescent="0.25">
      <c r="A236" s="63"/>
      <c r="B236" s="64"/>
      <c r="C236" s="4"/>
      <c r="D236" s="4"/>
      <c r="E236" s="4"/>
      <c r="F236" s="67"/>
      <c r="G236" s="67"/>
      <c r="H236" s="68"/>
      <c r="I236" s="66"/>
    </row>
    <row r="237" spans="1:9" s="23" customFormat="1" x14ac:dyDescent="0.25">
      <c r="A237" s="63"/>
      <c r="B237" s="64"/>
      <c r="C237" s="4"/>
      <c r="D237" s="4"/>
      <c r="E237" s="4"/>
      <c r="F237" s="67"/>
      <c r="G237" s="67"/>
      <c r="H237" s="68"/>
      <c r="I237" s="66"/>
    </row>
    <row r="238" spans="1:9" s="23" customFormat="1" x14ac:dyDescent="0.25">
      <c r="A238" s="63"/>
      <c r="B238" s="64"/>
      <c r="C238" s="4"/>
      <c r="D238" s="4"/>
      <c r="E238" s="4"/>
      <c r="F238" s="67"/>
      <c r="G238" s="67"/>
      <c r="H238" s="68"/>
      <c r="I238" s="66"/>
    </row>
    <row r="239" spans="1:9" s="23" customFormat="1" x14ac:dyDescent="0.25">
      <c r="A239" s="63"/>
      <c r="B239" s="64"/>
      <c r="C239" s="4"/>
      <c r="D239" s="4"/>
      <c r="E239" s="4"/>
      <c r="F239" s="67"/>
      <c r="G239" s="67"/>
      <c r="H239" s="68"/>
      <c r="I239" s="66"/>
    </row>
    <row r="240" spans="1:9" s="23" customFormat="1" x14ac:dyDescent="0.25">
      <c r="A240" s="63"/>
      <c r="B240" s="64"/>
      <c r="C240" s="4"/>
      <c r="D240" s="4"/>
      <c r="E240" s="4"/>
      <c r="F240" s="67"/>
      <c r="G240" s="67"/>
      <c r="H240" s="68"/>
      <c r="I240" s="66"/>
    </row>
    <row r="241" spans="1:9" s="23" customFormat="1" x14ac:dyDescent="0.25">
      <c r="A241" s="63"/>
      <c r="B241" s="64"/>
      <c r="C241" s="4"/>
      <c r="D241" s="4"/>
      <c r="E241" s="4"/>
      <c r="F241" s="67"/>
      <c r="G241" s="67"/>
      <c r="H241" s="68"/>
      <c r="I241" s="66"/>
    </row>
    <row r="242" spans="1:9" s="23" customFormat="1" x14ac:dyDescent="0.25">
      <c r="A242" s="63"/>
      <c r="B242" s="64"/>
      <c r="C242" s="4"/>
      <c r="D242" s="4"/>
      <c r="E242" s="4"/>
      <c r="F242" s="67"/>
      <c r="G242" s="67"/>
      <c r="H242" s="68"/>
      <c r="I242" s="66"/>
    </row>
    <row r="243" spans="1:9" s="23" customFormat="1" x14ac:dyDescent="0.25">
      <c r="A243" s="63"/>
      <c r="B243" s="64"/>
      <c r="C243" s="4"/>
      <c r="D243" s="4"/>
      <c r="E243" s="4"/>
      <c r="F243" s="67"/>
      <c r="G243" s="67"/>
      <c r="H243" s="68"/>
      <c r="I243" s="66"/>
    </row>
    <row r="244" spans="1:9" s="23" customFormat="1" x14ac:dyDescent="0.25">
      <c r="A244" s="63"/>
      <c r="B244" s="64"/>
      <c r="C244" s="4"/>
      <c r="D244" s="4"/>
      <c r="E244" s="4"/>
      <c r="F244" s="67"/>
      <c r="G244" s="67"/>
      <c r="H244" s="68"/>
      <c r="I244" s="66"/>
    </row>
    <row r="245" spans="1:9" s="23" customFormat="1" x14ac:dyDescent="0.25">
      <c r="A245" s="63"/>
      <c r="B245" s="64"/>
      <c r="C245" s="4"/>
      <c r="D245" s="4"/>
      <c r="E245" s="4"/>
      <c r="F245" s="67"/>
      <c r="G245" s="67"/>
      <c r="H245" s="68"/>
      <c r="I245" s="66"/>
    </row>
    <row r="246" spans="1:9" s="23" customFormat="1" x14ac:dyDescent="0.25">
      <c r="A246" s="63"/>
      <c r="B246" s="64"/>
      <c r="C246" s="4"/>
      <c r="D246" s="4"/>
      <c r="E246" s="4"/>
      <c r="F246" s="67"/>
      <c r="G246" s="67"/>
      <c r="H246" s="68"/>
      <c r="I246" s="66"/>
    </row>
    <row r="247" spans="1:9" s="23" customFormat="1" x14ac:dyDescent="0.25">
      <c r="A247" s="63"/>
      <c r="B247" s="64"/>
      <c r="C247" s="4"/>
      <c r="D247" s="4"/>
      <c r="E247" s="4"/>
      <c r="F247" s="67"/>
      <c r="G247" s="67"/>
      <c r="H247" s="68"/>
      <c r="I247" s="66"/>
    </row>
    <row r="248" spans="1:9" s="23" customFormat="1" x14ac:dyDescent="0.25">
      <c r="A248" s="63"/>
      <c r="B248" s="64"/>
      <c r="C248" s="4"/>
      <c r="D248" s="4"/>
      <c r="E248" s="4"/>
      <c r="F248" s="67"/>
      <c r="G248" s="67"/>
      <c r="H248" s="68"/>
      <c r="I248" s="66"/>
    </row>
    <row r="259" spans="1:9" s="73" customFormat="1" x14ac:dyDescent="0.25">
      <c r="A259" s="8"/>
      <c r="B259" s="69"/>
      <c r="C259" s="8"/>
      <c r="D259" s="8"/>
      <c r="E259" s="8"/>
      <c r="F259" s="70"/>
      <c r="G259" s="70"/>
      <c r="H259" s="71"/>
      <c r="I259" s="72"/>
    </row>
  </sheetData>
  <mergeCells count="91">
    <mergeCell ref="G108:G111"/>
    <mergeCell ref="G113:G138"/>
    <mergeCell ref="G139:G142"/>
    <mergeCell ref="G149:G151"/>
    <mergeCell ref="G153:G159"/>
    <mergeCell ref="F153:F159"/>
    <mergeCell ref="G7:G19"/>
    <mergeCell ref="G25:G26"/>
    <mergeCell ref="G28:G52"/>
    <mergeCell ref="G54:G68"/>
    <mergeCell ref="G70:G72"/>
    <mergeCell ref="G74:G94"/>
    <mergeCell ref="G95:G101"/>
    <mergeCell ref="G105:G106"/>
    <mergeCell ref="F139:F142"/>
    <mergeCell ref="F149:F151"/>
    <mergeCell ref="F113:F138"/>
    <mergeCell ref="F108:F111"/>
    <mergeCell ref="F95:F101"/>
    <mergeCell ref="F74:F94"/>
    <mergeCell ref="F70:F72"/>
    <mergeCell ref="A149:A159"/>
    <mergeCell ref="B149:B151"/>
    <mergeCell ref="C149:C151"/>
    <mergeCell ref="D149:D151"/>
    <mergeCell ref="E149:E151"/>
    <mergeCell ref="B153:B159"/>
    <mergeCell ref="C153:C159"/>
    <mergeCell ref="D153:D159"/>
    <mergeCell ref="E153:E159"/>
    <mergeCell ref="A113:A147"/>
    <mergeCell ref="B113:B138"/>
    <mergeCell ref="C113:C138"/>
    <mergeCell ref="D113:D138"/>
    <mergeCell ref="E113:E138"/>
    <mergeCell ref="B139:B142"/>
    <mergeCell ref="C139:C142"/>
    <mergeCell ref="D139:D142"/>
    <mergeCell ref="E139:E142"/>
    <mergeCell ref="B143:B144"/>
    <mergeCell ref="C143:C144"/>
    <mergeCell ref="D143:D144"/>
    <mergeCell ref="E143:E144"/>
    <mergeCell ref="F105:F106"/>
    <mergeCell ref="A108:A111"/>
    <mergeCell ref="B108:B111"/>
    <mergeCell ref="C108:C111"/>
    <mergeCell ref="D108:D111"/>
    <mergeCell ref="E108:E111"/>
    <mergeCell ref="A74:A106"/>
    <mergeCell ref="B74:B94"/>
    <mergeCell ref="C74:C94"/>
    <mergeCell ref="D74:D94"/>
    <mergeCell ref="E74:E94"/>
    <mergeCell ref="B95:B101"/>
    <mergeCell ref="C95:C101"/>
    <mergeCell ref="D95:D101"/>
    <mergeCell ref="E95:E101"/>
    <mergeCell ref="B105:B106"/>
    <mergeCell ref="C105:C106"/>
    <mergeCell ref="D105:D106"/>
    <mergeCell ref="E105:E106"/>
    <mergeCell ref="A70:A72"/>
    <mergeCell ref="B70:B72"/>
    <mergeCell ref="C70:C72"/>
    <mergeCell ref="D70:D72"/>
    <mergeCell ref="E70:E72"/>
    <mergeCell ref="F28:F52"/>
    <mergeCell ref="A54:A68"/>
    <mergeCell ref="B54:B68"/>
    <mergeCell ref="C54:C68"/>
    <mergeCell ref="D54:D68"/>
    <mergeCell ref="E54:E68"/>
    <mergeCell ref="F54:F68"/>
    <mergeCell ref="A28:A52"/>
    <mergeCell ref="B28:B52"/>
    <mergeCell ref="C28:C52"/>
    <mergeCell ref="D28:D52"/>
    <mergeCell ref="E28:E52"/>
    <mergeCell ref="B25:B26"/>
    <mergeCell ref="C25:C26"/>
    <mergeCell ref="D25:D26"/>
    <mergeCell ref="E25:E26"/>
    <mergeCell ref="F25:F26"/>
    <mergeCell ref="A2:I2"/>
    <mergeCell ref="A7:A22"/>
    <mergeCell ref="B7:B19"/>
    <mergeCell ref="C7:C19"/>
    <mergeCell ref="D7:D19"/>
    <mergeCell ref="E7:E19"/>
    <mergeCell ref="F7:F19"/>
  </mergeCells>
  <pageMargins left="0.51181102362204722" right="0.31496062992125984" top="0.15748031496062992" bottom="0" header="0.31496062992125984" footer="0.31496062992125984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Перемещ уточ</vt:lpstr>
      <vt:lpstr>Перемещ</vt:lpstr>
      <vt:lpstr>Перемещ!Заголовки_для_печати</vt:lpstr>
      <vt:lpstr>'Перемещ уточ'!Заголовки_для_печати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Ира Халявина</dc:creator>
  <cp:lastModifiedBy>Ира Халявина</cp:lastModifiedBy>
  <cp:lastPrinted>2020-10-15T10:31:36Z</cp:lastPrinted>
  <dcterms:created xsi:type="dcterms:W3CDTF">2020-10-08T03:40:52Z</dcterms:created>
  <dcterms:modified xsi:type="dcterms:W3CDTF">2020-10-15T10:31:37Z</dcterms:modified>
</cp:coreProperties>
</file>