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630" yWindow="-90" windowWidth="9570" windowHeight="7545"/>
  </bookViews>
  <sheets>
    <sheet name="Нормативы" sheetId="37" r:id="rId1"/>
    <sheet name="ГАДы" sheetId="41" r:id="rId2"/>
    <sheet name="ГАИ" sheetId="42" r:id="rId3"/>
    <sheet name="функцион.2013" sheetId="27" r:id="rId4"/>
    <sheet name="ведомствен.2013" sheetId="28" r:id="rId5"/>
    <sheet name="Прогр.заимств.2013" sheetId="33" r:id="rId6"/>
    <sheet name="Источники 2013" sheetId="36" r:id="rId7"/>
    <sheet name="Лист2" sheetId="32" r:id="rId8"/>
  </sheets>
  <externalReferences>
    <externalReference r:id="rId9"/>
    <externalReference r:id="rId10"/>
  </externalReferences>
  <calcPr calcId="125725"/>
</workbook>
</file>

<file path=xl/calcChain.xml><?xml version="1.0" encoding="utf-8"?>
<calcChain xmlns="http://schemas.openxmlformats.org/spreadsheetml/2006/main">
  <c r="E22" i="36"/>
  <c r="E21"/>
  <c r="E20"/>
  <c r="E19"/>
  <c r="E18"/>
  <c r="E17"/>
  <c r="E16"/>
  <c r="E15"/>
  <c r="E14"/>
  <c r="E13"/>
  <c r="E12"/>
  <c r="E11"/>
  <c r="D26" i="33"/>
  <c r="D25"/>
  <c r="D24"/>
  <c r="D23"/>
  <c r="D22"/>
  <c r="D20"/>
  <c r="D19"/>
  <c r="D18"/>
  <c r="D17"/>
  <c r="I1721" i="28"/>
  <c r="I1720"/>
  <c r="I1719"/>
  <c r="I1718"/>
  <c r="I1717"/>
  <c r="I1716"/>
  <c r="I1715"/>
  <c r="I1714"/>
  <c r="I1713"/>
  <c r="I1712"/>
  <c r="I1711"/>
  <c r="I1710"/>
  <c r="I1709"/>
  <c r="I1708"/>
  <c r="I1707"/>
  <c r="I1706"/>
  <c r="I1705"/>
  <c r="I1704"/>
  <c r="I1703"/>
  <c r="I1702"/>
  <c r="I1701"/>
  <c r="I1700"/>
  <c r="I1699"/>
  <c r="I1698"/>
  <c r="I1697"/>
  <c r="I1696"/>
  <c r="I1695"/>
  <c r="I1694"/>
  <c r="I1693"/>
  <c r="I1692"/>
  <c r="I1691"/>
  <c r="I1690"/>
  <c r="I1689"/>
  <c r="I1688"/>
  <c r="I1687"/>
  <c r="I1686"/>
  <c r="I1685"/>
  <c r="I1684"/>
  <c r="I1683"/>
  <c r="I1682"/>
  <c r="I1681"/>
  <c r="I1680"/>
  <c r="I1679"/>
  <c r="I1678"/>
  <c r="I1677"/>
  <c r="I1676"/>
  <c r="I1675"/>
  <c r="I1674"/>
  <c r="I1673"/>
  <c r="I1672"/>
  <c r="I1671"/>
  <c r="I1670"/>
  <c r="I1669"/>
  <c r="I1668"/>
  <c r="I1667"/>
  <c r="I1666"/>
  <c r="I1665"/>
  <c r="I1664"/>
  <c r="I1663"/>
  <c r="I1662"/>
  <c r="I1661"/>
  <c r="I1660"/>
  <c r="I1659"/>
  <c r="I1658"/>
  <c r="I1657"/>
  <c r="I1656"/>
  <c r="I1655"/>
  <c r="I1654"/>
  <c r="I1653"/>
  <c r="I1652"/>
  <c r="I1651"/>
  <c r="I1650"/>
  <c r="I1649"/>
  <c r="I1648"/>
  <c r="I1647"/>
  <c r="I1646"/>
  <c r="I1645"/>
  <c r="I1644"/>
  <c r="I1643"/>
  <c r="I1642"/>
  <c r="I1641"/>
  <c r="I1640"/>
  <c r="I1639"/>
  <c r="I1638"/>
  <c r="I1637"/>
  <c r="I1636"/>
  <c r="I1635"/>
  <c r="I1634"/>
  <c r="I1633"/>
  <c r="I1632"/>
  <c r="I1631"/>
  <c r="I1630"/>
  <c r="I1629"/>
  <c r="I1628"/>
  <c r="I1627"/>
  <c r="I1626"/>
  <c r="I1625"/>
  <c r="I1624"/>
  <c r="I1623"/>
  <c r="I1622"/>
  <c r="I1621"/>
  <c r="I1620"/>
  <c r="I1619"/>
  <c r="I1618"/>
  <c r="I1617"/>
  <c r="I1616"/>
  <c r="I1615"/>
  <c r="I1614"/>
  <c r="I1613"/>
  <c r="I1612"/>
  <c r="I1611"/>
  <c r="I1610"/>
  <c r="I1609"/>
  <c r="I1608"/>
  <c r="I1607"/>
  <c r="I1606"/>
  <c r="I1605"/>
  <c r="I1604"/>
  <c r="I1603"/>
  <c r="I1602"/>
  <c r="I1601"/>
  <c r="I1600"/>
  <c r="I1599"/>
  <c r="I1598"/>
  <c r="I1597"/>
  <c r="I1596"/>
  <c r="I1595"/>
  <c r="I1594"/>
  <c r="I1593"/>
  <c r="I1592"/>
  <c r="I1591"/>
  <c r="I1590"/>
  <c r="I1589"/>
  <c r="I1588"/>
  <c r="I1587"/>
  <c r="I1586"/>
  <c r="I1585"/>
  <c r="I1584"/>
  <c r="I1583"/>
  <c r="I1582"/>
  <c r="I1581"/>
  <c r="I1580"/>
  <c r="I1579"/>
  <c r="I1578"/>
  <c r="I1577"/>
  <c r="I1576"/>
  <c r="I1575"/>
  <c r="I1574"/>
  <c r="I1573"/>
  <c r="I1572"/>
  <c r="I1571"/>
  <c r="I1570"/>
  <c r="I1569"/>
  <c r="I1568"/>
  <c r="I1567"/>
  <c r="I1566"/>
  <c r="I1565"/>
  <c r="I1564"/>
  <c r="I1563"/>
  <c r="I1562"/>
  <c r="I1561"/>
  <c r="I1560"/>
  <c r="I1559"/>
  <c r="I1558"/>
  <c r="I1557"/>
  <c r="I1556"/>
  <c r="I1555"/>
  <c r="I1554"/>
  <c r="I1553"/>
  <c r="I1552"/>
  <c r="I1551"/>
  <c r="I1550"/>
  <c r="I1549"/>
  <c r="I1548"/>
  <c r="I1547"/>
  <c r="I1546"/>
  <c r="I1545"/>
  <c r="I1544"/>
  <c r="I1543"/>
  <c r="I1542"/>
  <c r="I1541"/>
  <c r="I1540"/>
  <c r="I1539"/>
  <c r="I1538"/>
  <c r="I1537"/>
  <c r="I1536"/>
  <c r="I1535"/>
  <c r="I1534"/>
  <c r="I1533"/>
  <c r="I1532"/>
  <c r="I1531"/>
  <c r="I1530"/>
  <c r="I1529"/>
  <c r="I1528"/>
  <c r="I1527"/>
  <c r="I1526"/>
  <c r="I1525"/>
  <c r="I1524"/>
  <c r="I1523"/>
  <c r="I1522"/>
  <c r="I1521"/>
  <c r="I1520"/>
  <c r="I1519"/>
  <c r="I1518"/>
  <c r="I1517"/>
  <c r="I1516"/>
  <c r="I1515"/>
  <c r="I1514"/>
  <c r="I1513"/>
  <c r="I1512"/>
  <c r="I1511"/>
  <c r="I1510"/>
  <c r="I1509"/>
  <c r="I1508"/>
  <c r="I1507"/>
  <c r="I1506"/>
  <c r="I1505"/>
  <c r="I1504"/>
  <c r="I1503"/>
  <c r="I1502"/>
  <c r="I1501"/>
  <c r="I1500"/>
  <c r="I1499"/>
  <c r="I1498"/>
  <c r="I1497"/>
  <c r="I1496"/>
  <c r="I1495"/>
  <c r="I1494"/>
  <c r="I1493"/>
  <c r="I1492"/>
  <c r="I1491"/>
  <c r="I1490"/>
  <c r="I1489"/>
  <c r="I1488"/>
  <c r="I1487"/>
  <c r="I1486"/>
  <c r="I1485"/>
  <c r="I1484"/>
  <c r="I1483"/>
  <c r="I1482"/>
  <c r="I1481"/>
  <c r="I1480"/>
  <c r="I1479"/>
  <c r="I1478"/>
  <c r="I1477"/>
  <c r="I1476"/>
  <c r="I1475"/>
  <c r="I1474"/>
  <c r="I1473"/>
  <c r="I1472"/>
  <c r="I1471"/>
  <c r="I1470"/>
  <c r="I1469"/>
  <c r="I1468"/>
  <c r="I1467"/>
  <c r="I1466"/>
  <c r="I1465"/>
  <c r="I1464"/>
  <c r="I1463"/>
  <c r="I1462"/>
  <c r="I1461"/>
  <c r="I1460"/>
  <c r="I1459"/>
  <c r="I1458"/>
  <c r="I1457"/>
  <c r="I1456"/>
  <c r="I1455"/>
  <c r="I1454"/>
  <c r="I1453"/>
  <c r="I1452"/>
  <c r="I1451"/>
  <c r="I1450"/>
  <c r="I1449"/>
  <c r="I1448"/>
  <c r="I1447"/>
  <c r="I1446"/>
  <c r="I1445"/>
  <c r="I1444"/>
  <c r="I1443"/>
  <c r="I1442"/>
  <c r="I1441"/>
  <c r="I1440"/>
  <c r="I1439"/>
  <c r="I1438"/>
  <c r="I1437"/>
  <c r="I1436"/>
  <c r="I1435"/>
  <c r="I1434"/>
  <c r="I1433"/>
  <c r="I1432"/>
  <c r="I1431"/>
  <c r="I1430"/>
  <c r="I1429"/>
  <c r="I1428"/>
  <c r="I1427"/>
  <c r="I1426"/>
  <c r="I1425"/>
  <c r="I1424"/>
  <c r="I1423"/>
  <c r="I1422"/>
  <c r="I1421"/>
  <c r="I1420"/>
  <c r="I1419"/>
  <c r="I1418"/>
  <c r="I1417"/>
  <c r="I1416"/>
  <c r="I1415"/>
  <c r="I1414"/>
  <c r="I1413"/>
  <c r="I1412"/>
  <c r="I1411"/>
  <c r="I1410"/>
  <c r="I1409"/>
  <c r="I1408"/>
  <c r="I1407"/>
  <c r="I1406"/>
  <c r="I1405"/>
  <c r="I1404"/>
  <c r="I1402"/>
  <c r="I1401"/>
  <c r="I1400"/>
  <c r="I1399"/>
  <c r="I1398"/>
  <c r="I1397"/>
  <c r="I1396"/>
  <c r="I1395"/>
  <c r="I1394"/>
  <c r="I1393"/>
  <c r="I1392"/>
  <c r="I1391"/>
  <c r="I1390"/>
  <c r="I1389"/>
  <c r="I1388"/>
  <c r="I1387"/>
  <c r="I1386"/>
  <c r="I1385"/>
  <c r="I1384"/>
  <c r="I1383"/>
  <c r="I1382"/>
  <c r="I1381"/>
  <c r="I1380"/>
  <c r="I1379"/>
  <c r="I1378"/>
  <c r="I1377"/>
  <c r="I1376"/>
  <c r="I1375"/>
  <c r="I1374"/>
  <c r="I1373"/>
  <c r="I1372"/>
  <c r="I1371"/>
  <c r="I1370"/>
  <c r="I1369"/>
  <c r="I1368"/>
  <c r="I1367"/>
  <c r="I1366"/>
  <c r="I1365"/>
  <c r="I1364"/>
  <c r="I1363"/>
  <c r="I1362"/>
  <c r="I1361"/>
  <c r="I1360"/>
  <c r="I1359"/>
  <c r="I1358"/>
  <c r="I1357"/>
  <c r="I1356"/>
  <c r="I1355"/>
  <c r="I1354"/>
  <c r="I1353"/>
  <c r="I1352"/>
  <c r="I1351"/>
  <c r="I1350"/>
  <c r="I1349"/>
  <c r="I1348"/>
  <c r="I1347"/>
  <c r="I1346"/>
  <c r="I1345"/>
  <c r="I1344"/>
  <c r="I1343"/>
  <c r="I1342"/>
  <c r="I1341"/>
  <c r="I1340"/>
  <c r="I1339"/>
  <c r="I1338"/>
  <c r="I1337"/>
  <c r="I1336"/>
  <c r="I1335"/>
  <c r="I1334"/>
  <c r="I1333"/>
  <c r="I1332"/>
  <c r="I1331"/>
  <c r="I1330"/>
  <c r="I1329"/>
  <c r="I1328"/>
  <c r="I1327"/>
  <c r="I1326"/>
  <c r="I1325"/>
  <c r="I1324"/>
  <c r="I1323"/>
  <c r="I1322"/>
  <c r="I1321"/>
  <c r="I1320"/>
  <c r="I1319"/>
  <c r="I1318"/>
  <c r="I1317"/>
  <c r="I1316"/>
  <c r="I1315"/>
  <c r="I1314"/>
  <c r="I1313"/>
  <c r="I1312"/>
  <c r="I1311"/>
  <c r="I1310"/>
  <c r="I1309"/>
  <c r="I1308"/>
  <c r="I1307"/>
  <c r="I1306"/>
  <c r="I1305"/>
  <c r="I1304"/>
  <c r="I1303"/>
  <c r="I1302"/>
  <c r="I1301"/>
  <c r="I1297"/>
  <c r="I1296"/>
  <c r="I1295"/>
  <c r="I1294"/>
  <c r="I1293"/>
  <c r="I1292"/>
  <c r="I1291"/>
  <c r="I1290"/>
  <c r="I1289"/>
  <c r="I1288"/>
  <c r="I1287"/>
  <c r="I1286"/>
  <c r="I1285"/>
  <c r="I1284"/>
  <c r="I1283"/>
  <c r="I1282"/>
  <c r="I1281"/>
  <c r="I1280"/>
  <c r="I1279"/>
  <c r="I1278"/>
  <c r="I1277"/>
  <c r="I1276"/>
  <c r="I1275"/>
  <c r="I1274"/>
  <c r="I1273"/>
  <c r="I1272"/>
  <c r="I1271"/>
  <c r="I1270"/>
  <c r="I1269"/>
  <c r="I1268"/>
  <c r="I1267"/>
  <c r="I1266"/>
  <c r="I1265"/>
  <c r="I1264"/>
  <c r="I1263"/>
  <c r="I1262"/>
  <c r="I1261"/>
  <c r="I1260"/>
  <c r="I1259"/>
  <c r="I1258"/>
  <c r="I1257"/>
  <c r="I1256"/>
  <c r="I1255"/>
  <c r="I1254"/>
  <c r="I1253"/>
  <c r="I1252"/>
  <c r="I1251"/>
  <c r="I1250"/>
  <c r="I1249"/>
  <c r="I1248"/>
  <c r="I1247"/>
  <c r="I1246"/>
  <c r="I1245"/>
  <c r="I1244"/>
  <c r="I1243"/>
  <c r="I1242"/>
  <c r="I1241"/>
  <c r="I1240"/>
  <c r="I1239"/>
  <c r="I1238"/>
  <c r="I1237"/>
  <c r="I1236"/>
  <c r="I1235"/>
  <c r="I1234"/>
  <c r="I1233"/>
  <c r="I1232"/>
  <c r="I1231"/>
  <c r="I1230"/>
  <c r="I1229"/>
  <c r="I1228"/>
  <c r="I1227"/>
  <c r="I1226"/>
  <c r="I1225"/>
  <c r="I1224"/>
  <c r="I1223"/>
  <c r="I1222"/>
  <c r="I1221"/>
  <c r="I1220"/>
  <c r="I1219"/>
  <c r="I1218"/>
  <c r="I121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8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29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43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45"/>
  <c r="I344"/>
  <c r="I343"/>
  <c r="I342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0"/>
  <c r="I289"/>
  <c r="I288"/>
  <c r="I287"/>
  <c r="I286"/>
  <c r="I250"/>
  <c r="I249"/>
  <c r="I248"/>
  <c r="I247"/>
  <c r="I246"/>
  <c r="I245"/>
  <c r="I56"/>
  <c r="I55"/>
  <c r="I54"/>
  <c r="I53"/>
  <c r="I52"/>
  <c r="I51"/>
  <c r="I50"/>
  <c r="I49"/>
  <c r="I48"/>
  <c r="I27"/>
  <c r="I26"/>
  <c r="I25"/>
  <c r="I24"/>
  <c r="I1217" i="27"/>
  <c r="I1216"/>
  <c r="I1215"/>
  <c r="I1214"/>
  <c r="I1213"/>
  <c r="I1212"/>
  <c r="I1211"/>
  <c r="I1210"/>
  <c r="I1209"/>
  <c r="I1208"/>
  <c r="I1207"/>
  <c r="I1206"/>
  <c r="I1205"/>
  <c r="I1204"/>
  <c r="I1203"/>
  <c r="I1202"/>
  <c r="I1201"/>
  <c r="I1200"/>
  <c r="I1199"/>
  <c r="I1197"/>
  <c r="I1196"/>
  <c r="I1195"/>
  <c r="I1194"/>
  <c r="I1193"/>
  <c r="I1192"/>
  <c r="I1191"/>
  <c r="I1190"/>
  <c r="I1189"/>
  <c r="I1188"/>
  <c r="I1187"/>
  <c r="I1186"/>
  <c r="I1185"/>
  <c r="I1184"/>
  <c r="I1183"/>
  <c r="I1182"/>
  <c r="I1181"/>
  <c r="I1180"/>
  <c r="I1179"/>
  <c r="I1178"/>
  <c r="I1177"/>
  <c r="I1176"/>
  <c r="I1175"/>
  <c r="I1174"/>
  <c r="I1173"/>
  <c r="I1172"/>
  <c r="I1171"/>
  <c r="I1170"/>
  <c r="I1169"/>
  <c r="I1168"/>
  <c r="I1167"/>
  <c r="I1166"/>
  <c r="I1165"/>
  <c r="I1164"/>
  <c r="I1163"/>
  <c r="I1162"/>
  <c r="I1161"/>
  <c r="I1160"/>
  <c r="I1159"/>
  <c r="I1158"/>
  <c r="I1157"/>
  <c r="I1156"/>
  <c r="I1155"/>
  <c r="I1154"/>
  <c r="I1153"/>
  <c r="I1152"/>
  <c r="I1151"/>
  <c r="I1150"/>
  <c r="I1149"/>
  <c r="I1148"/>
  <c r="I1147"/>
  <c r="I1146"/>
  <c r="I1145"/>
  <c r="I1144"/>
  <c r="I1143"/>
  <c r="I1142"/>
  <c r="I1141"/>
  <c r="I1140"/>
  <c r="I1139"/>
  <c r="I1138"/>
  <c r="I1137"/>
  <c r="I1136"/>
  <c r="I1135"/>
  <c r="I1134"/>
  <c r="I1133"/>
  <c r="I1132"/>
  <c r="I1131"/>
  <c r="I1130"/>
  <c r="I1129"/>
  <c r="I1128"/>
  <c r="I1127"/>
  <c r="I1126"/>
  <c r="I1125"/>
  <c r="I1124"/>
  <c r="I1123"/>
  <c r="I1122"/>
  <c r="I1121"/>
  <c r="I1120"/>
  <c r="I1119"/>
  <c r="I1118"/>
  <c r="I1117"/>
  <c r="I1116"/>
  <c r="I1115"/>
  <c r="I1114"/>
  <c r="I1113"/>
  <c r="I1112"/>
  <c r="I1111"/>
  <c r="I1110"/>
  <c r="I1109"/>
  <c r="I1108"/>
  <c r="I1107"/>
  <c r="I1106"/>
  <c r="I1105"/>
  <c r="I1104"/>
  <c r="I1103"/>
  <c r="I1102"/>
  <c r="I1101"/>
  <c r="I1100"/>
  <c r="I1099"/>
  <c r="I1098"/>
  <c r="I1097"/>
  <c r="I1096"/>
  <c r="I1095"/>
  <c r="I1094"/>
  <c r="I1093"/>
  <c r="I1092"/>
  <c r="I1091"/>
  <c r="I1090"/>
  <c r="I1089"/>
  <c r="I1088"/>
  <c r="I1087"/>
  <c r="I1086"/>
  <c r="I1085"/>
  <c r="I1084"/>
  <c r="I1083"/>
  <c r="I1082"/>
  <c r="I1081"/>
  <c r="I1080"/>
  <c r="I1079"/>
  <c r="I1078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40"/>
  <c r="I1039"/>
  <c r="I1038"/>
  <c r="I1037"/>
  <c r="I1036"/>
  <c r="I1035"/>
  <c r="I1034"/>
  <c r="I1033"/>
  <c r="I1032"/>
  <c r="I1031"/>
  <c r="I1030"/>
  <c r="I1029"/>
  <c r="I1028"/>
  <c r="I1027"/>
  <c r="I1026"/>
  <c r="I1025"/>
  <c r="I1024"/>
  <c r="I1023"/>
  <c r="I1022"/>
  <c r="I1021"/>
  <c r="I1020"/>
  <c r="I1019"/>
  <c r="I1018"/>
  <c r="I1017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92"/>
  <c r="I991"/>
  <c r="I990"/>
  <c r="I989"/>
  <c r="I988"/>
  <c r="I987"/>
  <c r="I986"/>
  <c r="I985"/>
  <c r="I984"/>
  <c r="I983"/>
  <c r="I982"/>
  <c r="I981"/>
  <c r="I980"/>
  <c r="I979"/>
  <c r="I978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24"/>
  <c r="I923"/>
  <c r="I922"/>
  <c r="I921"/>
  <c r="I920"/>
  <c r="I919"/>
  <c r="I918"/>
  <c r="I917"/>
  <c r="I916"/>
  <c r="I915"/>
  <c r="I914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C23" i="36"/>
  <c r="D26"/>
  <c r="D25" s="1"/>
  <c r="D24" s="1"/>
  <c r="D23" s="1"/>
  <c r="C26"/>
  <c r="C25"/>
  <c r="C24"/>
  <c r="D13"/>
  <c r="D30"/>
  <c r="D29" s="1"/>
  <c r="D28" s="1"/>
  <c r="D17"/>
  <c r="D15"/>
  <c r="D12" l="1"/>
  <c r="D11" s="1"/>
  <c r="H1402" i="28" l="1"/>
  <c r="G1402"/>
  <c r="G1294"/>
  <c r="H1294"/>
  <c r="H1298"/>
  <c r="G1298"/>
  <c r="H981"/>
  <c r="H980" s="1"/>
  <c r="H979" s="1"/>
  <c r="H1715"/>
  <c r="H1713"/>
  <c r="H1711"/>
  <c r="H1709"/>
  <c r="H1704" s="1"/>
  <c r="H1702"/>
  <c r="H1700"/>
  <c r="H1699" s="1"/>
  <c r="H1696"/>
  <c r="H1695" s="1"/>
  <c r="H1691"/>
  <c r="H1689"/>
  <c r="H1686"/>
  <c r="H1684"/>
  <c r="H1683"/>
  <c r="H1681"/>
  <c r="H1679"/>
  <c r="H1677"/>
  <c r="H1676"/>
  <c r="H1675" s="1"/>
  <c r="H1674" s="1"/>
  <c r="H1671" s="1"/>
  <c r="H1672"/>
  <c r="H1668"/>
  <c r="H1667" s="1"/>
  <c r="H1666" s="1"/>
  <c r="H1664"/>
  <c r="H1663" s="1"/>
  <c r="H1661"/>
  <c r="H1660"/>
  <c r="H1659" s="1"/>
  <c r="H1657"/>
  <c r="H1655"/>
  <c r="H1653"/>
  <c r="H1651"/>
  <c r="H1646"/>
  <c r="H1643"/>
  <c r="H1641"/>
  <c r="H1639"/>
  <c r="H1637"/>
  <c r="H1631"/>
  <c r="H1628"/>
  <c r="H1626"/>
  <c r="H1624"/>
  <c r="H1622"/>
  <c r="H1617"/>
  <c r="H1616" s="1"/>
  <c r="H1612"/>
  <c r="H1611" s="1"/>
  <c r="H1609"/>
  <c r="H1608" s="1"/>
  <c r="H1605"/>
  <c r="H1604" s="1"/>
  <c r="H1603" s="1"/>
  <c r="H1598"/>
  <c r="H1595"/>
  <c r="H1593"/>
  <c r="H1590"/>
  <c r="H1589" s="1"/>
  <c r="H1587"/>
  <c r="H1586" s="1"/>
  <c r="H1582"/>
  <c r="H1581"/>
  <c r="H1578"/>
  <c r="H1577"/>
  <c r="H1575"/>
  <c r="H1573"/>
  <c r="H1570"/>
  <c r="H1569" s="1"/>
  <c r="H1567"/>
  <c r="H1565"/>
  <c r="H1563"/>
  <c r="H1562" s="1"/>
  <c r="H1560"/>
  <c r="H1558"/>
  <c r="H1554"/>
  <c r="H1551"/>
  <c r="H1549"/>
  <c r="H1547"/>
  <c r="H1545"/>
  <c r="H1544"/>
  <c r="H1542"/>
  <c r="H1541"/>
  <c r="H1539"/>
  <c r="H1537"/>
  <c r="H1531"/>
  <c r="H1530" s="1"/>
  <c r="H1527"/>
  <c r="H1526" s="1"/>
  <c r="H1524"/>
  <c r="H1522"/>
  <c r="H1521" s="1"/>
  <c r="H1517" s="1"/>
  <c r="H1518"/>
  <c r="H1515"/>
  <c r="H1513"/>
  <c r="H1511"/>
  <c r="H1509"/>
  <c r="H1506"/>
  <c r="H1499"/>
  <c r="H1498" s="1"/>
  <c r="H1497" s="1"/>
  <c r="H1495"/>
  <c r="H1494" s="1"/>
  <c r="H1493" s="1"/>
  <c r="H1492" s="1"/>
  <c r="H1489"/>
  <c r="H1486"/>
  <c r="H1483"/>
  <c r="H1481"/>
  <c r="H1480"/>
  <c r="H1477"/>
  <c r="H1475" s="1"/>
  <c r="H1472"/>
  <c r="H1470"/>
  <c r="H1468"/>
  <c r="H1466"/>
  <c r="H1464"/>
  <c r="H1462"/>
  <c r="H1459"/>
  <c r="H1457"/>
  <c r="H1451"/>
  <c r="H1450" s="1"/>
  <c r="H1447"/>
  <c r="H1445"/>
  <c r="H1444" s="1"/>
  <c r="H1439"/>
  <c r="H1438" s="1"/>
  <c r="H1436"/>
  <c r="H1433"/>
  <c r="H1430"/>
  <c r="H1426"/>
  <c r="H1424"/>
  <c r="H1422"/>
  <c r="H1420"/>
  <c r="H1418"/>
  <c r="H1417"/>
  <c r="H1414"/>
  <c r="H1413"/>
  <c r="H1409"/>
  <c r="H1406"/>
  <c r="H1401"/>
  <c r="H1398"/>
  <c r="H1395"/>
  <c r="H1391"/>
  <c r="H1389"/>
  <c r="H1388" s="1"/>
  <c r="H1387" s="1"/>
  <c r="H1385"/>
  <c r="H1384" s="1"/>
  <c r="H1383" s="1"/>
  <c r="H1381"/>
  <c r="H1379"/>
  <c r="H1377"/>
  <c r="H1371"/>
  <c r="H1367"/>
  <c r="H1365" s="1"/>
  <c r="H1362"/>
  <c r="H1360"/>
  <c r="H1356"/>
  <c r="H1354"/>
  <c r="H1351"/>
  <c r="H1349"/>
  <c r="H1347"/>
  <c r="H1338" s="1"/>
  <c r="H1345"/>
  <c r="H1340"/>
  <c r="H1335"/>
  <c r="H1333"/>
  <c r="H1331"/>
  <c r="H1329"/>
  <c r="H1327"/>
  <c r="H1325"/>
  <c r="H1324" s="1"/>
  <c r="H1322"/>
  <c r="H1320"/>
  <c r="H1316"/>
  <c r="H1314"/>
  <c r="H1308"/>
  <c r="H1305"/>
  <c r="H1302"/>
  <c r="H1295"/>
  <c r="H1291"/>
  <c r="H1289"/>
  <c r="H1283"/>
  <c r="H1280"/>
  <c r="H1278"/>
  <c r="H1275"/>
  <c r="H1273"/>
  <c r="H1268"/>
  <c r="H1266"/>
  <c r="H1264"/>
  <c r="H1262"/>
  <c r="H1261"/>
  <c r="H1259"/>
  <c r="H1257"/>
  <c r="H1253"/>
  <c r="H1252" s="1"/>
  <c r="H1248"/>
  <c r="H1247" s="1"/>
  <c r="H1246" s="1"/>
  <c r="H1243"/>
  <c r="H1242" s="1"/>
  <c r="H1240"/>
  <c r="H1238"/>
  <c r="H1236"/>
  <c r="H1235"/>
  <c r="H1233"/>
  <c r="H1232"/>
  <c r="H1230"/>
  <c r="H1228"/>
  <c r="H1226"/>
  <c r="H1225"/>
  <c r="H1220"/>
  <c r="H1219"/>
  <c r="H1217"/>
  <c r="H1215"/>
  <c r="H1214" s="1"/>
  <c r="H1212"/>
  <c r="H1211" s="1"/>
  <c r="H1208"/>
  <c r="H1207" s="1"/>
  <c r="H1206" s="1"/>
  <c r="H1204"/>
  <c r="H1201"/>
  <c r="H1198"/>
  <c r="H1197" s="1"/>
  <c r="H1196"/>
  <c r="H1195" s="1"/>
  <c r="H1191"/>
  <c r="H1189"/>
  <c r="H1185"/>
  <c r="H1180"/>
  <c r="H1178"/>
  <c r="H1173"/>
  <c r="H1172" s="1"/>
  <c r="H1170"/>
  <c r="H1169" s="1"/>
  <c r="H1168" s="1"/>
  <c r="H1166"/>
  <c r="H1164"/>
  <c r="H1162"/>
  <c r="H1161"/>
  <c r="H1160" s="1"/>
  <c r="H1156"/>
  <c r="H1155" s="1"/>
  <c r="H1151"/>
  <c r="H1150" s="1"/>
  <c r="H1148"/>
  <c r="H1146"/>
  <c r="H1143"/>
  <c r="H1138"/>
  <c r="H1137" s="1"/>
  <c r="H1133"/>
  <c r="H1132" s="1"/>
  <c r="H1131" s="1"/>
  <c r="H1127"/>
  <c r="H1126" s="1"/>
  <c r="H1125" s="1"/>
  <c r="H1124" s="1"/>
  <c r="H1122"/>
  <c r="H1121" s="1"/>
  <c r="H1120" s="1"/>
  <c r="H1114"/>
  <c r="H1112"/>
  <c r="H1110"/>
  <c r="H1106"/>
  <c r="H1105" s="1"/>
  <c r="H1104" s="1"/>
  <c r="H1102"/>
  <c r="H1100"/>
  <c r="H1095"/>
  <c r="H1094" s="1"/>
  <c r="H1093" s="1"/>
  <c r="H1091"/>
  <c r="H1090" s="1"/>
  <c r="H1088"/>
  <c r="H1087" s="1"/>
  <c r="H1086" s="1"/>
  <c r="H1084"/>
  <c r="H1081"/>
  <c r="H1080" s="1"/>
  <c r="H1078"/>
  <c r="H1077" s="1"/>
  <c r="H1072"/>
  <c r="H1071" s="1"/>
  <c r="H1069"/>
  <c r="H1067"/>
  <c r="H1066"/>
  <c r="H1063"/>
  <c r="H1060"/>
  <c r="H1053"/>
  <c r="H1052" s="1"/>
  <c r="H1048"/>
  <c r="H1047" s="1"/>
  <c r="H1045"/>
  <c r="H1044" s="1"/>
  <c r="H1043" s="1"/>
  <c r="H1041"/>
  <c r="H1040" s="1"/>
  <c r="H1039" s="1"/>
  <c r="H1033"/>
  <c r="H1032" s="1"/>
  <c r="H1030"/>
  <c r="H1028"/>
  <c r="H1025"/>
  <c r="H1024" s="1"/>
  <c r="H1022"/>
  <c r="H1020"/>
  <c r="H1018"/>
  <c r="H1016"/>
  <c r="H1008" s="1"/>
  <c r="H1007" s="1"/>
  <c r="H1012"/>
  <c r="H1010"/>
  <c r="H1004"/>
  <c r="H1000"/>
  <c r="H998"/>
  <c r="H996"/>
  <c r="H992"/>
  <c r="H991" s="1"/>
  <c r="H988"/>
  <c r="H986"/>
  <c r="H984"/>
  <c r="H977"/>
  <c r="H976" s="1"/>
  <c r="H974"/>
  <c r="H971"/>
  <c r="H969"/>
  <c r="H966"/>
  <c r="H964"/>
  <c r="H961"/>
  <c r="H959"/>
  <c r="H956"/>
  <c r="H954"/>
  <c r="H952"/>
  <c r="H950"/>
  <c r="H948"/>
  <c r="H945"/>
  <c r="H943"/>
  <c r="H941"/>
  <c r="H939"/>
  <c r="H937"/>
  <c r="H935"/>
  <c r="H933"/>
  <c r="H931"/>
  <c r="H929"/>
  <c r="H926"/>
  <c r="H923"/>
  <c r="H921"/>
  <c r="H919"/>
  <c r="H915"/>
  <c r="H913"/>
  <c r="H911"/>
  <c r="H908"/>
  <c r="H906"/>
  <c r="H903"/>
  <c r="H901"/>
  <c r="H899"/>
  <c r="H897"/>
  <c r="H895"/>
  <c r="H893"/>
  <c r="H891"/>
  <c r="H889"/>
  <c r="H886"/>
  <c r="H884"/>
  <c r="H882"/>
  <c r="H880"/>
  <c r="H877"/>
  <c r="H876"/>
  <c r="H873"/>
  <c r="H871"/>
  <c r="H870" s="1"/>
  <c r="H864" s="1"/>
  <c r="H868"/>
  <c r="H866" s="1"/>
  <c r="H862"/>
  <c r="H861" s="1"/>
  <c r="H860" s="1"/>
  <c r="H857"/>
  <c r="H856" s="1"/>
  <c r="H855" s="1"/>
  <c r="H853"/>
  <c r="H852" s="1"/>
  <c r="H851" s="1"/>
  <c r="H849"/>
  <c r="H848" s="1"/>
  <c r="H846"/>
  <c r="H845" s="1"/>
  <c r="H843"/>
  <c r="H842" s="1"/>
  <c r="H839"/>
  <c r="H838" s="1"/>
  <c r="H837" s="1"/>
  <c r="H834"/>
  <c r="H833" s="1"/>
  <c r="H832" s="1"/>
  <c r="H830"/>
  <c r="H829" s="1"/>
  <c r="H827"/>
  <c r="H826" s="1"/>
  <c r="H824"/>
  <c r="H823" s="1"/>
  <c r="H819"/>
  <c r="H818" s="1"/>
  <c r="H816"/>
  <c r="H815" s="1"/>
  <c r="H809"/>
  <c r="H808" s="1"/>
  <c r="H806"/>
  <c r="H805" s="1"/>
  <c r="H802"/>
  <c r="H801" s="1"/>
  <c r="H799"/>
  <c r="H797"/>
  <c r="H795" s="1"/>
  <c r="H794" s="1"/>
  <c r="H792"/>
  <c r="H791" s="1"/>
  <c r="H789"/>
  <c r="H788" s="1"/>
  <c r="H785"/>
  <c r="H784"/>
  <c r="H783" s="1"/>
  <c r="H780"/>
  <c r="H779"/>
  <c r="H778"/>
  <c r="H777"/>
  <c r="H775"/>
  <c r="H774"/>
  <c r="H773" s="1"/>
  <c r="H772" s="1"/>
  <c r="H770"/>
  <c r="H768"/>
  <c r="H767" s="1"/>
  <c r="H766" s="1"/>
  <c r="H764"/>
  <c r="H763" s="1"/>
  <c r="H762" s="1"/>
  <c r="H761" s="1"/>
  <c r="H759"/>
  <c r="H758" s="1"/>
  <c r="H757" s="1"/>
  <c r="H755"/>
  <c r="H754" s="1"/>
  <c r="H753" s="1"/>
  <c r="H751"/>
  <c r="H750" s="1"/>
  <c r="H749" s="1"/>
  <c r="H747"/>
  <c r="H746" s="1"/>
  <c r="H745" s="1"/>
  <c r="H740"/>
  <c r="H739"/>
  <c r="H738" s="1"/>
  <c r="H737" s="1"/>
  <c r="H735"/>
  <c r="H734" s="1"/>
  <c r="H733" s="1"/>
  <c r="H731"/>
  <c r="H730" s="1"/>
  <c r="H729" s="1"/>
  <c r="H727"/>
  <c r="H726" s="1"/>
  <c r="H724"/>
  <c r="H722"/>
  <c r="H719"/>
  <c r="H718"/>
  <c r="H717" s="1"/>
  <c r="H715"/>
  <c r="H714" s="1"/>
  <c r="H712"/>
  <c r="H710" s="1"/>
  <c r="H709" s="1"/>
  <c r="H708" s="1"/>
  <c r="H704"/>
  <c r="H703" s="1"/>
  <c r="H702" s="1"/>
  <c r="H700"/>
  <c r="H699" s="1"/>
  <c r="H698" s="1"/>
  <c r="H695"/>
  <c r="H693"/>
  <c r="H691"/>
  <c r="H685"/>
  <c r="H684" s="1"/>
  <c r="H681" s="1"/>
  <c r="H682"/>
  <c r="H679"/>
  <c r="H677"/>
  <c r="H674"/>
  <c r="H670"/>
  <c r="H668"/>
  <c r="H667" s="1"/>
  <c r="H665"/>
  <c r="H664" s="1"/>
  <c r="H660"/>
  <c r="H659" s="1"/>
  <c r="H658" s="1"/>
  <c r="H655"/>
  <c r="H654" s="1"/>
  <c r="H651"/>
  <c r="H649"/>
  <c r="H645"/>
  <c r="H643"/>
  <c r="H640"/>
  <c r="H639" s="1"/>
  <c r="H637"/>
  <c r="H636"/>
  <c r="H635" s="1"/>
  <c r="H633"/>
  <c r="H632" s="1"/>
  <c r="H630"/>
  <c r="H627"/>
  <c r="H626" s="1"/>
  <c r="H625"/>
  <c r="H623" s="1"/>
  <c r="H622" s="1"/>
  <c r="H621" s="1"/>
  <c r="H619"/>
  <c r="H618" s="1"/>
  <c r="H616"/>
  <c r="H611"/>
  <c r="H610"/>
  <c r="H608"/>
  <c r="H607"/>
  <c r="H606" s="1"/>
  <c r="H604"/>
  <c r="H603" s="1"/>
  <c r="H602"/>
  <c r="H601" s="1"/>
  <c r="H599"/>
  <c r="H597"/>
  <c r="H596" s="1"/>
  <c r="H594"/>
  <c r="H593" s="1"/>
  <c r="H588"/>
  <c r="H586"/>
  <c r="H584" s="1"/>
  <c r="H578"/>
  <c r="H577" s="1"/>
  <c r="H574"/>
  <c r="H573" s="1"/>
  <c r="H572"/>
  <c r="H569"/>
  <c r="H567"/>
  <c r="H564"/>
  <c r="H560"/>
  <c r="H557"/>
  <c r="H554"/>
  <c r="H550"/>
  <c r="H549" s="1"/>
  <c r="H547"/>
  <c r="H545"/>
  <c r="H543"/>
  <c r="H542" s="1"/>
  <c r="H541" s="1"/>
  <c r="H539"/>
  <c r="H538"/>
  <c r="H537" s="1"/>
  <c r="H536" s="1"/>
  <c r="H534"/>
  <c r="H533"/>
  <c r="H530"/>
  <c r="H529"/>
  <c r="H526"/>
  <c r="H525" s="1"/>
  <c r="H524" s="1"/>
  <c r="H523" s="1"/>
  <c r="H522" s="1"/>
  <c r="H520"/>
  <c r="H516"/>
  <c r="H512"/>
  <c r="H509"/>
  <c r="H507"/>
  <c r="H504"/>
  <c r="H502"/>
  <c r="H499" s="1"/>
  <c r="H496"/>
  <c r="H492"/>
  <c r="H491" s="1"/>
  <c r="H488"/>
  <c r="H486"/>
  <c r="H485" s="1"/>
  <c r="H483"/>
  <c r="H482" s="1"/>
  <c r="H481" s="1"/>
  <c r="H480"/>
  <c r="H479" s="1"/>
  <c r="H478" s="1"/>
  <c r="H476"/>
  <c r="H472"/>
  <c r="H470"/>
  <c r="H468"/>
  <c r="H465"/>
  <c r="H464" s="1"/>
  <c r="H462"/>
  <c r="H461" s="1"/>
  <c r="H458"/>
  <c r="H455"/>
  <c r="H454" s="1"/>
  <c r="H451"/>
  <c r="H448"/>
  <c r="H447" s="1"/>
  <c r="H445"/>
  <c r="H443"/>
  <c r="H440"/>
  <c r="H438"/>
  <c r="H434"/>
  <c r="H431"/>
  <c r="H429"/>
  <c r="H426"/>
  <c r="H423"/>
  <c r="H421"/>
  <c r="H420" s="1"/>
  <c r="H417"/>
  <c r="H414"/>
  <c r="H412"/>
  <c r="H410"/>
  <c r="H404"/>
  <c r="H401"/>
  <c r="H399"/>
  <c r="H397"/>
  <c r="H394"/>
  <c r="H393" s="1"/>
  <c r="H392" s="1"/>
  <c r="H390"/>
  <c r="H389"/>
  <c r="H388" s="1"/>
  <c r="H387" s="1"/>
  <c r="H385"/>
  <c r="H382"/>
  <c r="H381" s="1"/>
  <c r="H379"/>
  <c r="H377"/>
  <c r="H376"/>
  <c r="H373"/>
  <c r="H371"/>
  <c r="H367"/>
  <c r="H365"/>
  <c r="H363"/>
  <c r="H359"/>
  <c r="H358" s="1"/>
  <c r="H357" s="1"/>
  <c r="H354"/>
  <c r="H344"/>
  <c r="H342"/>
  <c r="H341" s="1"/>
  <c r="H339"/>
  <c r="H338" s="1"/>
  <c r="H337" s="1"/>
  <c r="H335"/>
  <c r="H334"/>
  <c r="H332"/>
  <c r="H331" s="1"/>
  <c r="H329"/>
  <c r="H328" s="1"/>
  <c r="H326"/>
  <c r="H324"/>
  <c r="H321"/>
  <c r="H320" s="1"/>
  <c r="H318"/>
  <c r="H317" s="1"/>
  <c r="H315" s="1"/>
  <c r="H311"/>
  <c r="H310" s="1"/>
  <c r="H308"/>
  <c r="H307"/>
  <c r="H306" s="1"/>
  <c r="H305"/>
  <c r="H304" s="1"/>
  <c r="H302" s="1"/>
  <c r="H297" s="1"/>
  <c r="H296" s="1"/>
  <c r="H300"/>
  <c r="H298"/>
  <c r="H294"/>
  <c r="H293"/>
  <c r="H291"/>
  <c r="H290" s="1"/>
  <c r="H288"/>
  <c r="H286"/>
  <c r="H284"/>
  <c r="H283" s="1"/>
  <c r="H281"/>
  <c r="H280"/>
  <c r="H278"/>
  <c r="H277" s="1"/>
  <c r="H275"/>
  <c r="H273"/>
  <c r="H272" s="1"/>
  <c r="H269"/>
  <c r="H267"/>
  <c r="H263"/>
  <c r="H262" s="1"/>
  <c r="H261" s="1"/>
  <c r="H259"/>
  <c r="H258" s="1"/>
  <c r="H256"/>
  <c r="H255" s="1"/>
  <c r="H253"/>
  <c r="H251"/>
  <c r="H249"/>
  <c r="H247"/>
  <c r="H245"/>
  <c r="H242"/>
  <c r="H241" s="1"/>
  <c r="H233"/>
  <c r="H230"/>
  <c r="H227"/>
  <c r="H225"/>
  <c r="H221"/>
  <c r="H220" s="1"/>
  <c r="H218"/>
  <c r="H216"/>
  <c r="H214"/>
  <c r="H210"/>
  <c r="H209"/>
  <c r="H206"/>
  <c r="H205" s="1"/>
  <c r="H202"/>
  <c r="H194" s="1"/>
  <c r="H200"/>
  <c r="H196"/>
  <c r="H192"/>
  <c r="H189"/>
  <c r="H187"/>
  <c r="H184"/>
  <c r="H182"/>
  <c r="H179" s="1"/>
  <c r="H178" s="1"/>
  <c r="H176"/>
  <c r="H174"/>
  <c r="H173" s="1"/>
  <c r="H172" s="1"/>
  <c r="H169"/>
  <c r="H168"/>
  <c r="H167"/>
  <c r="H166"/>
  <c r="H164"/>
  <c r="H162"/>
  <c r="H161" s="1"/>
  <c r="H160" s="1"/>
  <c r="H158"/>
  <c r="H157" s="1"/>
  <c r="H153"/>
  <c r="H151"/>
  <c r="H149"/>
  <c r="H148" s="1"/>
  <c r="H146"/>
  <c r="H145" s="1"/>
  <c r="H143"/>
  <c r="H142" s="1"/>
  <c r="H139"/>
  <c r="H137"/>
  <c r="H136" s="1"/>
  <c r="H134"/>
  <c r="H131"/>
  <c r="H130" s="1"/>
  <c r="H128"/>
  <c r="H126"/>
  <c r="H123"/>
  <c r="H121"/>
  <c r="H120" s="1"/>
  <c r="H117"/>
  <c r="H114"/>
  <c r="H112"/>
  <c r="H109"/>
  <c r="H106"/>
  <c r="H104"/>
  <c r="H103" s="1"/>
  <c r="H100"/>
  <c r="H97"/>
  <c r="H95"/>
  <c r="H93"/>
  <c r="H92" s="1"/>
  <c r="H87"/>
  <c r="H85"/>
  <c r="H84" s="1"/>
  <c r="H82"/>
  <c r="H80"/>
  <c r="H79" s="1"/>
  <c r="H78"/>
  <c r="H77" s="1"/>
  <c r="H74"/>
  <c r="H72"/>
  <c r="H70"/>
  <c r="H67"/>
  <c r="H65"/>
  <c r="H64" s="1"/>
  <c r="H60"/>
  <c r="H56"/>
  <c r="H55" s="1"/>
  <c r="H52"/>
  <c r="H51"/>
  <c r="H50" s="1"/>
  <c r="H48"/>
  <c r="H47" s="1"/>
  <c r="H45"/>
  <c r="H39"/>
  <c r="H38" s="1"/>
  <c r="H37" s="1"/>
  <c r="H36"/>
  <c r="H34"/>
  <c r="H33" s="1"/>
  <c r="H32" s="1"/>
  <c r="H31" s="1"/>
  <c r="H29"/>
  <c r="H28"/>
  <c r="H26"/>
  <c r="H24"/>
  <c r="H21"/>
  <c r="H19"/>
  <c r="H16"/>
  <c r="H15" s="1"/>
  <c r="S14" i="27"/>
  <c r="H1197"/>
  <c r="G1197"/>
  <c r="H661"/>
  <c r="G661"/>
  <c r="H635"/>
  <c r="G635"/>
  <c r="H533"/>
  <c r="G533"/>
  <c r="H538"/>
  <c r="G538"/>
  <c r="H1227"/>
  <c r="H1226"/>
  <c r="H1219"/>
  <c r="H1216"/>
  <c r="H1215"/>
  <c r="H1214" s="1"/>
  <c r="H1213" s="1"/>
  <c r="H1209"/>
  <c r="H1207"/>
  <c r="H1206"/>
  <c r="H1204"/>
  <c r="H1202"/>
  <c r="H1201" s="1"/>
  <c r="H1200" s="1"/>
  <c r="H1196"/>
  <c r="H1195" s="1"/>
  <c r="H1193"/>
  <c r="H1190"/>
  <c r="H1189" s="1"/>
  <c r="H1187"/>
  <c r="H1186" s="1"/>
  <c r="H1180"/>
  <c r="H1179" s="1"/>
  <c r="H1177"/>
  <c r="H1175"/>
  <c r="H1173"/>
  <c r="H1170"/>
  <c r="H1169" s="1"/>
  <c r="H1167"/>
  <c r="H1165"/>
  <c r="H1163"/>
  <c r="H1161"/>
  <c r="H1153" s="1"/>
  <c r="H1152" s="1"/>
  <c r="H1157"/>
  <c r="H1155"/>
  <c r="H1149"/>
  <c r="H1147"/>
  <c r="H1145"/>
  <c r="H1143"/>
  <c r="H1139"/>
  <c r="H1136"/>
  <c r="H1134"/>
  <c r="H1132"/>
  <c r="H1124"/>
  <c r="H1122"/>
  <c r="H1120"/>
  <c r="H1117"/>
  <c r="H1116" s="1"/>
  <c r="H1114"/>
  <c r="H1112"/>
  <c r="H1109"/>
  <c r="H1106"/>
  <c r="H1105" s="1"/>
  <c r="H1104" s="1"/>
  <c r="H1102"/>
  <c r="H1101" s="1"/>
  <c r="H1100" s="1"/>
  <c r="H1098"/>
  <c r="H1097" s="1"/>
  <c r="H1095"/>
  <c r="H1093"/>
  <c r="H1090"/>
  <c r="H1088"/>
  <c r="H1085"/>
  <c r="H1083"/>
  <c r="H1080"/>
  <c r="H1078"/>
  <c r="H1075"/>
  <c r="H1073"/>
  <c r="H1071"/>
  <c r="H1069"/>
  <c r="H1067"/>
  <c r="H1064"/>
  <c r="H1062"/>
  <c r="H1060"/>
  <c r="H1058"/>
  <c r="H1056"/>
  <c r="H1054"/>
  <c r="H1052"/>
  <c r="H1050"/>
  <c r="H1047"/>
  <c r="H1044"/>
  <c r="H1042"/>
  <c r="H1040"/>
  <c r="H1039" s="1"/>
  <c r="H1037"/>
  <c r="H1033"/>
  <c r="H1031"/>
  <c r="H1029"/>
  <c r="H1026"/>
  <c r="H1024"/>
  <c r="H1021"/>
  <c r="H1019"/>
  <c r="H1017"/>
  <c r="H1015"/>
  <c r="H1013"/>
  <c r="H1011"/>
  <c r="H1008"/>
  <c r="H1006"/>
  <c r="H1003"/>
  <c r="H1000"/>
  <c r="H998"/>
  <c r="H996"/>
  <c r="H994"/>
  <c r="H990"/>
  <c r="H988"/>
  <c r="H984"/>
  <c r="H983"/>
  <c r="H978"/>
  <c r="H977" s="1"/>
  <c r="H975"/>
  <c r="H973"/>
  <c r="H972"/>
  <c r="H969"/>
  <c r="H968" s="1"/>
  <c r="H967" s="1"/>
  <c r="H964"/>
  <c r="H962"/>
  <c r="H961"/>
  <c r="H956"/>
  <c r="H954"/>
  <c r="H952"/>
  <c r="H950"/>
  <c r="H948"/>
  <c r="H943"/>
  <c r="H941"/>
  <c r="H939"/>
  <c r="H937"/>
  <c r="H936"/>
  <c r="H933"/>
  <c r="H932" s="1"/>
  <c r="H930"/>
  <c r="H929"/>
  <c r="H927"/>
  <c r="H923"/>
  <c r="H921" s="1"/>
  <c r="H919"/>
  <c r="H918"/>
  <c r="H917" s="1"/>
  <c r="H915"/>
  <c r="H914" s="1"/>
  <c r="H912"/>
  <c r="H908"/>
  <c r="H906"/>
  <c r="H904"/>
  <c r="H897"/>
  <c r="H896" s="1"/>
  <c r="H895" s="1"/>
  <c r="H893"/>
  <c r="H892" s="1"/>
  <c r="H890"/>
  <c r="H888"/>
  <c r="H887"/>
  <c r="H884"/>
  <c r="H882"/>
  <c r="H880"/>
  <c r="H878"/>
  <c r="H876"/>
  <c r="H871"/>
  <c r="H869"/>
  <c r="H867"/>
  <c r="H865"/>
  <c r="H858"/>
  <c r="H856"/>
  <c r="H854"/>
  <c r="H852"/>
  <c r="H850"/>
  <c r="H845"/>
  <c r="H844" s="1"/>
  <c r="H842"/>
  <c r="H841" s="1"/>
  <c r="H837"/>
  <c r="H836" s="1"/>
  <c r="H834"/>
  <c r="H833" s="1"/>
  <c r="H828"/>
  <c r="H822" s="1"/>
  <c r="H825"/>
  <c r="H823"/>
  <c r="H820"/>
  <c r="H818"/>
  <c r="H817" s="1"/>
  <c r="H815"/>
  <c r="H814" s="1"/>
  <c r="H810"/>
  <c r="H809" s="1"/>
  <c r="H806"/>
  <c r="H805" s="1"/>
  <c r="H803"/>
  <c r="H801"/>
  <c r="H794"/>
  <c r="H792"/>
  <c r="H790"/>
  <c r="H788"/>
  <c r="H785"/>
  <c r="H781"/>
  <c r="H779"/>
  <c r="H777"/>
  <c r="H775"/>
  <c r="H774" s="1"/>
  <c r="H772"/>
  <c r="H769"/>
  <c r="H767"/>
  <c r="H762"/>
  <c r="H759"/>
  <c r="H757"/>
  <c r="H755"/>
  <c r="H751"/>
  <c r="H748"/>
  <c r="H746"/>
  <c r="H744"/>
  <c r="H740"/>
  <c r="H738"/>
  <c r="H736"/>
  <c r="H733"/>
  <c r="H731"/>
  <c r="H729"/>
  <c r="H727"/>
  <c r="H725"/>
  <c r="H724"/>
  <c r="H722"/>
  <c r="H720"/>
  <c r="H718" s="1"/>
  <c r="H717" s="1"/>
  <c r="H715"/>
  <c r="H714"/>
  <c r="H713" s="1"/>
  <c r="H711"/>
  <c r="H710" s="1"/>
  <c r="H706"/>
  <c r="H701" s="1"/>
  <c r="H704"/>
  <c r="H702"/>
  <c r="H698"/>
  <c r="H697" s="1"/>
  <c r="H695"/>
  <c r="H692"/>
  <c r="H688"/>
  <c r="H684"/>
  <c r="H682"/>
  <c r="H680"/>
  <c r="H677"/>
  <c r="H676"/>
  <c r="H673"/>
  <c r="H672"/>
  <c r="H668"/>
  <c r="H665"/>
  <c r="H660"/>
  <c r="H657"/>
  <c r="H654"/>
  <c r="H650"/>
  <c r="H648"/>
  <c r="H647"/>
  <c r="H645"/>
  <c r="H644" s="1"/>
  <c r="H641"/>
  <c r="H639"/>
  <c r="H637"/>
  <c r="H632"/>
  <c r="H630"/>
  <c r="H624"/>
  <c r="H622"/>
  <c r="H616"/>
  <c r="H614"/>
  <c r="H612"/>
  <c r="H610"/>
  <c r="H609"/>
  <c r="H607"/>
  <c r="H605"/>
  <c r="H601"/>
  <c r="H599"/>
  <c r="H596"/>
  <c r="H594"/>
  <c r="H592"/>
  <c r="H590"/>
  <c r="H588"/>
  <c r="H586"/>
  <c r="H579"/>
  <c r="H577"/>
  <c r="H575"/>
  <c r="H573"/>
  <c r="H571"/>
  <c r="H569"/>
  <c r="H567"/>
  <c r="H566"/>
  <c r="H564"/>
  <c r="H562"/>
  <c r="H558"/>
  <c r="H556"/>
  <c r="H555"/>
  <c r="H549"/>
  <c r="H545"/>
  <c r="H542"/>
  <c r="H534"/>
  <c r="H531"/>
  <c r="H529"/>
  <c r="H527"/>
  <c r="H525"/>
  <c r="H523"/>
  <c r="H520"/>
  <c r="H518"/>
  <c r="H516"/>
  <c r="H514"/>
  <c r="H512"/>
  <c r="H510"/>
  <c r="H508"/>
  <c r="H507"/>
  <c r="H505"/>
  <c r="H503"/>
  <c r="H499"/>
  <c r="H498" s="1"/>
  <c r="H494"/>
  <c r="H493" s="1"/>
  <c r="H492" s="1"/>
  <c r="H490"/>
  <c r="H489" s="1"/>
  <c r="H488" s="1"/>
  <c r="H486"/>
  <c r="H484"/>
  <c r="H483" s="1"/>
  <c r="H479" s="1"/>
  <c r="H481"/>
  <c r="H480" s="1"/>
  <c r="H477"/>
  <c r="H472"/>
  <c r="H470"/>
  <c r="H468" s="1"/>
  <c r="H464" s="1"/>
  <c r="H462"/>
  <c r="H461" s="1"/>
  <c r="H458"/>
  <c r="H457"/>
  <c r="H456"/>
  <c r="H453"/>
  <c r="H451"/>
  <c r="H448"/>
  <c r="H447" s="1"/>
  <c r="H444"/>
  <c r="H441"/>
  <c r="H438"/>
  <c r="H426"/>
  <c r="H425" s="1"/>
  <c r="H424" s="1"/>
  <c r="H422"/>
  <c r="H421" s="1"/>
  <c r="H420" s="1"/>
  <c r="H419" s="1"/>
  <c r="H417"/>
  <c r="H416" s="1"/>
  <c r="H413"/>
  <c r="H409"/>
  <c r="H408" s="1"/>
  <c r="H406"/>
  <c r="H402"/>
  <c r="H401"/>
  <c r="H398"/>
  <c r="H395"/>
  <c r="H393"/>
  <c r="H390"/>
  <c r="H388"/>
  <c r="H385"/>
  <c r="H382"/>
  <c r="H379"/>
  <c r="H378" s="1"/>
  <c r="H375"/>
  <c r="H372"/>
  <c r="H369"/>
  <c r="H368" s="1"/>
  <c r="H367" s="1"/>
  <c r="H365"/>
  <c r="H364"/>
  <c r="H362"/>
  <c r="H361"/>
  <c r="H359"/>
  <c r="H358"/>
  <c r="H357" s="1"/>
  <c r="H355"/>
  <c r="H354" s="1"/>
  <c r="H350" s="1"/>
  <c r="H349" s="1"/>
  <c r="H347"/>
  <c r="H346" s="1"/>
  <c r="H345" s="1"/>
  <c r="H342"/>
  <c r="H340"/>
  <c r="H338"/>
  <c r="H335"/>
  <c r="H334" s="1"/>
  <c r="H332"/>
  <c r="H327"/>
  <c r="H325"/>
  <c r="H324" s="1"/>
  <c r="H322"/>
  <c r="H319"/>
  <c r="H317"/>
  <c r="H316" s="1"/>
  <c r="H314"/>
  <c r="H312"/>
  <c r="H309"/>
  <c r="H307"/>
  <c r="H304"/>
  <c r="H301"/>
  <c r="H299"/>
  <c r="H298" s="1"/>
  <c r="H296"/>
  <c r="H292"/>
  <c r="H290"/>
  <c r="H289" s="1"/>
  <c r="H286"/>
  <c r="H285"/>
  <c r="H283"/>
  <c r="H281"/>
  <c r="H279"/>
  <c r="H278"/>
  <c r="H277" s="1"/>
  <c r="H273"/>
  <c r="H271"/>
  <c r="H270" s="1"/>
  <c r="H268"/>
  <c r="H266"/>
  <c r="H263"/>
  <c r="H262" s="1"/>
  <c r="H261" s="1"/>
  <c r="H259"/>
  <c r="H257"/>
  <c r="H256" s="1"/>
  <c r="H254"/>
  <c r="H251"/>
  <c r="H249"/>
  <c r="H248"/>
  <c r="H241"/>
  <c r="H239"/>
  <c r="H238"/>
  <c r="H236"/>
  <c r="H234"/>
  <c r="H233" s="1"/>
  <c r="H232"/>
  <c r="H231" s="1"/>
  <c r="H228"/>
  <c r="H226"/>
  <c r="H224"/>
  <c r="H221"/>
  <c r="H220" s="1"/>
  <c r="H216"/>
  <c r="H215" s="1"/>
  <c r="H213"/>
  <c r="H210"/>
  <c r="H207"/>
  <c r="H205"/>
  <c r="H201"/>
  <c r="H199"/>
  <c r="H197"/>
  <c r="H196"/>
  <c r="H195" s="1"/>
  <c r="H193"/>
  <c r="H191"/>
  <c r="H190" s="1"/>
  <c r="H188"/>
  <c r="H187"/>
  <c r="H185"/>
  <c r="H184" s="1"/>
  <c r="H182"/>
  <c r="H181" s="1"/>
  <c r="H179"/>
  <c r="H177"/>
  <c r="H174"/>
  <c r="H173" s="1"/>
  <c r="H170"/>
  <c r="H169" s="1"/>
  <c r="H168"/>
  <c r="H165"/>
  <c r="H164" s="1"/>
  <c r="H162"/>
  <c r="H160"/>
  <c r="H158"/>
  <c r="H157" s="1"/>
  <c r="H155"/>
  <c r="H154" s="1"/>
  <c r="H152"/>
  <c r="H150"/>
  <c r="H148"/>
  <c r="H147" s="1"/>
  <c r="H146" s="1"/>
  <c r="H145" s="1"/>
  <c r="H141"/>
  <c r="H140" s="1"/>
  <c r="H138"/>
  <c r="H136"/>
  <c r="H134"/>
  <c r="H130"/>
  <c r="H128"/>
  <c r="H125"/>
  <c r="H122"/>
  <c r="H121"/>
  <c r="H119"/>
  <c r="H118" s="1"/>
  <c r="H116"/>
  <c r="H114"/>
  <c r="H112"/>
  <c r="H111" s="1"/>
  <c r="H109"/>
  <c r="H108"/>
  <c r="H106"/>
  <c r="H104"/>
  <c r="H103"/>
  <c r="H101"/>
  <c r="H99"/>
  <c r="H95"/>
  <c r="H94"/>
  <c r="H93" s="1"/>
  <c r="H91"/>
  <c r="H90"/>
  <c r="H89"/>
  <c r="H87"/>
  <c r="H85"/>
  <c r="H84" s="1"/>
  <c r="H83" s="1"/>
  <c r="H81"/>
  <c r="H79"/>
  <c r="H77" s="1"/>
  <c r="H76" s="1"/>
  <c r="H75" s="1"/>
  <c r="H73"/>
  <c r="H72" s="1"/>
  <c r="H68"/>
  <c r="H67" s="1"/>
  <c r="H65"/>
  <c r="H63"/>
  <c r="H61"/>
  <c r="H59"/>
  <c r="H57"/>
  <c r="H55"/>
  <c r="H53" s="1"/>
  <c r="H52" s="1"/>
  <c r="H49"/>
  <c r="H48" s="1"/>
  <c r="H47" s="1"/>
  <c r="H45"/>
  <c r="H43"/>
  <c r="H42" s="1"/>
  <c r="H40"/>
  <c r="H39"/>
  <c r="H36"/>
  <c r="H33"/>
  <c r="H32" s="1"/>
  <c r="H31" s="1"/>
  <c r="H29"/>
  <c r="H28" s="1"/>
  <c r="H27" s="1"/>
  <c r="H25"/>
  <c r="H24" s="1"/>
  <c r="H22"/>
  <c r="H20"/>
  <c r="H16"/>
  <c r="H15"/>
  <c r="H14" s="1"/>
  <c r="G741" i="28"/>
  <c r="G387" i="27"/>
  <c r="G501" i="28"/>
  <c r="G46"/>
  <c r="G48"/>
  <c r="B19" i="33"/>
  <c r="C16" i="36"/>
  <c r="J663" i="27"/>
  <c r="G660"/>
  <c r="G292" i="28"/>
  <c r="G289"/>
  <c r="K360"/>
  <c r="H311" i="27" l="1"/>
  <c r="H1636" i="28"/>
  <c r="H1635" s="1"/>
  <c r="H1634" s="1"/>
  <c r="H1429"/>
  <c r="H1405"/>
  <c r="H384"/>
  <c r="H1038"/>
  <c r="H54"/>
  <c r="H49" s="1"/>
  <c r="H42" s="1"/>
  <c r="H41" s="1"/>
  <c r="H229"/>
  <c r="H239"/>
  <c r="H238" s="1"/>
  <c r="H266"/>
  <c r="H265" s="1"/>
  <c r="H409"/>
  <c r="H437"/>
  <c r="H475"/>
  <c r="H822"/>
  <c r="H995"/>
  <c r="H994" s="1"/>
  <c r="H1027"/>
  <c r="H1006" s="1"/>
  <c r="H1099"/>
  <c r="H1098" s="1"/>
  <c r="H1145"/>
  <c r="H1175"/>
  <c r="H1313"/>
  <c r="H1359"/>
  <c r="H1358" s="1"/>
  <c r="H69"/>
  <c r="H116"/>
  <c r="H1224"/>
  <c r="H1223" s="1"/>
  <c r="H1222" s="1"/>
  <c r="H1375"/>
  <c r="H1374" s="1"/>
  <c r="H195"/>
  <c r="H175" s="1"/>
  <c r="H213"/>
  <c r="H212" s="1"/>
  <c r="H224"/>
  <c r="H204" s="1"/>
  <c r="H580"/>
  <c r="H1065"/>
  <c r="H1301"/>
  <c r="H1319"/>
  <c r="H1318" s="1"/>
  <c r="H1455"/>
  <c r="H1454" s="1"/>
  <c r="H1508"/>
  <c r="H1505" s="1"/>
  <c r="H1504" s="1"/>
  <c r="H1621"/>
  <c r="H1620" s="1"/>
  <c r="H1619" s="1"/>
  <c r="H433"/>
  <c r="H592"/>
  <c r="H591" s="1"/>
  <c r="H821"/>
  <c r="H1076"/>
  <c r="H1075" s="1"/>
  <c r="H1074" s="1"/>
  <c r="H1210"/>
  <c r="H1503"/>
  <c r="H1602"/>
  <c r="H1688"/>
  <c r="H141"/>
  <c r="H467"/>
  <c r="H460" s="1"/>
  <c r="H697"/>
  <c r="H18"/>
  <c r="H17" s="1"/>
  <c r="H44"/>
  <c r="H43" s="1"/>
  <c r="H63"/>
  <c r="H59" s="1"/>
  <c r="H58" s="1"/>
  <c r="H111"/>
  <c r="H133"/>
  <c r="H165"/>
  <c r="H353"/>
  <c r="H370"/>
  <c r="H428"/>
  <c r="H450"/>
  <c r="H515"/>
  <c r="H563"/>
  <c r="H663"/>
  <c r="H841"/>
  <c r="H836" s="1"/>
  <c r="H983"/>
  <c r="H1109"/>
  <c r="H1108" s="1"/>
  <c r="H1097" s="1"/>
  <c r="H1096" s="1"/>
  <c r="H1136"/>
  <c r="H1135" s="1"/>
  <c r="H1130" s="1"/>
  <c r="H1159"/>
  <c r="H1200"/>
  <c r="H1271"/>
  <c r="H1394"/>
  <c r="H1650"/>
  <c r="H1649" s="1"/>
  <c r="H1648" s="1"/>
  <c r="H1633" s="1"/>
  <c r="H1194"/>
  <c r="H1193" s="1"/>
  <c r="H1142"/>
  <c r="H1141" s="1"/>
  <c r="H1140" s="1"/>
  <c r="H928"/>
  <c r="H879" s="1"/>
  <c r="H875" s="1"/>
  <c r="H787"/>
  <c r="H721"/>
  <c r="H707" s="1"/>
  <c r="H706" s="1"/>
  <c r="H690"/>
  <c r="H689" s="1"/>
  <c r="H688" s="1"/>
  <c r="H498"/>
  <c r="H495" s="1"/>
  <c r="H323"/>
  <c r="H319" s="1"/>
  <c r="H314" s="1"/>
  <c r="H271"/>
  <c r="H23"/>
  <c r="H642"/>
  <c r="H638" s="1"/>
  <c r="H673"/>
  <c r="H672" s="1"/>
  <c r="H804"/>
  <c r="H1154"/>
  <c r="H1139" s="1"/>
  <c r="H1184"/>
  <c r="H1183" s="1"/>
  <c r="H1536"/>
  <c r="H1592"/>
  <c r="H1585" s="1"/>
  <c r="H1062"/>
  <c r="H1059" s="1"/>
  <c r="H1058" s="1"/>
  <c r="H1051"/>
  <c r="H1050" s="1"/>
  <c r="H14"/>
  <c r="H13" s="1"/>
  <c r="H99"/>
  <c r="H91" s="1"/>
  <c r="H237"/>
  <c r="H316"/>
  <c r="H362"/>
  <c r="H396"/>
  <c r="H375" s="1"/>
  <c r="H416"/>
  <c r="H408" s="1"/>
  <c r="H407" s="1"/>
  <c r="H553"/>
  <c r="H528" s="1"/>
  <c r="H576"/>
  <c r="H571" s="1"/>
  <c r="H615"/>
  <c r="H629"/>
  <c r="H657"/>
  <c r="H653" s="1"/>
  <c r="H744"/>
  <c r="H813"/>
  <c r="H812" s="1"/>
  <c r="H811" s="1"/>
  <c r="H990"/>
  <c r="H1256"/>
  <c r="H1255" s="1"/>
  <c r="H1251" s="1"/>
  <c r="H1428"/>
  <c r="H1412" s="1"/>
  <c r="H1461"/>
  <c r="H1449" s="1"/>
  <c r="H1520"/>
  <c r="H1557"/>
  <c r="H1556" s="1"/>
  <c r="H1615"/>
  <c r="H864" i="27"/>
  <c r="H863" s="1"/>
  <c r="H862" s="1"/>
  <c r="H124"/>
  <c r="H97" s="1"/>
  <c r="H132"/>
  <c r="H127" s="1"/>
  <c r="H38"/>
  <c r="H19"/>
  <c r="H18" s="1"/>
  <c r="H1131"/>
  <c r="H1130" s="1"/>
  <c r="H1129" s="1"/>
  <c r="H1049"/>
  <c r="H993" s="1"/>
  <c r="H987"/>
  <c r="H986" s="1"/>
  <c r="H971"/>
  <c r="H920"/>
  <c r="H813"/>
  <c r="H687"/>
  <c r="H686" s="1"/>
  <c r="H671" s="1"/>
  <c r="H664"/>
  <c r="H561"/>
  <c r="H98"/>
  <c r="H212"/>
  <c r="H223"/>
  <c r="H253"/>
  <c r="H541"/>
  <c r="H618"/>
  <c r="H628"/>
  <c r="H627" s="1"/>
  <c r="H634"/>
  <c r="H653"/>
  <c r="H743"/>
  <c r="H787"/>
  <c r="H784" s="1"/>
  <c r="H783" s="1"/>
  <c r="H798"/>
  <c r="H797" s="1"/>
  <c r="H886"/>
  <c r="H903"/>
  <c r="H902" s="1"/>
  <c r="H901" s="1"/>
  <c r="H900" s="1"/>
  <c r="H1142"/>
  <c r="H1141" s="1"/>
  <c r="H1138" s="1"/>
  <c r="H1172"/>
  <c r="H265"/>
  <c r="H436"/>
  <c r="H582"/>
  <c r="H604"/>
  <c r="H603" s="1"/>
  <c r="H643"/>
  <c r="H709"/>
  <c r="H849"/>
  <c r="H848" s="1"/>
  <c r="H875"/>
  <c r="H874" s="1"/>
  <c r="H1111"/>
  <c r="H1185"/>
  <c r="H1184" s="1"/>
  <c r="H306"/>
  <c r="H502"/>
  <c r="H501" s="1"/>
  <c r="H460"/>
  <c r="H455" s="1"/>
  <c r="H384"/>
  <c r="H381" s="1"/>
  <c r="H371"/>
  <c r="H337"/>
  <c r="H247"/>
  <c r="H176"/>
  <c r="H172" s="1"/>
  <c r="H144" s="1"/>
  <c r="H51"/>
  <c r="H204"/>
  <c r="H203" s="1"/>
  <c r="H321"/>
  <c r="H411"/>
  <c r="H497"/>
  <c r="H771"/>
  <c r="H766" s="1"/>
  <c r="H832"/>
  <c r="H911"/>
  <c r="H1151"/>
  <c r="H303"/>
  <c r="H847"/>
  <c r="H840" s="1"/>
  <c r="H873"/>
  <c r="H861" s="1"/>
  <c r="G1401" i="28"/>
  <c r="J500" i="27"/>
  <c r="G499"/>
  <c r="G498" s="1"/>
  <c r="G1252" i="28"/>
  <c r="G1253"/>
  <c r="G1085" i="27"/>
  <c r="K940"/>
  <c r="K938"/>
  <c r="K935"/>
  <c r="K931"/>
  <c r="K928"/>
  <c r="K926"/>
  <c r="K925"/>
  <c r="K916"/>
  <c r="K913"/>
  <c r="K899"/>
  <c r="K898"/>
  <c r="K860"/>
  <c r="G850"/>
  <c r="G1622" i="28"/>
  <c r="J1036" i="27"/>
  <c r="K1036" s="1"/>
  <c r="G1033"/>
  <c r="G915" i="28"/>
  <c r="G474"/>
  <c r="J1137" i="27"/>
  <c r="K1137" s="1"/>
  <c r="G1136"/>
  <c r="G695" i="28"/>
  <c r="G675"/>
  <c r="G662"/>
  <c r="G56"/>
  <c r="G51"/>
  <c r="G53"/>
  <c r="H1312" l="1"/>
  <c r="H1250" s="1"/>
  <c r="H1245" s="1"/>
  <c r="H614"/>
  <c r="H236"/>
  <c r="H859"/>
  <c r="H1037"/>
  <c r="H1614"/>
  <c r="H1601" s="1"/>
  <c r="H1502"/>
  <c r="H352"/>
  <c r="H90"/>
  <c r="H89" s="1"/>
  <c r="H57" s="1"/>
  <c r="H1129"/>
  <c r="H782"/>
  <c r="H12"/>
  <c r="H11" s="1"/>
  <c r="H406"/>
  <c r="H235" s="1"/>
  <c r="H1535"/>
  <c r="H1534" s="1"/>
  <c r="H743"/>
  <c r="K743" s="1"/>
  <c r="H982" i="27"/>
  <c r="H966" s="1"/>
  <c r="H765"/>
  <c r="H764" s="1"/>
  <c r="H560"/>
  <c r="H554" s="1"/>
  <c r="H496" s="1"/>
  <c r="H329"/>
  <c r="H13"/>
  <c r="S13" s="1"/>
  <c r="H839"/>
  <c r="H276"/>
  <c r="G25" i="28"/>
  <c r="G30"/>
  <c r="G27"/>
  <c r="G20"/>
  <c r="G16"/>
  <c r="G480"/>
  <c r="G216" i="27"/>
  <c r="G1124"/>
  <c r="J272"/>
  <c r="J1133"/>
  <c r="K1133" s="1"/>
  <c r="G1132"/>
  <c r="J1199"/>
  <c r="K1199" s="1"/>
  <c r="J1174"/>
  <c r="G1173"/>
  <c r="H1501" i="28" l="1"/>
  <c r="H1721" s="1"/>
  <c r="H275" i="27"/>
  <c r="H1218" s="1"/>
  <c r="G359" i="28"/>
  <c r="G700"/>
  <c r="G699" s="1"/>
  <c r="G698" s="1"/>
  <c r="G691"/>
  <c r="J328" i="27"/>
  <c r="G327"/>
  <c r="J260"/>
  <c r="G259"/>
  <c r="G390" i="28"/>
  <c r="G1028"/>
  <c r="C31" i="36" l="1"/>
  <c r="C30"/>
  <c r="C29" s="1"/>
  <c r="C28" s="1"/>
  <c r="C17"/>
  <c r="C15"/>
  <c r="C12" s="1"/>
  <c r="C14"/>
  <c r="C13"/>
  <c r="C26" i="33"/>
  <c r="C20"/>
  <c r="B20"/>
  <c r="B26"/>
  <c r="C25"/>
  <c r="B18"/>
  <c r="B25" s="1"/>
  <c r="C17"/>
  <c r="C24" l="1"/>
  <c r="B24"/>
  <c r="C11" i="36"/>
  <c r="B17" i="33"/>
  <c r="J613" i="27" l="1"/>
  <c r="J708"/>
  <c r="J707"/>
  <c r="G1090"/>
  <c r="K649"/>
  <c r="K638"/>
  <c r="K626"/>
  <c r="K625"/>
  <c r="K621"/>
  <c r="K620"/>
  <c r="K600"/>
  <c r="K598"/>
  <c r="K593"/>
  <c r="K589"/>
  <c r="K585"/>
  <c r="K584"/>
  <c r="K559"/>
  <c r="K557"/>
  <c r="K550"/>
  <c r="K532"/>
  <c r="K530"/>
  <c r="K528"/>
  <c r="K526"/>
  <c r="J423"/>
  <c r="G422"/>
  <c r="G421" s="1"/>
  <c r="G420" s="1"/>
  <c r="G419" s="1"/>
  <c r="G426"/>
  <c r="G425" s="1"/>
  <c r="G424" s="1"/>
  <c r="J280"/>
  <c r="J211"/>
  <c r="J1176"/>
  <c r="K1176" s="1"/>
  <c r="G1175"/>
  <c r="G1172" s="1"/>
  <c r="J1115"/>
  <c r="K1115" s="1"/>
  <c r="G1114"/>
  <c r="G988" i="28"/>
  <c r="J1103" i="27"/>
  <c r="K1103" s="1"/>
  <c r="G1102"/>
  <c r="G1101" s="1"/>
  <c r="G1100" s="1"/>
  <c r="G539" i="28"/>
  <c r="G538" s="1"/>
  <c r="G537" s="1"/>
  <c r="G536" s="1"/>
  <c r="J380" i="27"/>
  <c r="G379"/>
  <c r="G378" s="1"/>
  <c r="G492" i="28"/>
  <c r="G491" s="1"/>
  <c r="J370" i="27"/>
  <c r="G369"/>
  <c r="G368" s="1"/>
  <c r="G367" s="1"/>
  <c r="G483" i="28"/>
  <c r="G482" s="1"/>
  <c r="G481" s="1"/>
  <c r="G1030"/>
  <c r="G1027" s="1"/>
  <c r="G981"/>
  <c r="G980" s="1"/>
  <c r="G979" s="1"/>
  <c r="G935"/>
  <c r="G937"/>
  <c r="G939"/>
  <c r="G941"/>
  <c r="G1511"/>
  <c r="G394"/>
  <c r="G393" s="1"/>
  <c r="G392" s="1"/>
  <c r="G318"/>
  <c r="G307"/>
  <c r="G305"/>
  <c r="G242"/>
  <c r="G906" i="27"/>
  <c r="G1679" i="28"/>
  <c r="J1092" i="27" l="1"/>
  <c r="K1092" s="1"/>
  <c r="G971" i="28"/>
  <c r="K1160" i="27"/>
  <c r="K1159"/>
  <c r="K1156"/>
  <c r="K1128"/>
  <c r="K1125"/>
  <c r="K1123"/>
  <c r="K1119"/>
  <c r="K1118"/>
  <c r="K1110"/>
  <c r="K1074"/>
  <c r="K1063"/>
  <c r="K1061"/>
  <c r="K1059"/>
  <c r="K1041"/>
  <c r="K1032"/>
  <c r="K1030"/>
  <c r="G512"/>
  <c r="J868"/>
  <c r="K868" s="1"/>
  <c r="J1113"/>
  <c r="K1113" s="1"/>
  <c r="G1112"/>
  <c r="J326"/>
  <c r="J142"/>
  <c r="G141"/>
  <c r="G140" s="1"/>
  <c r="G311" i="28"/>
  <c r="G740" l="1"/>
  <c r="J924" i="27"/>
  <c r="K924" s="1"/>
  <c r="G923"/>
  <c r="G921" s="1"/>
  <c r="G1691" i="28"/>
  <c r="J905" i="27"/>
  <c r="K905" s="1"/>
  <c r="G908"/>
  <c r="G904"/>
  <c r="G903" s="1"/>
  <c r="G1677" i="28"/>
  <c r="G1676" s="1"/>
  <c r="G1605"/>
  <c r="G1609"/>
  <c r="G1608" s="1"/>
  <c r="J807" i="27"/>
  <c r="K807" s="1"/>
  <c r="G806"/>
  <c r="G805" s="1"/>
  <c r="G1578" i="28"/>
  <c r="G1577" s="1"/>
  <c r="J770" i="27"/>
  <c r="K770" s="1"/>
  <c r="G769"/>
  <c r="G1539" i="28"/>
  <c r="G1531"/>
  <c r="G1530" s="1"/>
  <c r="J699" i="27"/>
  <c r="G1439" i="28"/>
  <c r="G1438" s="1"/>
  <c r="J678" i="27"/>
  <c r="K678" s="1"/>
  <c r="G1418" i="28"/>
  <c r="J1087" i="27"/>
  <c r="K1087" s="1"/>
  <c r="G966" i="28"/>
  <c r="G1080" i="27"/>
  <c r="J1082"/>
  <c r="K1082" s="1"/>
  <c r="G961" i="28"/>
  <c r="G682"/>
  <c r="J739" i="27"/>
  <c r="G738"/>
  <c r="G724" s="1"/>
  <c r="G608" i="28"/>
  <c r="G607" s="1"/>
  <c r="J383" i="27"/>
  <c r="G382"/>
  <c r="J366"/>
  <c r="G365"/>
  <c r="G479" i="28"/>
  <c r="G478" s="1"/>
  <c r="J225" i="27"/>
  <c r="J227"/>
  <c r="G365" i="28"/>
  <c r="G363"/>
  <c r="J250" i="27"/>
  <c r="G249"/>
  <c r="G248"/>
  <c r="G376" i="28"/>
  <c r="G377"/>
  <c r="G379"/>
  <c r="G382"/>
  <c r="G381" s="1"/>
  <c r="G14"/>
  <c r="G13" s="1"/>
  <c r="G15"/>
  <c r="I16"/>
  <c r="G19"/>
  <c r="I20"/>
  <c r="G21"/>
  <c r="I22"/>
  <c r="G24"/>
  <c r="G26"/>
  <c r="G28"/>
  <c r="I28" s="1"/>
  <c r="G34"/>
  <c r="G33" s="1"/>
  <c r="G32" s="1"/>
  <c r="G31" s="1"/>
  <c r="I35"/>
  <c r="G36"/>
  <c r="G39"/>
  <c r="G38" s="1"/>
  <c r="G37" s="1"/>
  <c r="I40"/>
  <c r="G45"/>
  <c r="I46"/>
  <c r="G47"/>
  <c r="G50"/>
  <c r="G52"/>
  <c r="G54"/>
  <c r="G55"/>
  <c r="G60"/>
  <c r="G65"/>
  <c r="G64" s="1"/>
  <c r="G67"/>
  <c r="G70"/>
  <c r="G72"/>
  <c r="G74"/>
  <c r="G78"/>
  <c r="G77" s="1"/>
  <c r="G80"/>
  <c r="G79" s="1"/>
  <c r="G82"/>
  <c r="G85"/>
  <c r="G87"/>
  <c r="G93"/>
  <c r="I94"/>
  <c r="G95"/>
  <c r="I96"/>
  <c r="G97"/>
  <c r="I98"/>
  <c r="G100"/>
  <c r="I101"/>
  <c r="I102"/>
  <c r="G104"/>
  <c r="G103" s="1"/>
  <c r="I105"/>
  <c r="G106"/>
  <c r="I107"/>
  <c r="I108"/>
  <c r="G109"/>
  <c r="I110"/>
  <c r="G112"/>
  <c r="I113"/>
  <c r="G114"/>
  <c r="I115"/>
  <c r="G117"/>
  <c r="I118"/>
  <c r="I119"/>
  <c r="G121"/>
  <c r="I122"/>
  <c r="G123"/>
  <c r="I124"/>
  <c r="I125"/>
  <c r="G126"/>
  <c r="I127"/>
  <c r="G128"/>
  <c r="I129"/>
  <c r="G131"/>
  <c r="G130" s="1"/>
  <c r="G134"/>
  <c r="I135"/>
  <c r="G137"/>
  <c r="G136" s="1"/>
  <c r="I138"/>
  <c r="G139"/>
  <c r="I140"/>
  <c r="G143"/>
  <c r="G142" s="1"/>
  <c r="I144"/>
  <c r="G146"/>
  <c r="G145" s="1"/>
  <c r="I147"/>
  <c r="G149"/>
  <c r="I150"/>
  <c r="G151"/>
  <c r="I152"/>
  <c r="G153"/>
  <c r="I155"/>
  <c r="G158"/>
  <c r="G157" s="1"/>
  <c r="G162"/>
  <c r="G161" s="1"/>
  <c r="G160" s="1"/>
  <c r="I163"/>
  <c r="G166"/>
  <c r="G167"/>
  <c r="G168"/>
  <c r="I168" s="1"/>
  <c r="G169"/>
  <c r="G164" s="1"/>
  <c r="G174"/>
  <c r="G173" s="1"/>
  <c r="G172" s="1"/>
  <c r="G176"/>
  <c r="I177"/>
  <c r="I181"/>
  <c r="G182"/>
  <c r="G179" s="1"/>
  <c r="I183"/>
  <c r="G184"/>
  <c r="I186"/>
  <c r="G187"/>
  <c r="I188"/>
  <c r="G189"/>
  <c r="I191"/>
  <c r="G192"/>
  <c r="G196"/>
  <c r="I197"/>
  <c r="I198"/>
  <c r="I199"/>
  <c r="G200"/>
  <c r="G202"/>
  <c r="G194" s="1"/>
  <c r="I194" s="1"/>
  <c r="G206"/>
  <c r="I207"/>
  <c r="I208"/>
  <c r="G209"/>
  <c r="G210"/>
  <c r="I211"/>
  <c r="G214"/>
  <c r="I215"/>
  <c r="G216"/>
  <c r="I217"/>
  <c r="G218"/>
  <c r="I219"/>
  <c r="G221"/>
  <c r="G220" s="1"/>
  <c r="I222"/>
  <c r="I223"/>
  <c r="G225"/>
  <c r="I226"/>
  <c r="G227"/>
  <c r="I228"/>
  <c r="G230"/>
  <c r="I231"/>
  <c r="I232"/>
  <c r="G233"/>
  <c r="I234"/>
  <c r="I240"/>
  <c r="G241"/>
  <c r="I242"/>
  <c r="I243"/>
  <c r="G245"/>
  <c r="G247"/>
  <c r="G249"/>
  <c r="G251"/>
  <c r="I252"/>
  <c r="G253"/>
  <c r="I254"/>
  <c r="G256"/>
  <c r="G255" s="1"/>
  <c r="I257"/>
  <c r="G259"/>
  <c r="G258" s="1"/>
  <c r="I260"/>
  <c r="G263"/>
  <c r="G262" s="1"/>
  <c r="G261" s="1"/>
  <c r="I264"/>
  <c r="G267"/>
  <c r="I268"/>
  <c r="G269"/>
  <c r="I270"/>
  <c r="G273"/>
  <c r="G272" s="1"/>
  <c r="I274"/>
  <c r="G275"/>
  <c r="I276"/>
  <c r="G278"/>
  <c r="G277" s="1"/>
  <c r="I279"/>
  <c r="G280"/>
  <c r="G281"/>
  <c r="G284"/>
  <c r="G283" s="1"/>
  <c r="I285"/>
  <c r="G286"/>
  <c r="G288"/>
  <c r="G291"/>
  <c r="G290" s="1"/>
  <c r="G293"/>
  <c r="G294"/>
  <c r="I295"/>
  <c r="G298"/>
  <c r="I298" s="1"/>
  <c r="I299"/>
  <c r="G300"/>
  <c r="G304"/>
  <c r="G306"/>
  <c r="G308"/>
  <c r="G310"/>
  <c r="G317"/>
  <c r="G315" s="1"/>
  <c r="G321"/>
  <c r="G320" s="1"/>
  <c r="G324"/>
  <c r="G326"/>
  <c r="G329"/>
  <c r="G328" s="1"/>
  <c r="G332"/>
  <c r="G331" s="1"/>
  <c r="I333"/>
  <c r="G334"/>
  <c r="G335"/>
  <c r="I336"/>
  <c r="G339"/>
  <c r="G338" s="1"/>
  <c r="G337" s="1"/>
  <c r="I340"/>
  <c r="G342"/>
  <c r="G344"/>
  <c r="G354"/>
  <c r="I355"/>
  <c r="I356"/>
  <c r="G358"/>
  <c r="G357" s="1"/>
  <c r="I359"/>
  <c r="I361"/>
  <c r="G367"/>
  <c r="G371"/>
  <c r="G373"/>
  <c r="G385"/>
  <c r="G389"/>
  <c r="G388" s="1"/>
  <c r="G387" s="1"/>
  <c r="G397"/>
  <c r="G399"/>
  <c r="G401"/>
  <c r="G404"/>
  <c r="G410"/>
  <c r="G412"/>
  <c r="G414"/>
  <c r="G417"/>
  <c r="G421"/>
  <c r="G420" s="1"/>
  <c r="G423"/>
  <c r="G426"/>
  <c r="G429"/>
  <c r="G431"/>
  <c r="G434"/>
  <c r="G438"/>
  <c r="G440"/>
  <c r="G443"/>
  <c r="G445"/>
  <c r="G448"/>
  <c r="G447" s="1"/>
  <c r="G451"/>
  <c r="G455"/>
  <c r="G454" s="1"/>
  <c r="G458"/>
  <c r="G462"/>
  <c r="G461" s="1"/>
  <c r="G465"/>
  <c r="G464" s="1"/>
  <c r="G468"/>
  <c r="G470"/>
  <c r="G472"/>
  <c r="G476"/>
  <c r="G486"/>
  <c r="G488"/>
  <c r="G496"/>
  <c r="G502"/>
  <c r="G499" s="1"/>
  <c r="G504"/>
  <c r="G507"/>
  <c r="G509"/>
  <c r="G512"/>
  <c r="G516"/>
  <c r="G520"/>
  <c r="G526"/>
  <c r="G525" s="1"/>
  <c r="G530"/>
  <c r="G533"/>
  <c r="G534"/>
  <c r="G543"/>
  <c r="G545"/>
  <c r="G547"/>
  <c r="G550"/>
  <c r="G549" s="1"/>
  <c r="G554"/>
  <c r="G557"/>
  <c r="G560"/>
  <c r="G564"/>
  <c r="G567"/>
  <c r="G569"/>
  <c r="G572"/>
  <c r="G574"/>
  <c r="G573" s="1"/>
  <c r="G578"/>
  <c r="G577" s="1"/>
  <c r="G586"/>
  <c r="G584" s="1"/>
  <c r="G588"/>
  <c r="G594"/>
  <c r="G593" s="1"/>
  <c r="G597"/>
  <c r="G596" s="1"/>
  <c r="G599"/>
  <c r="G604"/>
  <c r="G603" s="1"/>
  <c r="G602" s="1"/>
  <c r="G601" s="1"/>
  <c r="G611"/>
  <c r="G610" s="1"/>
  <c r="G606" s="1"/>
  <c r="G616"/>
  <c r="G619"/>
  <c r="G618" s="1"/>
  <c r="G627"/>
  <c r="G626" s="1"/>
  <c r="G625" s="1"/>
  <c r="G623" s="1"/>
  <c r="G622" s="1"/>
  <c r="G621" s="1"/>
  <c r="G630"/>
  <c r="G633"/>
  <c r="G632" s="1"/>
  <c r="G637"/>
  <c r="G636" s="1"/>
  <c r="G635" s="1"/>
  <c r="G640"/>
  <c r="G639" s="1"/>
  <c r="G643"/>
  <c r="G645"/>
  <c r="G649"/>
  <c r="G651"/>
  <c r="G655"/>
  <c r="G654" s="1"/>
  <c r="G660"/>
  <c r="G659" s="1"/>
  <c r="G658" s="1"/>
  <c r="G665"/>
  <c r="G664" s="1"/>
  <c r="G668"/>
  <c r="G667" s="1"/>
  <c r="G670"/>
  <c r="G674"/>
  <c r="G677"/>
  <c r="G679"/>
  <c r="G685"/>
  <c r="G684" s="1"/>
  <c r="G693"/>
  <c r="G690" s="1"/>
  <c r="G704"/>
  <c r="G703" s="1"/>
  <c r="G702" s="1"/>
  <c r="G697" s="1"/>
  <c r="G712"/>
  <c r="G710" s="1"/>
  <c r="G709" s="1"/>
  <c r="G708" s="1"/>
  <c r="G715"/>
  <c r="G714" s="1"/>
  <c r="G719"/>
  <c r="G722"/>
  <c r="G724"/>
  <c r="G727"/>
  <c r="G726" s="1"/>
  <c r="G731"/>
  <c r="G730" s="1"/>
  <c r="G729" s="1"/>
  <c r="G735"/>
  <c r="G734" s="1"/>
  <c r="G739"/>
  <c r="G738" s="1"/>
  <c r="G737" s="1"/>
  <c r="G747"/>
  <c r="G746" s="1"/>
  <c r="G745" s="1"/>
  <c r="I745"/>
  <c r="G751"/>
  <c r="G750" s="1"/>
  <c r="G749" s="1"/>
  <c r="I749"/>
  <c r="G755"/>
  <c r="G754" s="1"/>
  <c r="G753" s="1"/>
  <c r="I753"/>
  <c r="G759"/>
  <c r="G758" s="1"/>
  <c r="G764"/>
  <c r="G763" s="1"/>
  <c r="G762" s="1"/>
  <c r="G761" s="1"/>
  <c r="I762"/>
  <c r="G770"/>
  <c r="G768" s="1"/>
  <c r="G767" s="1"/>
  <c r="G766" s="1"/>
  <c r="G775"/>
  <c r="G774" s="1"/>
  <c r="G773" s="1"/>
  <c r="G772" s="1"/>
  <c r="G778"/>
  <c r="G780"/>
  <c r="G779" s="1"/>
  <c r="G785"/>
  <c r="G784" s="1"/>
  <c r="G783" s="1"/>
  <c r="G789"/>
  <c r="G788" s="1"/>
  <c r="G792"/>
  <c r="G791" s="1"/>
  <c r="G797"/>
  <c r="G799"/>
  <c r="G802"/>
  <c r="G801" s="1"/>
  <c r="G806"/>
  <c r="G805" s="1"/>
  <c r="G809"/>
  <c r="G808" s="1"/>
  <c r="G816"/>
  <c r="G815" s="1"/>
  <c r="G819"/>
  <c r="G818" s="1"/>
  <c r="G824"/>
  <c r="G823" s="1"/>
  <c r="G827"/>
  <c r="G826" s="1"/>
  <c r="G830"/>
  <c r="G829" s="1"/>
  <c r="G834"/>
  <c r="G833" s="1"/>
  <c r="G832" s="1"/>
  <c r="G839"/>
  <c r="G838" s="1"/>
  <c r="G837" s="1"/>
  <c r="G843"/>
  <c r="G842" s="1"/>
  <c r="G846"/>
  <c r="G845" s="1"/>
  <c r="G849"/>
  <c r="G848" s="1"/>
  <c r="G853"/>
  <c r="G852" s="1"/>
  <c r="G851" s="1"/>
  <c r="G857"/>
  <c r="G856" s="1"/>
  <c r="G855" s="1"/>
  <c r="J907" i="27" s="1"/>
  <c r="K907" s="1"/>
  <c r="G862" i="28"/>
  <c r="G861" s="1"/>
  <c r="G860" s="1"/>
  <c r="G868"/>
  <c r="G866" s="1"/>
  <c r="G871"/>
  <c r="G870" s="1"/>
  <c r="G864" s="1"/>
  <c r="G873"/>
  <c r="G876"/>
  <c r="G877"/>
  <c r="G880"/>
  <c r="G882"/>
  <c r="G884"/>
  <c r="G886"/>
  <c r="G889"/>
  <c r="G891"/>
  <c r="G893"/>
  <c r="G895"/>
  <c r="G897"/>
  <c r="G899"/>
  <c r="G901"/>
  <c r="J1020" i="27" s="1"/>
  <c r="K1020" s="1"/>
  <c r="G903" i="28"/>
  <c r="G906"/>
  <c r="G908"/>
  <c r="G911"/>
  <c r="G913"/>
  <c r="G919"/>
  <c r="J1038" i="27" s="1"/>
  <c r="K1038" s="1"/>
  <c r="G921" i="28"/>
  <c r="G923"/>
  <c r="G926"/>
  <c r="G929"/>
  <c r="G931"/>
  <c r="G933"/>
  <c r="G943"/>
  <c r="G945"/>
  <c r="G948"/>
  <c r="G950"/>
  <c r="G952"/>
  <c r="G954"/>
  <c r="G956"/>
  <c r="G959"/>
  <c r="G964"/>
  <c r="G969"/>
  <c r="G974"/>
  <c r="G977"/>
  <c r="G976" s="1"/>
  <c r="G984"/>
  <c r="G986"/>
  <c r="J1122" i="27" s="1"/>
  <c r="G992" i="28"/>
  <c r="G991" s="1"/>
  <c r="G996"/>
  <c r="G998"/>
  <c r="G1000"/>
  <c r="G1004"/>
  <c r="G1010"/>
  <c r="G1012"/>
  <c r="G1016"/>
  <c r="G1018"/>
  <c r="G1020"/>
  <c r="G1022"/>
  <c r="G1025"/>
  <c r="G1024" s="1"/>
  <c r="G1033"/>
  <c r="G1032" s="1"/>
  <c r="G1041"/>
  <c r="G1040" s="1"/>
  <c r="G1039" s="1"/>
  <c r="G1045"/>
  <c r="G1044" s="1"/>
  <c r="I1043"/>
  <c r="G1048"/>
  <c r="G1047" s="1"/>
  <c r="I1046"/>
  <c r="G1053"/>
  <c r="G1052" s="1"/>
  <c r="G1060"/>
  <c r="G1063"/>
  <c r="G1066"/>
  <c r="G1067"/>
  <c r="I1065"/>
  <c r="G1069"/>
  <c r="I1067"/>
  <c r="G1072"/>
  <c r="G1071" s="1"/>
  <c r="I1070"/>
  <c r="G1078"/>
  <c r="G1077" s="1"/>
  <c r="I1076"/>
  <c r="G1081"/>
  <c r="G1080" s="1"/>
  <c r="I1080"/>
  <c r="G1084"/>
  <c r="G1088"/>
  <c r="G1087" s="1"/>
  <c r="I1086"/>
  <c r="G1091"/>
  <c r="G1090" s="1"/>
  <c r="I1089"/>
  <c r="G1095"/>
  <c r="G1094" s="1"/>
  <c r="G1093" s="1"/>
  <c r="G1100"/>
  <c r="G1102"/>
  <c r="G1106"/>
  <c r="G1105" s="1"/>
  <c r="G1104" s="1"/>
  <c r="G1110"/>
  <c r="G1112"/>
  <c r="G1114"/>
  <c r="G1122"/>
  <c r="G1121" s="1"/>
  <c r="G1120" s="1"/>
  <c r="G1127"/>
  <c r="G1126" s="1"/>
  <c r="G1125" s="1"/>
  <c r="G1124" s="1"/>
  <c r="I1125"/>
  <c r="G1133"/>
  <c r="G1132" s="1"/>
  <c r="G1131" s="1"/>
  <c r="G1138"/>
  <c r="G1137" s="1"/>
  <c r="G1143"/>
  <c r="G1146"/>
  <c r="G1148"/>
  <c r="G1151"/>
  <c r="G1150" s="1"/>
  <c r="G1156"/>
  <c r="G1155" s="1"/>
  <c r="G1161"/>
  <c r="G1162"/>
  <c r="G1164"/>
  <c r="G1166"/>
  <c r="G1170"/>
  <c r="G1169" s="1"/>
  <c r="G1168" s="1"/>
  <c r="G1173"/>
  <c r="G1172" s="1"/>
  <c r="G1178"/>
  <c r="G1180"/>
  <c r="G1185"/>
  <c r="G1189"/>
  <c r="G1191"/>
  <c r="G1196"/>
  <c r="G1195" s="1"/>
  <c r="G1198"/>
  <c r="G1197" s="1"/>
  <c r="G1201"/>
  <c r="G1204"/>
  <c r="G1208"/>
  <c r="G1207" s="1"/>
  <c r="G1206" s="1"/>
  <c r="G1212"/>
  <c r="G1211" s="1"/>
  <c r="G1215"/>
  <c r="G1214" s="1"/>
  <c r="G1217"/>
  <c r="G1219"/>
  <c r="G1220"/>
  <c r="G1226"/>
  <c r="G1228"/>
  <c r="G1230"/>
  <c r="G1233"/>
  <c r="G1232" s="1"/>
  <c r="G1236"/>
  <c r="G1238"/>
  <c r="G1240"/>
  <c r="G1243"/>
  <c r="G1242" s="1"/>
  <c r="G1248"/>
  <c r="G1247" s="1"/>
  <c r="G1246" s="1"/>
  <c r="G1257"/>
  <c r="G1259"/>
  <c r="G1261"/>
  <c r="G1262"/>
  <c r="G1264"/>
  <c r="G1266"/>
  <c r="G1268"/>
  <c r="G1273"/>
  <c r="G1275"/>
  <c r="G1278"/>
  <c r="G1280"/>
  <c r="G1283"/>
  <c r="G1289"/>
  <c r="G1291"/>
  <c r="G1295"/>
  <c r="G1302"/>
  <c r="G1305"/>
  <c r="G1308"/>
  <c r="G1314"/>
  <c r="G1316"/>
  <c r="G1320"/>
  <c r="G1322"/>
  <c r="G1325"/>
  <c r="G1324" s="1"/>
  <c r="G1327"/>
  <c r="G1329"/>
  <c r="G1331"/>
  <c r="G1333"/>
  <c r="G1335"/>
  <c r="G1340"/>
  <c r="G1345"/>
  <c r="G1347"/>
  <c r="J591" i="27" s="1"/>
  <c r="K591" s="1"/>
  <c r="G1349" i="28"/>
  <c r="G1351"/>
  <c r="G1354"/>
  <c r="G1356"/>
  <c r="G1360"/>
  <c r="G1362"/>
  <c r="G1367"/>
  <c r="G1371"/>
  <c r="G1377"/>
  <c r="G1379"/>
  <c r="G1381"/>
  <c r="G1385"/>
  <c r="G1384" s="1"/>
  <c r="G1383" s="1"/>
  <c r="G1389"/>
  <c r="G1388" s="1"/>
  <c r="G1387" s="1"/>
  <c r="G1391"/>
  <c r="G1395"/>
  <c r="G1398"/>
  <c r="G1406"/>
  <c r="G1409"/>
  <c r="G1414"/>
  <c r="G1413" s="1"/>
  <c r="G1420"/>
  <c r="G1422"/>
  <c r="G1424"/>
  <c r="G1426"/>
  <c r="G1430"/>
  <c r="G1433"/>
  <c r="G1436"/>
  <c r="G1445"/>
  <c r="G1447"/>
  <c r="G1451"/>
  <c r="G1450" s="1"/>
  <c r="G1457"/>
  <c r="G1459"/>
  <c r="G1462"/>
  <c r="G1464"/>
  <c r="G1466"/>
  <c r="G1468"/>
  <c r="G1470"/>
  <c r="G1472"/>
  <c r="G1477"/>
  <c r="G1475" s="1"/>
  <c r="G1481"/>
  <c r="G1483"/>
  <c r="G1486"/>
  <c r="G1489"/>
  <c r="G1495"/>
  <c r="G1494" s="1"/>
  <c r="G1493" s="1"/>
  <c r="G1499"/>
  <c r="G1498" s="1"/>
  <c r="G1497" s="1"/>
  <c r="G1506"/>
  <c r="G1509"/>
  <c r="G1513"/>
  <c r="G1515"/>
  <c r="G1518"/>
  <c r="G1522"/>
  <c r="G1521" s="1"/>
  <c r="G1524"/>
  <c r="G1527"/>
  <c r="G1526" s="1"/>
  <c r="G1537"/>
  <c r="G1542"/>
  <c r="G1545"/>
  <c r="G1547"/>
  <c r="G1549"/>
  <c r="J779" i="27" s="1"/>
  <c r="K779" s="1"/>
  <c r="G1554" i="28"/>
  <c r="G1551" s="1"/>
  <c r="G1558"/>
  <c r="G1560"/>
  <c r="G1563"/>
  <c r="G1565"/>
  <c r="G1567"/>
  <c r="G1570"/>
  <c r="G1569" s="1"/>
  <c r="G1573"/>
  <c r="G1575"/>
  <c r="G1582"/>
  <c r="G1581" s="1"/>
  <c r="G1587"/>
  <c r="G1586" s="1"/>
  <c r="G1590"/>
  <c r="G1589" s="1"/>
  <c r="G1593"/>
  <c r="J823" i="27" s="1"/>
  <c r="G1595" i="28"/>
  <c r="G1598"/>
  <c r="G1612"/>
  <c r="G1611" s="1"/>
  <c r="G1617"/>
  <c r="G1616" s="1"/>
  <c r="G1624"/>
  <c r="G1626"/>
  <c r="G1628"/>
  <c r="G1631"/>
  <c r="G1637"/>
  <c r="G1639"/>
  <c r="G1641"/>
  <c r="G1643"/>
  <c r="G1646"/>
  <c r="G1651"/>
  <c r="G1653"/>
  <c r="G1655"/>
  <c r="G1657"/>
  <c r="G1660"/>
  <c r="G1659" s="1"/>
  <c r="G1661"/>
  <c r="G1664"/>
  <c r="G1663" s="1"/>
  <c r="G1668"/>
  <c r="G1667" s="1"/>
  <c r="G1666" s="1"/>
  <c r="G1672"/>
  <c r="G1681"/>
  <c r="G1684"/>
  <c r="G1683" s="1"/>
  <c r="G1686"/>
  <c r="G1689"/>
  <c r="G1696"/>
  <c r="G1695" s="1"/>
  <c r="G1700"/>
  <c r="G1702"/>
  <c r="G1709"/>
  <c r="G1711"/>
  <c r="G1713"/>
  <c r="G1715"/>
  <c r="G1722"/>
  <c r="G15" i="27"/>
  <c r="G14" s="1"/>
  <c r="G16"/>
  <c r="I17"/>
  <c r="J17"/>
  <c r="G20"/>
  <c r="I21"/>
  <c r="J21"/>
  <c r="G22"/>
  <c r="G19" s="1"/>
  <c r="G18" s="1"/>
  <c r="G25"/>
  <c r="G24" s="1"/>
  <c r="I26"/>
  <c r="G29"/>
  <c r="G28" s="1"/>
  <c r="G27" s="1"/>
  <c r="I29"/>
  <c r="I30"/>
  <c r="G33"/>
  <c r="G32" s="1"/>
  <c r="G31" s="1"/>
  <c r="I34"/>
  <c r="I35"/>
  <c r="G36"/>
  <c r="I37"/>
  <c r="G40"/>
  <c r="G39" s="1"/>
  <c r="I41"/>
  <c r="G43"/>
  <c r="I43"/>
  <c r="I44"/>
  <c r="G45"/>
  <c r="I46"/>
  <c r="G49"/>
  <c r="G48" s="1"/>
  <c r="G47" s="1"/>
  <c r="I50"/>
  <c r="I54"/>
  <c r="J54"/>
  <c r="G55"/>
  <c r="I55" s="1"/>
  <c r="I56"/>
  <c r="J56"/>
  <c r="G57"/>
  <c r="I57" s="1"/>
  <c r="I58"/>
  <c r="J58"/>
  <c r="G59"/>
  <c r="J60"/>
  <c r="G61"/>
  <c r="G53" s="1"/>
  <c r="J62"/>
  <c r="G63"/>
  <c r="J64"/>
  <c r="G65"/>
  <c r="G68"/>
  <c r="G67" s="1"/>
  <c r="J69"/>
  <c r="G73"/>
  <c r="G72" s="1"/>
  <c r="J74"/>
  <c r="J78"/>
  <c r="G79"/>
  <c r="G77" s="1"/>
  <c r="J80"/>
  <c r="G81"/>
  <c r="J82"/>
  <c r="G85"/>
  <c r="J86"/>
  <c r="G87"/>
  <c r="J88"/>
  <c r="G90"/>
  <c r="G89" s="1"/>
  <c r="G91"/>
  <c r="G94"/>
  <c r="G93" s="1"/>
  <c r="G95"/>
  <c r="J96"/>
  <c r="G99"/>
  <c r="G101"/>
  <c r="G104"/>
  <c r="G106"/>
  <c r="G103" s="1"/>
  <c r="G108"/>
  <c r="G109"/>
  <c r="G112"/>
  <c r="G111" s="1"/>
  <c r="J113"/>
  <c r="G114"/>
  <c r="J115"/>
  <c r="G116"/>
  <c r="J117"/>
  <c r="G119"/>
  <c r="G118" s="1"/>
  <c r="J120"/>
  <c r="G121"/>
  <c r="G122"/>
  <c r="G125"/>
  <c r="J126"/>
  <c r="G128"/>
  <c r="J129"/>
  <c r="G130"/>
  <c r="J131"/>
  <c r="J133"/>
  <c r="G134"/>
  <c r="J135"/>
  <c r="G136"/>
  <c r="J137"/>
  <c r="G138"/>
  <c r="J139"/>
  <c r="G148"/>
  <c r="G150"/>
  <c r="G152"/>
  <c r="G155"/>
  <c r="G154" s="1"/>
  <c r="G158"/>
  <c r="G160"/>
  <c r="G162"/>
  <c r="G165"/>
  <c r="G164" s="1"/>
  <c r="G170"/>
  <c r="G168" s="1"/>
  <c r="J171"/>
  <c r="G174"/>
  <c r="G173" s="1"/>
  <c r="G177"/>
  <c r="J178"/>
  <c r="G179"/>
  <c r="G176" s="1"/>
  <c r="J180"/>
  <c r="G182"/>
  <c r="G181" s="1"/>
  <c r="J183"/>
  <c r="G185"/>
  <c r="G184" s="1"/>
  <c r="J186"/>
  <c r="G187"/>
  <c r="G188"/>
  <c r="G191"/>
  <c r="J192"/>
  <c r="G193"/>
  <c r="J194"/>
  <c r="G197"/>
  <c r="G196" s="1"/>
  <c r="G199"/>
  <c r="G201"/>
  <c r="J206"/>
  <c r="G207"/>
  <c r="G210"/>
  <c r="G205" s="1"/>
  <c r="G213"/>
  <c r="J214"/>
  <c r="G215"/>
  <c r="G221"/>
  <c r="G220" s="1"/>
  <c r="J222"/>
  <c r="G224"/>
  <c r="G226"/>
  <c r="G228"/>
  <c r="J229"/>
  <c r="J230"/>
  <c r="G232"/>
  <c r="G231" s="1"/>
  <c r="G234"/>
  <c r="G233" s="1"/>
  <c r="G236"/>
  <c r="G239"/>
  <c r="J240"/>
  <c r="G241"/>
  <c r="J242"/>
  <c r="G251"/>
  <c r="J252"/>
  <c r="G254"/>
  <c r="J255"/>
  <c r="G257"/>
  <c r="G256" s="1"/>
  <c r="G253" s="1"/>
  <c r="J258"/>
  <c r="G263"/>
  <c r="G262" s="1"/>
  <c r="G261" s="1"/>
  <c r="J264"/>
  <c r="G266"/>
  <c r="J267"/>
  <c r="G268"/>
  <c r="J269"/>
  <c r="G271"/>
  <c r="G270" s="1"/>
  <c r="G273"/>
  <c r="J274"/>
  <c r="G279"/>
  <c r="G281"/>
  <c r="J282"/>
  <c r="G283"/>
  <c r="G286"/>
  <c r="J287"/>
  <c r="G290"/>
  <c r="G289" s="1"/>
  <c r="G292"/>
  <c r="J293"/>
  <c r="J294"/>
  <c r="G296"/>
  <c r="G299"/>
  <c r="J300"/>
  <c r="G301"/>
  <c r="G298" s="1"/>
  <c r="G304"/>
  <c r="G307"/>
  <c r="G310"/>
  <c r="G309" s="1"/>
  <c r="G312"/>
  <c r="G314"/>
  <c r="G317"/>
  <c r="G316" s="1"/>
  <c r="J318"/>
  <c r="G319"/>
  <c r="G322"/>
  <c r="J323"/>
  <c r="G332"/>
  <c r="G335"/>
  <c r="G334" s="1"/>
  <c r="G338"/>
  <c r="G340"/>
  <c r="G342"/>
  <c r="J344"/>
  <c r="G347"/>
  <c r="G346" s="1"/>
  <c r="G345" s="1"/>
  <c r="G355"/>
  <c r="G354" s="1"/>
  <c r="G350" s="1"/>
  <c r="G349" s="1"/>
  <c r="G359"/>
  <c r="G358" s="1"/>
  <c r="G357" s="1"/>
  <c r="J360"/>
  <c r="G362"/>
  <c r="J363"/>
  <c r="G364"/>
  <c r="G361" s="1"/>
  <c r="G372"/>
  <c r="J373"/>
  <c r="J374"/>
  <c r="G375"/>
  <c r="J376"/>
  <c r="J377"/>
  <c r="J387"/>
  <c r="G388"/>
  <c r="G385" s="1"/>
  <c r="G390"/>
  <c r="J391"/>
  <c r="J392"/>
  <c r="G393"/>
  <c r="G395"/>
  <c r="J396"/>
  <c r="G398"/>
  <c r="J399"/>
  <c r="G402"/>
  <c r="G406"/>
  <c r="G409"/>
  <c r="G408" s="1"/>
  <c r="J410"/>
  <c r="G413"/>
  <c r="J414"/>
  <c r="G417"/>
  <c r="G416" s="1"/>
  <c r="J427"/>
  <c r="G438"/>
  <c r="J439"/>
  <c r="J440"/>
  <c r="G441"/>
  <c r="J442"/>
  <c r="J443"/>
  <c r="G444"/>
  <c r="J445"/>
  <c r="G448"/>
  <c r="J449"/>
  <c r="G451"/>
  <c r="J452"/>
  <c r="G453"/>
  <c r="J454"/>
  <c r="G456"/>
  <c r="G458"/>
  <c r="G457" s="1"/>
  <c r="J459"/>
  <c r="G462"/>
  <c r="G461" s="1"/>
  <c r="J469"/>
  <c r="G470"/>
  <c r="G468" s="1"/>
  <c r="J471"/>
  <c r="G472"/>
  <c r="G477"/>
  <c r="G481"/>
  <c r="G480" s="1"/>
  <c r="G484"/>
  <c r="G486"/>
  <c r="G490"/>
  <c r="G489" s="1"/>
  <c r="G488" s="1"/>
  <c r="G494"/>
  <c r="G493" s="1"/>
  <c r="G492" s="1"/>
  <c r="G503"/>
  <c r="J504"/>
  <c r="G505"/>
  <c r="K505" s="1"/>
  <c r="J506"/>
  <c r="K506" s="1"/>
  <c r="G507"/>
  <c r="G508"/>
  <c r="J509"/>
  <c r="K509" s="1"/>
  <c r="G510"/>
  <c r="J511"/>
  <c r="K511" s="1"/>
  <c r="J513"/>
  <c r="K513" s="1"/>
  <c r="G514"/>
  <c r="J515"/>
  <c r="K515" s="1"/>
  <c r="J517"/>
  <c r="K517" s="1"/>
  <c r="G518"/>
  <c r="K518" s="1"/>
  <c r="J519"/>
  <c r="K519" s="1"/>
  <c r="G520"/>
  <c r="J521"/>
  <c r="K521" s="1"/>
  <c r="J522"/>
  <c r="K522" s="1"/>
  <c r="G523"/>
  <c r="J524"/>
  <c r="K524" s="1"/>
  <c r="G525"/>
  <c r="K525" s="1"/>
  <c r="G527"/>
  <c r="K527" s="1"/>
  <c r="G529"/>
  <c r="K529" s="1"/>
  <c r="G531"/>
  <c r="K531" s="1"/>
  <c r="G534"/>
  <c r="J535"/>
  <c r="K535" s="1"/>
  <c r="J536"/>
  <c r="K536" s="1"/>
  <c r="J537"/>
  <c r="K537" s="1"/>
  <c r="G542"/>
  <c r="K542" s="1"/>
  <c r="J543"/>
  <c r="K543" s="1"/>
  <c r="J544"/>
  <c r="K544" s="1"/>
  <c r="G545"/>
  <c r="J546"/>
  <c r="K546" s="1"/>
  <c r="J547"/>
  <c r="K547" s="1"/>
  <c r="J548"/>
  <c r="K548" s="1"/>
  <c r="G549"/>
  <c r="K549" s="1"/>
  <c r="J551"/>
  <c r="K551" s="1"/>
  <c r="J552"/>
  <c r="K552" s="1"/>
  <c r="J553"/>
  <c r="K553" s="1"/>
  <c r="G556"/>
  <c r="K556" s="1"/>
  <c r="G558"/>
  <c r="G562"/>
  <c r="K562" s="1"/>
  <c r="J563"/>
  <c r="K563" s="1"/>
  <c r="G564"/>
  <c r="J565"/>
  <c r="K565" s="1"/>
  <c r="G566"/>
  <c r="G567"/>
  <c r="J568"/>
  <c r="G569"/>
  <c r="J570"/>
  <c r="K570" s="1"/>
  <c r="G571"/>
  <c r="K571" s="1"/>
  <c r="J572"/>
  <c r="K572" s="1"/>
  <c r="G573"/>
  <c r="J574"/>
  <c r="K574" s="1"/>
  <c r="G575"/>
  <c r="J576"/>
  <c r="K576" s="1"/>
  <c r="G577"/>
  <c r="J578"/>
  <c r="K578" s="1"/>
  <c r="G579"/>
  <c r="J580"/>
  <c r="K580" s="1"/>
  <c r="J581"/>
  <c r="K581" s="1"/>
  <c r="J583"/>
  <c r="K583" s="1"/>
  <c r="G586"/>
  <c r="K586" s="1"/>
  <c r="J587"/>
  <c r="K587" s="1"/>
  <c r="G588"/>
  <c r="K588" s="1"/>
  <c r="G590"/>
  <c r="G592"/>
  <c r="K592" s="1"/>
  <c r="G594"/>
  <c r="K594" s="1"/>
  <c r="J595"/>
  <c r="K595" s="1"/>
  <c r="G596"/>
  <c r="J597"/>
  <c r="K597" s="1"/>
  <c r="G599"/>
  <c r="K599" s="1"/>
  <c r="G601"/>
  <c r="J602"/>
  <c r="K602" s="1"/>
  <c r="G605"/>
  <c r="K605" s="1"/>
  <c r="J606"/>
  <c r="K606" s="1"/>
  <c r="G607"/>
  <c r="J608"/>
  <c r="K608" s="1"/>
  <c r="G610"/>
  <c r="J611"/>
  <c r="K611" s="1"/>
  <c r="G612"/>
  <c r="G609" s="1"/>
  <c r="K613"/>
  <c r="G614"/>
  <c r="J615"/>
  <c r="K615" s="1"/>
  <c r="G616"/>
  <c r="J617"/>
  <c r="K617" s="1"/>
  <c r="J619"/>
  <c r="K619" s="1"/>
  <c r="G622"/>
  <c r="K622" s="1"/>
  <c r="J623"/>
  <c r="K623" s="1"/>
  <c r="G624"/>
  <c r="J629"/>
  <c r="K629" s="1"/>
  <c r="G630"/>
  <c r="J631"/>
  <c r="K631" s="1"/>
  <c r="G632"/>
  <c r="J633"/>
  <c r="K633" s="1"/>
  <c r="J636"/>
  <c r="K636" s="1"/>
  <c r="G637"/>
  <c r="K637" s="1"/>
  <c r="G639"/>
  <c r="J640"/>
  <c r="K640" s="1"/>
  <c r="G641"/>
  <c r="J642"/>
  <c r="K642" s="1"/>
  <c r="G645"/>
  <c r="G644" s="1"/>
  <c r="J646"/>
  <c r="K646" s="1"/>
  <c r="G648"/>
  <c r="G650"/>
  <c r="J651"/>
  <c r="K651" s="1"/>
  <c r="J652"/>
  <c r="K652" s="1"/>
  <c r="G654"/>
  <c r="J655"/>
  <c r="K655" s="1"/>
  <c r="J656"/>
  <c r="K656" s="1"/>
  <c r="G657"/>
  <c r="K657" s="1"/>
  <c r="J658"/>
  <c r="K658" s="1"/>
  <c r="J659"/>
  <c r="K659" s="1"/>
  <c r="G665"/>
  <c r="J666"/>
  <c r="J667"/>
  <c r="G668"/>
  <c r="G664" s="1"/>
  <c r="J669"/>
  <c r="K669" s="1"/>
  <c r="J670"/>
  <c r="K670" s="1"/>
  <c r="G673"/>
  <c r="G672" s="1"/>
  <c r="G677"/>
  <c r="G680"/>
  <c r="G682"/>
  <c r="J683"/>
  <c r="G684"/>
  <c r="J685"/>
  <c r="K685" s="1"/>
  <c r="G688"/>
  <c r="J689"/>
  <c r="K689" s="1"/>
  <c r="J690"/>
  <c r="J691"/>
  <c r="K691" s="1"/>
  <c r="G692"/>
  <c r="J693"/>
  <c r="J694"/>
  <c r="G695"/>
  <c r="J696"/>
  <c r="G698"/>
  <c r="G697" s="1"/>
  <c r="G702"/>
  <c r="J703"/>
  <c r="G704"/>
  <c r="J705"/>
  <c r="G706"/>
  <c r="G711"/>
  <c r="G710" s="1"/>
  <c r="G715"/>
  <c r="G714" s="1"/>
  <c r="G713" s="1"/>
  <c r="J716"/>
  <c r="J719"/>
  <c r="G720"/>
  <c r="J721"/>
  <c r="G722"/>
  <c r="G725"/>
  <c r="G727"/>
  <c r="G729"/>
  <c r="G731"/>
  <c r="G733"/>
  <c r="J734"/>
  <c r="G736"/>
  <c r="G740"/>
  <c r="J742"/>
  <c r="G744"/>
  <c r="J745"/>
  <c r="G746"/>
  <c r="J747"/>
  <c r="G748"/>
  <c r="J749"/>
  <c r="J750"/>
  <c r="G751"/>
  <c r="J752"/>
  <c r="J753"/>
  <c r="G755"/>
  <c r="J756"/>
  <c r="G757"/>
  <c r="J758"/>
  <c r="G759"/>
  <c r="J760"/>
  <c r="J761"/>
  <c r="G762"/>
  <c r="J763"/>
  <c r="G767"/>
  <c r="J768"/>
  <c r="K768" s="1"/>
  <c r="G772"/>
  <c r="J773"/>
  <c r="K773" s="1"/>
  <c r="G775"/>
  <c r="J776"/>
  <c r="K776" s="1"/>
  <c r="G777"/>
  <c r="J778"/>
  <c r="K778" s="1"/>
  <c r="G779"/>
  <c r="G781"/>
  <c r="J782"/>
  <c r="K782" s="1"/>
  <c r="G785"/>
  <c r="J786"/>
  <c r="K786" s="1"/>
  <c r="G788"/>
  <c r="J789"/>
  <c r="K789" s="1"/>
  <c r="G790"/>
  <c r="J791"/>
  <c r="G792"/>
  <c r="J793"/>
  <c r="K793" s="1"/>
  <c r="G794"/>
  <c r="J795"/>
  <c r="J799"/>
  <c r="K799" s="1"/>
  <c r="G801"/>
  <c r="G803"/>
  <c r="J804"/>
  <c r="K804" s="1"/>
  <c r="G810"/>
  <c r="G809" s="1"/>
  <c r="J811"/>
  <c r="J812"/>
  <c r="G815"/>
  <c r="G814" s="1"/>
  <c r="G818"/>
  <c r="G817" s="1"/>
  <c r="J819"/>
  <c r="K819" s="1"/>
  <c r="G820"/>
  <c r="G823"/>
  <c r="G825"/>
  <c r="J826"/>
  <c r="K826" s="1"/>
  <c r="J827"/>
  <c r="K827" s="1"/>
  <c r="G828"/>
  <c r="G822" s="1"/>
  <c r="J829"/>
  <c r="K829" s="1"/>
  <c r="J830"/>
  <c r="K830" s="1"/>
  <c r="G834"/>
  <c r="G833" s="1"/>
  <c r="G837"/>
  <c r="G836" s="1"/>
  <c r="G842"/>
  <c r="G841" s="1"/>
  <c r="G845"/>
  <c r="G844" s="1"/>
  <c r="J851"/>
  <c r="K851" s="1"/>
  <c r="G852"/>
  <c r="J853"/>
  <c r="K853" s="1"/>
  <c r="G854"/>
  <c r="J855"/>
  <c r="K855" s="1"/>
  <c r="G856"/>
  <c r="J857"/>
  <c r="K857" s="1"/>
  <c r="G858"/>
  <c r="J859"/>
  <c r="K859" s="1"/>
  <c r="G865"/>
  <c r="J866"/>
  <c r="K866" s="1"/>
  <c r="G867"/>
  <c r="G869"/>
  <c r="J870"/>
  <c r="K870" s="1"/>
  <c r="G871"/>
  <c r="J872"/>
  <c r="K872" s="1"/>
  <c r="G876"/>
  <c r="J877"/>
  <c r="K877" s="1"/>
  <c r="G878"/>
  <c r="J879"/>
  <c r="K879" s="1"/>
  <c r="G880"/>
  <c r="G875" s="1"/>
  <c r="J881"/>
  <c r="K881" s="1"/>
  <c r="G882"/>
  <c r="J883"/>
  <c r="K883" s="1"/>
  <c r="G884"/>
  <c r="J885"/>
  <c r="K885" s="1"/>
  <c r="G887"/>
  <c r="K887" s="1"/>
  <c r="G888"/>
  <c r="J889"/>
  <c r="K889" s="1"/>
  <c r="G890"/>
  <c r="K890" s="1"/>
  <c r="J891"/>
  <c r="K891" s="1"/>
  <c r="G893"/>
  <c r="J894"/>
  <c r="K894" s="1"/>
  <c r="G897"/>
  <c r="J909"/>
  <c r="K909" s="1"/>
  <c r="J910"/>
  <c r="K910" s="1"/>
  <c r="G912"/>
  <c r="K912" s="1"/>
  <c r="G915"/>
  <c r="G919"/>
  <c r="J922"/>
  <c r="K922" s="1"/>
  <c r="G927"/>
  <c r="K927" s="1"/>
  <c r="G929"/>
  <c r="K929" s="1"/>
  <c r="G930"/>
  <c r="K930" s="1"/>
  <c r="G933"/>
  <c r="G932" s="1"/>
  <c r="J934"/>
  <c r="K934" s="1"/>
  <c r="G937"/>
  <c r="K937" s="1"/>
  <c r="G939"/>
  <c r="K939" s="1"/>
  <c r="G941"/>
  <c r="G943"/>
  <c r="G948"/>
  <c r="G950"/>
  <c r="J951"/>
  <c r="G952"/>
  <c r="J953"/>
  <c r="K953" s="1"/>
  <c r="G954"/>
  <c r="J955"/>
  <c r="K955" s="1"/>
  <c r="G956"/>
  <c r="J957"/>
  <c r="K957" s="1"/>
  <c r="G961"/>
  <c r="G962"/>
  <c r="G964"/>
  <c r="G969"/>
  <c r="G968" s="1"/>
  <c r="G967" s="1"/>
  <c r="J970"/>
  <c r="G973"/>
  <c r="G975"/>
  <c r="G978"/>
  <c r="G977" s="1"/>
  <c r="J979"/>
  <c r="J981"/>
  <c r="K981" s="1"/>
  <c r="G983"/>
  <c r="G984"/>
  <c r="J985"/>
  <c r="G988"/>
  <c r="J989"/>
  <c r="G990"/>
  <c r="J991"/>
  <c r="K991" s="1"/>
  <c r="J992"/>
  <c r="K992" s="1"/>
  <c r="G994"/>
  <c r="G996"/>
  <c r="G998"/>
  <c r="G1000"/>
  <c r="G1003"/>
  <c r="J1004"/>
  <c r="J1005"/>
  <c r="G1006"/>
  <c r="J1007"/>
  <c r="G1008"/>
  <c r="J1009"/>
  <c r="J1010"/>
  <c r="G1011"/>
  <c r="J1012"/>
  <c r="G1013"/>
  <c r="J1014"/>
  <c r="K1014" s="1"/>
  <c r="G1015"/>
  <c r="K1015" s="1"/>
  <c r="J1016"/>
  <c r="K1016" s="1"/>
  <c r="G1017"/>
  <c r="K1017" s="1"/>
  <c r="J1018"/>
  <c r="K1018" s="1"/>
  <c r="G1019"/>
  <c r="K1019" s="1"/>
  <c r="G1021"/>
  <c r="K1021" s="1"/>
  <c r="J1022"/>
  <c r="K1022" s="1"/>
  <c r="J1023"/>
  <c r="K1023" s="1"/>
  <c r="G1024"/>
  <c r="K1024" s="1"/>
  <c r="J1025"/>
  <c r="K1025" s="1"/>
  <c r="G1026"/>
  <c r="K1026" s="1"/>
  <c r="J1027"/>
  <c r="K1027" s="1"/>
  <c r="J1028"/>
  <c r="K1028" s="1"/>
  <c r="G1029"/>
  <c r="K1029" s="1"/>
  <c r="G1031"/>
  <c r="K1031" s="1"/>
  <c r="J1034"/>
  <c r="K1034" s="1"/>
  <c r="J1035"/>
  <c r="K1035" s="1"/>
  <c r="G1037"/>
  <c r="K1037" s="1"/>
  <c r="G1040"/>
  <c r="K1040" s="1"/>
  <c r="G1042"/>
  <c r="J1043"/>
  <c r="K1043" s="1"/>
  <c r="G1044"/>
  <c r="J1045"/>
  <c r="K1045" s="1"/>
  <c r="J1046"/>
  <c r="K1046" s="1"/>
  <c r="G1047"/>
  <c r="J1048"/>
  <c r="K1048" s="1"/>
  <c r="G1050"/>
  <c r="J1051"/>
  <c r="K1051" s="1"/>
  <c r="G1052"/>
  <c r="J1053"/>
  <c r="K1053" s="1"/>
  <c r="G1054"/>
  <c r="K1054" s="1"/>
  <c r="J1055"/>
  <c r="K1055" s="1"/>
  <c r="G1056"/>
  <c r="K1056" s="1"/>
  <c r="J1057"/>
  <c r="K1057" s="1"/>
  <c r="G1058"/>
  <c r="K1058" s="1"/>
  <c r="G1060"/>
  <c r="K1060" s="1"/>
  <c r="G1062"/>
  <c r="K1062" s="1"/>
  <c r="G1064"/>
  <c r="J1065"/>
  <c r="K1065" s="1"/>
  <c r="J1066"/>
  <c r="K1066" s="1"/>
  <c r="G1067"/>
  <c r="J1068"/>
  <c r="K1068" s="1"/>
  <c r="G1069"/>
  <c r="K1069" s="1"/>
  <c r="J1070"/>
  <c r="K1070" s="1"/>
  <c r="G1071"/>
  <c r="K1071" s="1"/>
  <c r="J1072"/>
  <c r="K1072" s="1"/>
  <c r="G1073"/>
  <c r="K1073" s="1"/>
  <c r="G1075"/>
  <c r="J1076"/>
  <c r="K1076" s="1"/>
  <c r="J1077"/>
  <c r="K1077" s="1"/>
  <c r="G1078"/>
  <c r="J1079"/>
  <c r="K1079" s="1"/>
  <c r="J1081"/>
  <c r="K1081" s="1"/>
  <c r="G1083"/>
  <c r="J1084"/>
  <c r="K1084" s="1"/>
  <c r="J1086"/>
  <c r="K1086" s="1"/>
  <c r="G1088"/>
  <c r="J1089"/>
  <c r="K1089" s="1"/>
  <c r="J1091"/>
  <c r="K1091" s="1"/>
  <c r="G1093"/>
  <c r="J1094"/>
  <c r="K1094" s="1"/>
  <c r="G1095"/>
  <c r="J1096"/>
  <c r="K1096" s="1"/>
  <c r="G1098"/>
  <c r="G1097" s="1"/>
  <c r="J1099"/>
  <c r="K1099" s="1"/>
  <c r="G1106"/>
  <c r="J1107"/>
  <c r="K1107" s="1"/>
  <c r="J1108"/>
  <c r="K1108" s="1"/>
  <c r="G1109"/>
  <c r="G1117"/>
  <c r="G1120"/>
  <c r="K1120" s="1"/>
  <c r="J1121"/>
  <c r="K1121" s="1"/>
  <c r="G1122"/>
  <c r="J1126"/>
  <c r="K1126" s="1"/>
  <c r="J1127"/>
  <c r="K1127" s="1"/>
  <c r="G1134"/>
  <c r="G1131" s="1"/>
  <c r="J1135"/>
  <c r="K1135" s="1"/>
  <c r="G1139"/>
  <c r="J1140"/>
  <c r="K1140" s="1"/>
  <c r="G1143"/>
  <c r="J1144"/>
  <c r="K1144" s="1"/>
  <c r="G1145"/>
  <c r="J1146"/>
  <c r="K1146" s="1"/>
  <c r="G1147"/>
  <c r="J1148"/>
  <c r="K1148" s="1"/>
  <c r="G1149"/>
  <c r="K1149" s="1"/>
  <c r="J1150"/>
  <c r="K1150" s="1"/>
  <c r="J1154"/>
  <c r="K1154" s="1"/>
  <c r="G1155"/>
  <c r="K1155" s="1"/>
  <c r="G1157"/>
  <c r="J1158"/>
  <c r="K1158" s="1"/>
  <c r="G1161"/>
  <c r="J1162"/>
  <c r="K1162" s="1"/>
  <c r="G1163"/>
  <c r="J1164"/>
  <c r="K1164" s="1"/>
  <c r="G1165"/>
  <c r="J1166"/>
  <c r="K1166" s="1"/>
  <c r="G1167"/>
  <c r="J1168"/>
  <c r="K1168" s="1"/>
  <c r="G1170"/>
  <c r="G1169" s="1"/>
  <c r="J1171"/>
  <c r="K1171" s="1"/>
  <c r="G1177"/>
  <c r="J1178"/>
  <c r="K1178" s="1"/>
  <c r="G1180"/>
  <c r="G1179" s="1"/>
  <c r="J1181"/>
  <c r="K1181" s="1"/>
  <c r="J1182"/>
  <c r="K1182" s="1"/>
  <c r="J1183"/>
  <c r="K1183" s="1"/>
  <c r="G1187"/>
  <c r="G1186" s="1"/>
  <c r="J1188"/>
  <c r="K1188" s="1"/>
  <c r="G1190"/>
  <c r="J1191"/>
  <c r="K1191" s="1"/>
  <c r="J1192"/>
  <c r="K1192" s="1"/>
  <c r="G1193"/>
  <c r="J1194"/>
  <c r="K1194" s="1"/>
  <c r="G1196"/>
  <c r="G1195" s="1"/>
  <c r="G1202"/>
  <c r="G1201" s="1"/>
  <c r="J1203"/>
  <c r="G1204"/>
  <c r="G1207"/>
  <c r="J1208"/>
  <c r="G1209"/>
  <c r="G1206" s="1"/>
  <c r="J1210"/>
  <c r="K1210" s="1"/>
  <c r="G1215"/>
  <c r="G1214" s="1"/>
  <c r="G1213" s="1"/>
  <c r="G1216"/>
  <c r="G1219"/>
  <c r="I1219"/>
  <c r="G1226"/>
  <c r="I1226"/>
  <c r="G1227"/>
  <c r="I1227"/>
  <c r="G1301" i="28" l="1"/>
  <c r="G229"/>
  <c r="G681"/>
  <c r="G673"/>
  <c r="G672" s="1"/>
  <c r="G205"/>
  <c r="I22" i="27"/>
  <c r="G628"/>
  <c r="G627" s="1"/>
  <c r="G832"/>
  <c r="G918"/>
  <c r="K919"/>
  <c r="G896"/>
  <c r="K897"/>
  <c r="G892"/>
  <c r="K892" s="1"/>
  <c r="K893"/>
  <c r="K888"/>
  <c r="K650"/>
  <c r="G643"/>
  <c r="G555"/>
  <c r="K555" s="1"/>
  <c r="K558"/>
  <c r="G516"/>
  <c r="K520"/>
  <c r="G371"/>
  <c r="G311"/>
  <c r="K1122"/>
  <c r="G914"/>
  <c r="K914" s="1"/>
  <c r="K915"/>
  <c r="K884"/>
  <c r="K871"/>
  <c r="K858"/>
  <c r="G618"/>
  <c r="K618" s="1"/>
  <c r="K624"/>
  <c r="G849"/>
  <c r="G1621" i="28"/>
  <c r="G1620" s="1"/>
  <c r="G1130" i="27"/>
  <c r="I16"/>
  <c r="I15"/>
  <c r="J1217"/>
  <c r="K1213" s="1"/>
  <c r="G396" i="28"/>
  <c r="I117"/>
  <c r="G99"/>
  <c r="G647" i="27"/>
  <c r="K647" s="1"/>
  <c r="K648"/>
  <c r="G886"/>
  <c r="K886" s="1"/>
  <c r="G464"/>
  <c r="G460" s="1"/>
  <c r="G455" s="1"/>
  <c r="G902"/>
  <c r="G901" s="1"/>
  <c r="G900" s="1"/>
  <c r="G485" i="28"/>
  <c r="G190" i="27"/>
  <c r="G972"/>
  <c r="I45"/>
  <c r="I1124" i="28"/>
  <c r="G983"/>
  <c r="G1508"/>
  <c r="G1505" s="1"/>
  <c r="G1160"/>
  <c r="G1159" s="1"/>
  <c r="G1109"/>
  <c r="G1108" s="1"/>
  <c r="I227"/>
  <c r="I176"/>
  <c r="I174"/>
  <c r="I167"/>
  <c r="I145"/>
  <c r="I134"/>
  <c r="I114"/>
  <c r="I109"/>
  <c r="I97"/>
  <c r="I21"/>
  <c r="G1375"/>
  <c r="G1374" s="1"/>
  <c r="I1077"/>
  <c r="G1099"/>
  <c r="G1098" s="1"/>
  <c r="I1078"/>
  <c r="I1066"/>
  <c r="G995"/>
  <c r="G994" s="1"/>
  <c r="G990" s="1"/>
  <c r="G409"/>
  <c r="G111"/>
  <c r="G1675"/>
  <c r="G1674" s="1"/>
  <c r="G1671" s="1"/>
  <c r="G1105" i="27"/>
  <c r="G1104" s="1"/>
  <c r="K1109"/>
  <c r="G195"/>
  <c r="G157"/>
  <c r="I27"/>
  <c r="G1116"/>
  <c r="K1117"/>
  <c r="G1039"/>
  <c r="K1039" s="1"/>
  <c r="G920"/>
  <c r="G787"/>
  <c r="G784" s="1"/>
  <c r="G774"/>
  <c r="G743"/>
  <c r="G412"/>
  <c r="G84"/>
  <c r="G83" s="1"/>
  <c r="G864"/>
  <c r="K971"/>
  <c r="K979"/>
  <c r="K967"/>
  <c r="K970"/>
  <c r="K982"/>
  <c r="K671"/>
  <c r="K1185"/>
  <c r="G874"/>
  <c r="G863"/>
  <c r="G862" s="1"/>
  <c r="G653"/>
  <c r="G541"/>
  <c r="G285"/>
  <c r="K13"/>
  <c r="G1636" i="28"/>
  <c r="G1256"/>
  <c r="I335"/>
  <c r="I293"/>
  <c r="G475"/>
  <c r="G798" i="27"/>
  <c r="G797" s="1"/>
  <c r="G1417" i="28"/>
  <c r="G757"/>
  <c r="G744" s="1"/>
  <c r="I755"/>
  <c r="G718" i="27"/>
  <c r="G717" s="1"/>
  <c r="G1200"/>
  <c r="G1189"/>
  <c r="G1153"/>
  <c r="G1152" s="1"/>
  <c r="G1151" s="1"/>
  <c r="G1142"/>
  <c r="G1141" s="1"/>
  <c r="G1138" s="1"/>
  <c r="G1049"/>
  <c r="G771"/>
  <c r="G766" s="1"/>
  <c r="G676"/>
  <c r="G582"/>
  <c r="G502"/>
  <c r="G501" s="1"/>
  <c r="G497" s="1"/>
  <c r="G447"/>
  <c r="G238"/>
  <c r="G223" s="1"/>
  <c r="G212"/>
  <c r="G169"/>
  <c r="G147"/>
  <c r="G146" s="1"/>
  <c r="G145" s="1"/>
  <c r="G132"/>
  <c r="G127" s="1"/>
  <c r="G124" s="1"/>
  <c r="G98"/>
  <c r="G76"/>
  <c r="G75" s="1"/>
  <c r="I49"/>
  <c r="I39"/>
  <c r="I36"/>
  <c r="I33"/>
  <c r="I25"/>
  <c r="I23"/>
  <c r="G987"/>
  <c r="G986" s="1"/>
  <c r="G936"/>
  <c r="K936" s="1"/>
  <c r="G848"/>
  <c r="G847" s="1"/>
  <c r="G840" s="1"/>
  <c r="G813"/>
  <c r="G701"/>
  <c r="G687"/>
  <c r="G686" s="1"/>
  <c r="G561"/>
  <c r="G560" s="1"/>
  <c r="G483"/>
  <c r="G479" s="1"/>
  <c r="G401"/>
  <c r="G384"/>
  <c r="G381" s="1"/>
  <c r="G278"/>
  <c r="G42"/>
  <c r="G38" s="1"/>
  <c r="G1562" i="28"/>
  <c r="G1557" s="1"/>
  <c r="G1517"/>
  <c r="G1394"/>
  <c r="G1365"/>
  <c r="G1359"/>
  <c r="G1358" s="1"/>
  <c r="I93"/>
  <c r="G615"/>
  <c r="G563"/>
  <c r="G553" s="1"/>
  <c r="I354"/>
  <c r="I281"/>
  <c r="I278"/>
  <c r="I220"/>
  <c r="I216"/>
  <c r="G213"/>
  <c r="G212" s="1"/>
  <c r="I209"/>
  <c r="G195"/>
  <c r="I195" s="1"/>
  <c r="I123"/>
  <c r="G302"/>
  <c r="G297" s="1"/>
  <c r="I47"/>
  <c r="G1185" i="27"/>
  <c r="G1184" s="1"/>
  <c r="G993"/>
  <c r="G971"/>
  <c r="G671"/>
  <c r="G524" i="28"/>
  <c r="G523" s="1"/>
  <c r="G522" s="1"/>
  <c r="G873" i="27"/>
  <c r="G204"/>
  <c r="G172"/>
  <c r="G52"/>
  <c r="G51" s="1"/>
  <c r="I53"/>
  <c r="G634"/>
  <c r="G604"/>
  <c r="G603" s="1"/>
  <c r="O533"/>
  <c r="G436"/>
  <c r="G277"/>
  <c r="G265"/>
  <c r="I47"/>
  <c r="I31"/>
  <c r="I24"/>
  <c r="G337"/>
  <c r="G329" s="1"/>
  <c r="G306"/>
  <c r="I14"/>
  <c r="G498" i="28"/>
  <c r="G18"/>
  <c r="G17" s="1"/>
  <c r="I48" i="27"/>
  <c r="I40"/>
  <c r="I32"/>
  <c r="I28"/>
  <c r="I20"/>
  <c r="G1650" i="28"/>
  <c r="G1649" s="1"/>
  <c r="G1520"/>
  <c r="G1480"/>
  <c r="G1313"/>
  <c r="G1175"/>
  <c r="G1145"/>
  <c r="G1142" s="1"/>
  <c r="G1141" s="1"/>
  <c r="G1140" s="1"/>
  <c r="I1069"/>
  <c r="I1063"/>
  <c r="G1051"/>
  <c r="G1050" s="1"/>
  <c r="G795"/>
  <c r="G794" s="1"/>
  <c r="G787" s="1"/>
  <c r="G721"/>
  <c r="G663"/>
  <c r="G450"/>
  <c r="G437"/>
  <c r="G433" s="1"/>
  <c r="G416"/>
  <c r="G408" s="1"/>
  <c r="G341"/>
  <c r="I339"/>
  <c r="I294"/>
  <c r="I277"/>
  <c r="I269"/>
  <c r="G266"/>
  <c r="G265" s="1"/>
  <c r="I265" s="1"/>
  <c r="I233"/>
  <c r="I225"/>
  <c r="I221"/>
  <c r="I192"/>
  <c r="I187"/>
  <c r="I151"/>
  <c r="I146"/>
  <c r="I126"/>
  <c r="I121"/>
  <c r="I100"/>
  <c r="I95"/>
  <c r="G84"/>
  <c r="G69" s="1"/>
  <c r="G63"/>
  <c r="G59" s="1"/>
  <c r="I45"/>
  <c r="I39"/>
  <c r="I1087"/>
  <c r="G384"/>
  <c r="G1635"/>
  <c r="G1634" s="1"/>
  <c r="G1592"/>
  <c r="G1461"/>
  <c r="G1319"/>
  <c r="G1076"/>
  <c r="G1075" s="1"/>
  <c r="I1068"/>
  <c r="G1008"/>
  <c r="G1007" s="1"/>
  <c r="G1006" s="1"/>
  <c r="G777"/>
  <c r="G642"/>
  <c r="G323"/>
  <c r="I205"/>
  <c r="I164"/>
  <c r="G133"/>
  <c r="G120"/>
  <c r="I99"/>
  <c r="G44"/>
  <c r="G43" s="1"/>
  <c r="I37"/>
  <c r="G1544"/>
  <c r="G1541" s="1"/>
  <c r="G1536" s="1"/>
  <c r="G1455"/>
  <c r="G1454" s="1"/>
  <c r="G1444"/>
  <c r="G1428"/>
  <c r="G1405"/>
  <c r="G1338"/>
  <c r="G1271"/>
  <c r="G1235"/>
  <c r="G1225" s="1"/>
  <c r="G1224" s="1"/>
  <c r="G1223" s="1"/>
  <c r="G1222" s="1"/>
  <c r="G1200"/>
  <c r="G1194" s="1"/>
  <c r="G1184"/>
  <c r="I1134"/>
  <c r="I1123"/>
  <c r="I1088"/>
  <c r="G1086"/>
  <c r="I1064"/>
  <c r="G928"/>
  <c r="G879" s="1"/>
  <c r="G592"/>
  <c r="G591" s="1"/>
  <c r="G529"/>
  <c r="G428"/>
  <c r="G370"/>
  <c r="G362" s="1"/>
  <c r="G353"/>
  <c r="I334"/>
  <c r="G316"/>
  <c r="I283"/>
  <c r="I275"/>
  <c r="I253"/>
  <c r="G239"/>
  <c r="G238" s="1"/>
  <c r="I218"/>
  <c r="I210"/>
  <c r="I189"/>
  <c r="I184"/>
  <c r="G178"/>
  <c r="I166"/>
  <c r="G148"/>
  <c r="G141" s="1"/>
  <c r="I153"/>
  <c r="I142"/>
  <c r="I139"/>
  <c r="I128"/>
  <c r="I103"/>
  <c r="G92"/>
  <c r="G49"/>
  <c r="I36"/>
  <c r="I15"/>
  <c r="I14"/>
  <c r="G1704"/>
  <c r="I1117"/>
  <c r="G1492"/>
  <c r="G1065"/>
  <c r="I1041"/>
  <c r="G1585"/>
  <c r="G1210"/>
  <c r="I1121"/>
  <c r="I1084"/>
  <c r="I1044"/>
  <c r="G1043"/>
  <c r="G1038" s="1"/>
  <c r="G580"/>
  <c r="K765" i="27"/>
  <c r="K709"/>
  <c r="L554"/>
  <c r="K502"/>
  <c r="K203"/>
  <c r="G1699" i="28"/>
  <c r="G1136"/>
  <c r="G629"/>
  <c r="G804"/>
  <c r="G813"/>
  <c r="G812" s="1"/>
  <c r="G811" s="1"/>
  <c r="I758"/>
  <c r="I760"/>
  <c r="I751"/>
  <c r="G689"/>
  <c r="G688" s="1"/>
  <c r="K839" i="27"/>
  <c r="K497"/>
  <c r="K455"/>
  <c r="K144"/>
  <c r="G1429" i="28"/>
  <c r="I1135"/>
  <c r="I1085"/>
  <c r="I1075"/>
  <c r="I1074"/>
  <c r="G1062"/>
  <c r="G1059" s="1"/>
  <c r="I1045"/>
  <c r="I1042"/>
  <c r="G841"/>
  <c r="G836" s="1"/>
  <c r="G822"/>
  <c r="G821" s="1"/>
  <c r="G657"/>
  <c r="G638"/>
  <c r="G576"/>
  <c r="G571" s="1"/>
  <c r="I261"/>
  <c r="I262"/>
  <c r="I258"/>
  <c r="I17"/>
  <c r="G718"/>
  <c r="G224"/>
  <c r="G23"/>
  <c r="I358"/>
  <c r="I337"/>
  <c r="I272"/>
  <c r="I229"/>
  <c r="I179"/>
  <c r="I160"/>
  <c r="I161"/>
  <c r="I133"/>
  <c r="I136"/>
  <c r="I33"/>
  <c r="I13"/>
  <c r="I761"/>
  <c r="I752"/>
  <c r="I744"/>
  <c r="G542"/>
  <c r="G541" s="1"/>
  <c r="G515"/>
  <c r="I172"/>
  <c r="G165"/>
  <c r="G116"/>
  <c r="I116" s="1"/>
  <c r="G467"/>
  <c r="G460" s="1"/>
  <c r="L329" i="27" s="1"/>
  <c r="I360" i="28"/>
  <c r="I292"/>
  <c r="I291"/>
  <c r="I284"/>
  <c r="I282"/>
  <c r="I280"/>
  <c r="I273"/>
  <c r="I267"/>
  <c r="I263"/>
  <c r="I259"/>
  <c r="I251"/>
  <c r="I241"/>
  <c r="I230"/>
  <c r="I214"/>
  <c r="I206"/>
  <c r="I196"/>
  <c r="I182"/>
  <c r="I162"/>
  <c r="I154"/>
  <c r="I149"/>
  <c r="I143"/>
  <c r="I137"/>
  <c r="I112"/>
  <c r="I106"/>
  <c r="I104"/>
  <c r="I38"/>
  <c r="I34"/>
  <c r="I30"/>
  <c r="G29"/>
  <c r="I29" s="1"/>
  <c r="I19"/>
  <c r="K275" i="27"/>
  <c r="G733" i="28"/>
  <c r="K966" i="27"/>
  <c r="G303" l="1"/>
  <c r="G1556" i="28"/>
  <c r="G1255"/>
  <c r="G1251" s="1"/>
  <c r="G97" i="27"/>
  <c r="G554"/>
  <c r="G861"/>
  <c r="G895"/>
  <c r="K896"/>
  <c r="G917"/>
  <c r="K918"/>
  <c r="I213" i="28"/>
  <c r="G91"/>
  <c r="I91" s="1"/>
  <c r="I111"/>
  <c r="I92"/>
  <c r="I120"/>
  <c r="G1097"/>
  <c r="G1096" s="1"/>
  <c r="I1093" s="1"/>
  <c r="G296"/>
  <c r="G271" s="1"/>
  <c r="I297"/>
  <c r="I173"/>
  <c r="I338"/>
  <c r="I266"/>
  <c r="G1619"/>
  <c r="G1615" s="1"/>
  <c r="G1129" i="27"/>
  <c r="G411"/>
  <c r="G247"/>
  <c r="G495" i="28"/>
  <c r="L381" i="27" s="1"/>
  <c r="G175" i="28"/>
  <c r="I43"/>
  <c r="J1218" i="27"/>
  <c r="G375" i="28"/>
  <c r="I44"/>
  <c r="G12"/>
  <c r="G11" s="1"/>
  <c r="I18"/>
  <c r="G709" i="27"/>
  <c r="K717" s="1"/>
  <c r="I38"/>
  <c r="M502"/>
  <c r="G144"/>
  <c r="G783"/>
  <c r="K1116"/>
  <c r="G1111"/>
  <c r="G204" i="28"/>
  <c r="I212"/>
  <c r="G614"/>
  <c r="I239"/>
  <c r="G528"/>
  <c r="L411" i="27" s="1"/>
  <c r="G1154" i="28"/>
  <c r="G1139" s="1"/>
  <c r="G407"/>
  <c r="L276" i="27" s="1"/>
  <c r="G1449" i="28"/>
  <c r="G875"/>
  <c r="G859" s="1"/>
  <c r="G1688"/>
  <c r="G319"/>
  <c r="I165"/>
  <c r="K554" i="27"/>
  <c r="K676"/>
  <c r="I52"/>
  <c r="I238" i="28"/>
  <c r="G237"/>
  <c r="G1412"/>
  <c r="G42"/>
  <c r="G41" s="1"/>
  <c r="G58"/>
  <c r="G1535"/>
  <c r="G1318"/>
  <c r="G1183"/>
  <c r="L455" i="27"/>
  <c r="I42"/>
  <c r="G782" i="28"/>
  <c r="G1074"/>
  <c r="I296"/>
  <c r="G1648"/>
  <c r="I51" i="27"/>
  <c r="O14"/>
  <c r="I18"/>
  <c r="I19"/>
  <c r="L560"/>
  <c r="G203"/>
  <c r="G1504" i="28"/>
  <c r="G1503" s="1"/>
  <c r="G1502" s="1"/>
  <c r="I23"/>
  <c r="I12"/>
  <c r="I1073"/>
  <c r="I32"/>
  <c r="I175"/>
  <c r="I178"/>
  <c r="I341"/>
  <c r="I357"/>
  <c r="I141"/>
  <c r="I148"/>
  <c r="I256"/>
  <c r="I750"/>
  <c r="I1062"/>
  <c r="G1135"/>
  <c r="I1133"/>
  <c r="I754"/>
  <c r="I224"/>
  <c r="G1193"/>
  <c r="L1185" i="27" s="1"/>
  <c r="G1534" i="28"/>
  <c r="L765" i="27" s="1"/>
  <c r="I1040" i="28"/>
  <c r="G1058"/>
  <c r="G717"/>
  <c r="I765"/>
  <c r="I1094"/>
  <c r="I1138"/>
  <c r="K501" i="27"/>
  <c r="G653" i="28"/>
  <c r="G13" i="27"/>
  <c r="G314" i="28" l="1"/>
  <c r="L144" i="27" s="1"/>
  <c r="G982"/>
  <c r="G966" s="1"/>
  <c r="M968" s="1"/>
  <c r="G1312" i="28"/>
  <c r="G1250" s="1"/>
  <c r="G1245" s="1"/>
  <c r="G496" i="27"/>
  <c r="L497" s="1"/>
  <c r="K917"/>
  <c r="G911"/>
  <c r="K895"/>
  <c r="I41" i="28"/>
  <c r="G90"/>
  <c r="G89" s="1"/>
  <c r="I204"/>
  <c r="G57"/>
  <c r="I271"/>
  <c r="G743"/>
  <c r="G406"/>
  <c r="L275" i="27" s="1"/>
  <c r="M276" s="1"/>
  <c r="G236" i="28"/>
  <c r="I42"/>
  <c r="G765" i="27"/>
  <c r="G764" s="1"/>
  <c r="G1037" i="28"/>
  <c r="L966" i="27"/>
  <c r="L967" s="1"/>
  <c r="G1633" i="28"/>
  <c r="G1614" s="1"/>
  <c r="L839" i="27" s="1"/>
  <c r="M840" s="1"/>
  <c r="G352" i="28"/>
  <c r="L203" i="27" s="1"/>
  <c r="M203" s="1"/>
  <c r="I89" i="28"/>
  <c r="I90"/>
  <c r="I763"/>
  <c r="I764"/>
  <c r="G707"/>
  <c r="I747"/>
  <c r="I748"/>
  <c r="I353"/>
  <c r="I31"/>
  <c r="I759"/>
  <c r="I1071"/>
  <c r="I1132"/>
  <c r="G1130"/>
  <c r="G1129" s="1"/>
  <c r="I1126" s="1"/>
  <c r="I255"/>
  <c r="I1055"/>
  <c r="G1501"/>
  <c r="I13" i="27"/>
  <c r="K911" l="1"/>
  <c r="G839"/>
  <c r="M204"/>
  <c r="G235" i="28"/>
  <c r="I352"/>
  <c r="I237"/>
  <c r="I1083"/>
  <c r="I1072"/>
  <c r="I11"/>
  <c r="L13" i="27"/>
  <c r="M14" s="1"/>
  <c r="G706" i="28"/>
  <c r="I236" l="1"/>
  <c r="I746"/>
  <c r="I1136" l="1"/>
  <c r="I1137"/>
  <c r="I742"/>
  <c r="I235"/>
  <c r="G1604" l="1"/>
  <c r="G1603" s="1"/>
  <c r="G1602" l="1"/>
  <c r="L496" i="27" l="1"/>
  <c r="M497" s="1"/>
  <c r="G1601" i="28"/>
  <c r="G1721" l="1"/>
  <c r="G1731" s="1"/>
  <c r="G1726" l="1"/>
  <c r="G1729" s="1"/>
  <c r="J1231" i="27"/>
  <c r="G325" l="1"/>
  <c r="G324" l="1"/>
  <c r="G321" l="1"/>
  <c r="G276" l="1"/>
  <c r="G275" l="1"/>
  <c r="M277" l="1"/>
  <c r="G1218"/>
  <c r="J1233" l="1"/>
  <c r="I1218"/>
</calcChain>
</file>

<file path=xl/sharedStrings.xml><?xml version="1.0" encoding="utf-8"?>
<sst xmlns="http://schemas.openxmlformats.org/spreadsheetml/2006/main" count="12976" uniqueCount="1492">
  <si>
    <t xml:space="preserve"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 </t>
  </si>
  <si>
    <t>098 01 02</t>
  </si>
  <si>
    <t>Программа "Экология  Миасского городского округа" на 2010-2015гг.</t>
  </si>
  <si>
    <t>Субсидии бюджетным и автономным учреждениям на проведение текущего ремонта зданий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</si>
  <si>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</si>
  <si>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600 02 00</t>
  </si>
  <si>
    <t>Обеспечение выполнения работ по внедрению и содержанию технических средств, организации и регулированию дорожного движения в муниципальных образованиях за счет субсидий из областного бюджета</t>
  </si>
  <si>
    <t>600 02 66</t>
  </si>
  <si>
    <t>Озеленение</t>
  </si>
  <si>
    <t>600 03 00</t>
  </si>
  <si>
    <t>Прочие мероприятия по благоустройству городских округов и поселений</t>
  </si>
  <si>
    <t>600 05 00</t>
  </si>
  <si>
    <t>Программа по поддержанию дорог и дорожных сооружений МГО в проезжем состоянии на 2008-2010гг.</t>
  </si>
  <si>
    <t>795 00 09</t>
  </si>
  <si>
    <t>Целевая программа "Содержание и благоустройство кладбищ Миасского городского округа на 2010г"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</si>
  <si>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</si>
  <si>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351 03 00</t>
  </si>
  <si>
    <t>Мероприятия в области коммунального хозяйства</t>
  </si>
  <si>
    <t>351 05 00</t>
  </si>
  <si>
    <t xml:space="preserve">Подпрограмма "Модернизация объектов коммунальной инфраструктуры" </t>
  </si>
  <si>
    <t>522 19 11</t>
  </si>
  <si>
    <t>Программа "Содержание и благоустройство кладбищ Миасского городского округа на 2006-2010гг."</t>
  </si>
  <si>
    <t>795 00 06</t>
  </si>
  <si>
    <t>Программа экономии хозпитьевой воды, улучшение экологической обстановки МГО на 2008-2010гг.</t>
  </si>
  <si>
    <t>795 00 24</t>
  </si>
  <si>
    <t>Программа "О развитии энергосбережения в МГО на 2006-2010гг."</t>
  </si>
  <si>
    <t>795 00 25</t>
  </si>
  <si>
    <t xml:space="preserve">Национальный проект "Доступное и комфортное жилье - гражданам России" на территории МГО на 2006-2010 гг., </t>
  </si>
  <si>
    <t>795 19 00</t>
  </si>
  <si>
    <t>795 19 11</t>
  </si>
  <si>
    <t>Благоустройство</t>
  </si>
  <si>
    <t>ОАП "Капитальный ремонт многоквартирных домов в Челябинской области на 2008-2011 гг. за счет средств Фонда реформирования ЖКХ</t>
  </si>
  <si>
    <t>522 21 22</t>
  </si>
  <si>
    <t>ОАП "Капитальный ремонт многоквартирных домов в Челябинской области на 2008-2011 гг. за счет средств областного бюджета</t>
  </si>
  <si>
    <t>522 21 23</t>
  </si>
  <si>
    <t>Программа  "Лифт МГО на 2008-2010"</t>
  </si>
  <si>
    <t>795 00 08</t>
  </si>
  <si>
    <t>Национальный проект "Доступное и комфортное жилье - гражданам России" на территории МГО на 2006-2010 гг.</t>
  </si>
  <si>
    <t xml:space="preserve">795 19 00 </t>
  </si>
  <si>
    <t>795 19 13</t>
  </si>
  <si>
    <t>Программа "Капитальное строительство на территории Миасского городского округа на 2009-2011 годы"</t>
  </si>
  <si>
    <t>795 25 00</t>
  </si>
  <si>
    <t>Коммунальное хозяйство</t>
  </si>
  <si>
    <t>Дорожное хозяйство</t>
  </si>
  <si>
    <t>351 00 00</t>
  </si>
  <si>
    <t>Отдельные мероприятия в области дорожного хозяйства</t>
  </si>
  <si>
    <t>365</t>
  </si>
  <si>
    <t>Предоставление субсидий бюджетным учреждениям</t>
  </si>
  <si>
    <t>Обеспечение деятельности (оказание услуг) подведомственных казенных учреждений</t>
  </si>
  <si>
    <t>Выполнение функций казенными учреждениями</t>
  </si>
  <si>
    <t>Реализация других функций, связанных с обеспечением национальной безопасности и правоохранительной деятельности</t>
  </si>
  <si>
    <t>611</t>
  </si>
  <si>
    <t>Муниципальная целевая программа "Поддержка и развитие дошкольного образования в Миасском городском округе на 2011-2012 годы"</t>
  </si>
  <si>
    <t>795 00 45</t>
  </si>
  <si>
    <t>Органы юстиции</t>
  </si>
  <si>
    <t>Лицензирование розничной продажи алкогольной продукции за счет субвенций из областного бюджета</t>
  </si>
  <si>
    <t>002 04 98</t>
  </si>
  <si>
    <t>Обеспечение продуктами питания детей из малообеспеченных семей и детей с нарушениями здоровья, обучающихся в муниципальных образовательных учреждениях за счет субсидии из областного бюджета</t>
  </si>
  <si>
    <t>421 99 59</t>
  </si>
  <si>
    <t>421 99 68</t>
  </si>
  <si>
    <t>Расходы на выплату библиотечным работникам лечебного пособия и ежемесячной надбавки к заработной плате за выслугу лет за счет субсидий из областного бюджета</t>
  </si>
  <si>
    <t>421 99 70</t>
  </si>
  <si>
    <t>Расходы за счет субвенций из областного бюджета на предоставление дополнительных мер социальной поддержки отдельным категориям граждан  (другие меры социальной защиты ветеранов в Челябинской области)</t>
  </si>
  <si>
    <t>505 02 12</t>
  </si>
  <si>
    <t xml:space="preserve">Программа "Реконструкция и модернизация системы наружного освещения МГО с обеспечением приборного учета электроэнергии на 2008-2010гг" </t>
  </si>
  <si>
    <t>795 00 26</t>
  </si>
  <si>
    <t>Другие вопросы в области жилищно-коммунального хозяйства</t>
  </si>
  <si>
    <t>102 02 00</t>
  </si>
  <si>
    <t>Реконструкция гидротехнических сооружений, находящихся в муниципальной собственности, за счет субсидий из областного бюджета</t>
  </si>
  <si>
    <t>102 02 23</t>
  </si>
  <si>
    <t xml:space="preserve">Бюджетные инвестиции </t>
  </si>
  <si>
    <t>Федеральная целевая программа "Жилище"  на 2002-2010 годы</t>
  </si>
  <si>
    <t>104 00 00</t>
  </si>
  <si>
    <t>104 03 00</t>
  </si>
  <si>
    <t>Подпрограмма "Подготовка земельных участков для освоения в целях жилищного строительства"</t>
  </si>
  <si>
    <t>522 19 12</t>
  </si>
  <si>
    <t>Областная целевая Программа капитального строительства в Челябинской области на 2009-2011 годы</t>
  </si>
  <si>
    <t>522 25 00</t>
  </si>
  <si>
    <t>Развитие социальной и инженерной структуры муниципальных образований</t>
  </si>
  <si>
    <t>523 00 00</t>
  </si>
  <si>
    <t xml:space="preserve">Развитие социальной и инженерной структуры </t>
  </si>
  <si>
    <t>523 01 00</t>
  </si>
  <si>
    <t xml:space="preserve">Программа водоснабжения частного сектора  </t>
  </si>
  <si>
    <t>795 00 21</t>
  </si>
  <si>
    <t>Подпрограмма "Обеспечение земельных участков объектами коммунальной инфраструктуры"</t>
  </si>
  <si>
    <t>Охрана окружающей  среды</t>
  </si>
  <si>
    <t>Охрана объектов растительного и животного мира и среды их обитания</t>
  </si>
  <si>
    <t>Природоохранные учреждения</t>
  </si>
  <si>
    <t>411 00 00</t>
  </si>
  <si>
    <t>411 99 00</t>
  </si>
  <si>
    <t>Другие вопросы в области охраны окружающей среды</t>
  </si>
  <si>
    <t>ОЦП Природоохранных мероприятий оздоровления экологической обстановки в Челябинской области на 2006-2010гг.</t>
  </si>
  <si>
    <t>522 14 00</t>
  </si>
  <si>
    <t>Строительство объектов для нужд отрасли</t>
  </si>
  <si>
    <t>213</t>
  </si>
  <si>
    <t>Программа "Экология  Миасского городского округа" на 2006-2010гг.</t>
  </si>
  <si>
    <t>795 00 22</t>
  </si>
  <si>
    <t>Природоохранные мероприятия</t>
  </si>
  <si>
    <t>025</t>
  </si>
  <si>
    <t>Программа "Сбор и утилизация твердых коммунальных и промышленных отходов"</t>
  </si>
  <si>
    <t>795 00 23</t>
  </si>
  <si>
    <t>443</t>
  </si>
  <si>
    <t>в том числе на ликвидацию чрезвычайных ситуаций</t>
  </si>
  <si>
    <t xml:space="preserve">Содержание и ремонт автомобильных дорог общего пользования местного значения, за исключением автомобильных дорог общего пользования федерального и регионального значения за счет субсидий из областного бюджета </t>
  </si>
  <si>
    <t>315 02 03</t>
  </si>
  <si>
    <t xml:space="preserve">Содержание и ремонт автомобильных дорог общего пользования местного значения, за исключением автомобильных дорог общего пользования федерального и регионального значения </t>
  </si>
  <si>
    <t>915</t>
  </si>
  <si>
    <t>600 00 00</t>
  </si>
  <si>
    <t>Уличное освещение</t>
  </si>
  <si>
    <t>600 01 00</t>
  </si>
  <si>
    <t>600 01 68</t>
  </si>
  <si>
    <t>Мероприятия в области здравоохранения,
спорта и физической культуры, туризма</t>
  </si>
  <si>
    <t>795 00 34</t>
  </si>
  <si>
    <t>Программа "Питание детей второго года жизни в Миасском городском округе на 2008-2010гг"</t>
  </si>
  <si>
    <t>795 00 36</t>
  </si>
  <si>
    <t>Учреждения социального обслуживания населения</t>
  </si>
  <si>
    <t>507 00 00</t>
  </si>
  <si>
    <t>317 82 00</t>
  </si>
  <si>
    <t>317 82 10</t>
  </si>
  <si>
    <t>352 00 00</t>
  </si>
  <si>
    <t>352 02 00</t>
  </si>
  <si>
    <t>Капитальный ремонт муниципального жилищного фонда</t>
  </si>
  <si>
    <t>Обеспечение жилыми помещениями детей-сирот,
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</si>
  <si>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505 21 02</t>
  </si>
  <si>
    <t>Программа "Развитие муниципальной службы в Администрации МГО"</t>
  </si>
  <si>
    <t>423 82 00</t>
  </si>
  <si>
    <t>423 82 10</t>
  </si>
  <si>
    <t>Субсидии на финансовое обеспечение муниципального задания на оказание муниципальных услуг (выполнение работ)</t>
  </si>
  <si>
    <t>423 82 70</t>
  </si>
  <si>
    <t>440 02 00</t>
  </si>
  <si>
    <t>441 82 00</t>
  </si>
  <si>
    <t>441 82 10</t>
  </si>
  <si>
    <t>612</t>
  </si>
  <si>
    <t>470 82 00</t>
  </si>
  <si>
    <t>478 82 00</t>
  </si>
  <si>
    <t>Выполнение функций казенными  учреждениями</t>
  </si>
  <si>
    <t>440 82 86</t>
  </si>
  <si>
    <t>420 82 00</t>
  </si>
  <si>
    <t>420 82 10</t>
  </si>
  <si>
    <t>420 00 67</t>
  </si>
  <si>
    <t>420 82 67</t>
  </si>
  <si>
    <t>421 82 00</t>
  </si>
  <si>
    <t>421 82 10</t>
  </si>
  <si>
    <t>421 82 59</t>
  </si>
  <si>
    <t>421 82 70</t>
  </si>
  <si>
    <t>421 82 88</t>
  </si>
  <si>
    <t>Мероприятия по проведению оздоровительной кампании детей, за исключением детей, находящихся в трудной жизненной ситуации</t>
  </si>
  <si>
    <t>432 01 00</t>
  </si>
  <si>
    <t>Расходы на организацию отдыха детей в лагерях с дневным пребыванием, в загородных лагерях, проведению походов и культурно-массовых мероприятий для детей</t>
  </si>
  <si>
    <t>432 01 71</t>
  </si>
  <si>
    <t>Расходы за счет субвенций местным бюджетам на обеспечение гарантий прав граждан в сфере образования</t>
  </si>
  <si>
    <t>Финансовое обеспечение муниципального задания на оказание муниципальных услуг ( выполнение работ)</t>
  </si>
  <si>
    <t>Расходы за счет субвенции из областного бюджета на организацию предоставления дошкольного и общего образования по основным общеобразовательным программам в муниципальных специальных (коррекционных) образовательных учреждениях для обучающихся воспитанников</t>
  </si>
  <si>
    <t>Обеспечение деятельности подведомственных казенных учреждений</t>
  </si>
  <si>
    <t>Предоставление субсидий бюджетным  и автономным учреждениям</t>
  </si>
  <si>
    <t xml:space="preserve">Мероприятия по поддержке и развитию культуры, искусства, кинематографии, средств массовой информации и архивного дела
</t>
  </si>
  <si>
    <t>795 00 70</t>
  </si>
  <si>
    <t>Муниципальная целевая программа "Молодежь Миасса на 2012-2016 годы"</t>
  </si>
  <si>
    <t>795 00 71</t>
  </si>
  <si>
    <t xml:space="preserve">Мероприятия в области здравоохранения,
спорта и физической культуры, туризма
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</si>
  <si>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</si>
  <si>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002 00 00</t>
  </si>
  <si>
    <t>Глава муниципального образования</t>
  </si>
  <si>
    <t>002 03 00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</si>
  <si>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</si>
  <si>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</si>
  <si>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</si>
  <si>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03</t>
  </si>
  <si>
    <t>Центральный аппарат</t>
  </si>
  <si>
    <t xml:space="preserve"> 01 </t>
  </si>
  <si>
    <t>002 04 00</t>
  </si>
  <si>
    <t>Депутаты представительного органа муниципального образования</t>
  </si>
  <si>
    <t>002 12 00</t>
  </si>
  <si>
    <t>Другие общегосударственные вопросы</t>
  </si>
  <si>
    <t>15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</si>
  <si>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</si>
  <si>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</si>
  <si>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</si>
  <si>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216</t>
  </si>
  <si>
    <t>Образование</t>
  </si>
  <si>
    <t>07</t>
  </si>
  <si>
    <t>Молодежная политика и оздоровление детей</t>
  </si>
  <si>
    <t>Мероприятия по организации оздоровительной кампании детей и подростков</t>
  </si>
  <si>
    <t>432 00 00</t>
  </si>
  <si>
    <t>Оздоровление детей и подростков</t>
  </si>
  <si>
    <t>452</t>
  </si>
  <si>
    <t>Реализация 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</si>
  <si>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</si>
  <si>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</si>
  <si>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200</t>
  </si>
  <si>
    <t>Национальная экономика</t>
  </si>
  <si>
    <t>04</t>
  </si>
  <si>
    <t>Транспорт</t>
  </si>
  <si>
    <t>08</t>
  </si>
  <si>
    <t>Другие виды транспорта</t>
  </si>
  <si>
    <t>Учреждения культуры и мероприятия в сфере культуры и кинематографии</t>
  </si>
  <si>
    <t>Расходы за счет субвенций из областного бюджета на организацию работы комиссии по делам несовершеннолетних и защите их прав</t>
  </si>
  <si>
    <t>002 04 58</t>
  </si>
  <si>
    <t xml:space="preserve">Расходы за счет субвенций из областного бюджета на комплектование, учет, использование и хранение архивных документов, отнесенных к государственной собственности Челябинской области </t>
  </si>
  <si>
    <t>002 04 86</t>
  </si>
  <si>
    <t>Целевые программы муниципальных образований</t>
  </si>
  <si>
    <t>795 00 00</t>
  </si>
  <si>
    <t>795 00 10</t>
  </si>
  <si>
    <t>Судебная система</t>
  </si>
  <si>
    <t>05</t>
  </si>
  <si>
    <t>Бюджетные инвестиции в объекты капитального строительства, собственности муниципальных образований</t>
  </si>
  <si>
    <t>102 01 02</t>
  </si>
  <si>
    <t>Бюджетные инвестиции</t>
  </si>
  <si>
    <t>003</t>
  </si>
  <si>
    <t>440 00 00</t>
  </si>
  <si>
    <t>440 99 00</t>
  </si>
  <si>
    <t>795 00 01</t>
  </si>
  <si>
    <t>Программа "Муниципальная информационная автоматизированная  система"</t>
  </si>
  <si>
    <t>795 00 02</t>
  </si>
  <si>
    <t>Национальная безопасность и правоохранительная деятельность</t>
  </si>
  <si>
    <t>Органы внутренних дел</t>
  </si>
  <si>
    <t>Воинские формирования (органы, подразделения)</t>
  </si>
  <si>
    <t>098 01 04</t>
  </si>
  <si>
    <t>Областная целевая программа реализации национального проекта "Образование" в Челябинской области</t>
  </si>
  <si>
    <t>522 17 00</t>
  </si>
  <si>
    <t>Расходы за счет иных межбюджетных трансфертов  из областного бюджета на  поощрение лучших педагогических работников и учащихся -победителей конкурсов"  (Областная целевая Программа реализации национального проекта "Образование" в Челябинской области на 2009-2012 годы)</t>
  </si>
  <si>
    <t>522 17 02</t>
  </si>
  <si>
    <t>478 99 00</t>
  </si>
  <si>
    <t>Муниципальная целевая программа "Снижение административных барьеров, оптимизация и повышение качества государственных и муниципальных услуг на базе муниципального автономного учреждения "Многофункциональный центр предоставления государственных и муниципальных услуг" Миасского городского округа"</t>
  </si>
  <si>
    <t>Областная целевая программа "Развитие дошкольного образования в Челябинской области" на 2011-2014 гг. за счет субсидий из областного бюджета</t>
  </si>
  <si>
    <t xml:space="preserve">Национальный проект "Доступное и комфортное жилье - гражданам России" на территории МГО на 2011-2015 гг., </t>
  </si>
  <si>
    <t>795 00 73</t>
  </si>
  <si>
    <t>Мероприятия по поддержке и развитию культуры, искусства, кинематографии, средств массовой информации и архивного дела</t>
  </si>
  <si>
    <t>Субсидии бюджетным и автономным учреждениям на финансовое обеспечение государственного задания на иные цели</t>
  </si>
  <si>
    <t>470 82 20</t>
  </si>
  <si>
    <t>470 82 23</t>
  </si>
  <si>
    <t>Субсидии бюджетным и автономным учреждениям на  иные цели</t>
  </si>
  <si>
    <t>Субсидии бюджетным и автономным учреждениям на текущий ремонт зданий</t>
  </si>
  <si>
    <t>471 82 22</t>
  </si>
  <si>
    <t>Муниципальная целевая программа " Капитальное строительство на территории Миасского городского округа на 2012-2014 годы"</t>
  </si>
  <si>
    <t>Дорожное хозяйство (дорожные фонды)</t>
  </si>
  <si>
    <t>795 00 75</t>
  </si>
  <si>
    <t>351 82 00</t>
  </si>
  <si>
    <t>351 82 10</t>
  </si>
  <si>
    <t>Муниципальная целевая программа "Снос и обрезка сухих, аварийных , больных деревьев, посадка деревьев и кустарников на территории МГО на 2011-2013 годы"</t>
  </si>
  <si>
    <t>795 00 69</t>
  </si>
  <si>
    <t>Реализация переданных государственных полномочий в области охраны труда</t>
  </si>
  <si>
    <t>002 04 99</t>
  </si>
  <si>
    <t>Муниципальная целевая программа "Пожарная безопасность Миасского городского округа на 2011-2013 годы"</t>
  </si>
  <si>
    <t>795 00 68</t>
  </si>
  <si>
    <t>423 82 20</t>
  </si>
  <si>
    <t>Муниципальная целевая программа "Содержание, ремонт и реконструкция спортивных сооружений Миасского городского округа в 2012-2015гг."</t>
  </si>
  <si>
    <t>Программа "Профилактика противодействия незаконному обороту и употреблению наркотических средств" на территории Миасского городского округа на 2010-2012гг.</t>
  </si>
  <si>
    <t>441 82 23</t>
  </si>
  <si>
    <t>420 82 20</t>
  </si>
  <si>
    <t>421 82 20</t>
  </si>
  <si>
    <t>Федеральная целевая программа «Жилище» на 2011-2015 годы»</t>
  </si>
  <si>
    <t>100 88 00</t>
  </si>
  <si>
    <t>100 88 20</t>
  </si>
  <si>
    <t>Федеральные целевые программы</t>
  </si>
  <si>
    <t>100 00 00</t>
  </si>
  <si>
    <t xml:space="preserve">Субсидии бюджетным и автономным учреждениям на финансовое обеспечение муниципального задания на оказание муниципальных услуг </t>
  </si>
  <si>
    <t>795 00 37</t>
  </si>
  <si>
    <t>Целевая программа "Миасс - безопасный город" на 2010-2015 годы</t>
  </si>
  <si>
    <t>315 06 00</t>
  </si>
  <si>
    <t>Содержание и ремонт автомобильных дорог общего пользования местного значения</t>
  </si>
  <si>
    <t>Капитальный ремонт и ремонт дворовых территорий многоквартирных домов, проездов к дворовым территориям многоквартирных домов населённых пунктов</t>
  </si>
  <si>
    <t>315 07 00</t>
  </si>
  <si>
    <t>Субсидии бюджетным и автономным учреждениям на финансовое обеспечение муниципального задания на иные цели</t>
  </si>
  <si>
    <t>Субсидии бюджетным и автономным учреждениям на капитальный ремонт зданий  и сооружений</t>
  </si>
  <si>
    <t>351 82 21</t>
  </si>
  <si>
    <t>Школы - детские сады, школы начальные, неполные средние и средние</t>
  </si>
  <si>
    <t>421 82 21</t>
  </si>
  <si>
    <t>Субсидии бюджетным и автономным учреждениям  на капитальный ремонт зданий и сооружений</t>
  </si>
  <si>
    <t>351 82 20</t>
  </si>
  <si>
    <t>Другие субсидии бюджетным и автономным учреждениям на иные цели</t>
  </si>
  <si>
    <t>795 00 76</t>
  </si>
  <si>
    <t xml:space="preserve">Муниципальная целевая программа "Предоставление дополнительных мер социальной поддержки сотрудникам Отдела МВД по городу Миассу Челябинской области в 2012 году" </t>
  </si>
  <si>
    <t>Массовый спорт</t>
  </si>
  <si>
    <t>Областная целевая программа "Развитие физической культуры и спорта в Челябинской области на 2012-2014 годы"</t>
  </si>
  <si>
    <t xml:space="preserve">Субсидии бюджетным и автономным учреждениям на финансовое обеспечение муниципального задания на оказание муниципальных услуг (выполнение работ) </t>
  </si>
  <si>
    <t>Субсидии бюджетным и автономным учреждениям на иные цели</t>
  </si>
  <si>
    <t>Подпрограмма "Предоставление работникам бюджетной сферы социальных выплат на приобретение или стр-во жилья"</t>
  </si>
  <si>
    <t>795 19 15</t>
  </si>
  <si>
    <t>Охрана семьи и детства</t>
  </si>
  <si>
    <t>505 05 02</t>
  </si>
  <si>
    <t>Иные  безвозмездные и безвозвратные перечисления</t>
  </si>
  <si>
    <t>Компенсация в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</t>
  </si>
  <si>
    <t xml:space="preserve">520 10 00 </t>
  </si>
  <si>
    <t xml:space="preserve">Содержание ребенка в семье опекуна и приемной семье, а также оплата труда приемного родителя </t>
  </si>
  <si>
    <t>520 13 00</t>
  </si>
  <si>
    <t>Выплаты приемной семье на содержание подопечных детей</t>
  </si>
  <si>
    <t>520 13 11</t>
  </si>
  <si>
    <t>Содержание ребенка в семье опекуна и приемной семье, а также оплата труда приемного родителя</t>
  </si>
  <si>
    <t>909</t>
  </si>
  <si>
    <t>520 13 12</t>
  </si>
  <si>
    <t>520 13 13</t>
  </si>
  <si>
    <t>520 13 20</t>
  </si>
  <si>
    <t>Выплата денежных средств на реализацию права бесплатного проезда и содержание детей, находящихся под опекой (попечительством), а также на оплату труда приемного родителя</t>
  </si>
  <si>
    <t>Другие вопросы в области социальной политики</t>
  </si>
  <si>
    <t xml:space="preserve">Организация работы органов управления социальной защиты населения муниципальных образований </t>
  </si>
  <si>
    <t>002 04 46</t>
  </si>
  <si>
    <t>Расходы на обеспечение деятельности по предоставлению гражданам субсидий</t>
  </si>
  <si>
    <t>002 04 34</t>
  </si>
  <si>
    <t>Расходы за счет субвенции из областного бюджета на организацию и осуществление деятельности по опеке и попечительству</t>
  </si>
  <si>
    <t>002 04 44</t>
  </si>
  <si>
    <t>002 04 74</t>
  </si>
  <si>
    <t>518 02 42</t>
  </si>
  <si>
    <t>ВСЕГО РАСХОДОВ</t>
  </si>
  <si>
    <t>ПРОФИЦИТ БЮДЖЕТА (со знаком "плюс") или ДЕФИЦИТ БЮДЖЕТА (со знаком "минус")</t>
  </si>
  <si>
    <t xml:space="preserve"> ИСТОЧНИКИ ВНУТРЕННЕГО ФИНАНСИРОВАНИЯ</t>
  </si>
  <si>
    <t>000</t>
  </si>
  <si>
    <t>000 00 00</t>
  </si>
  <si>
    <t>Бюджетные кредиты от других бюджетов бюджетной  системы Российской Федерации</t>
  </si>
  <si>
    <t>Получение кредитов от других бюджетов  бюджетной системы Российской Федерации  бюджетами городских округов в валюте  Российской Федерации</t>
  </si>
  <si>
    <t>000 04 00</t>
  </si>
  <si>
    <t>700</t>
  </si>
  <si>
    <t>Погашение бюджетами городских округов кредитов  от других бюджетов бюджетной системы  Российской Федерации в валюте Российской  Федерации</t>
  </si>
  <si>
    <t>800</t>
  </si>
  <si>
    <t>Продажа земельных участков, находящихся в государственной и муниципальной собственности</t>
  </si>
  <si>
    <t>Остатки средств бюджетов</t>
  </si>
  <si>
    <t>010 00 00</t>
  </si>
  <si>
    <t>Иные источники внутреннего финансирования  дефицитов бюджетов</t>
  </si>
  <si>
    <t>447</t>
  </si>
  <si>
    <t>Стационарная медицинская помощь</t>
  </si>
  <si>
    <t>Учреждения, обеспечивающие предоставление услуг в сфере здравоохранения</t>
  </si>
  <si>
    <t>469 00 00</t>
  </si>
  <si>
    <t>469 99 00</t>
  </si>
  <si>
    <t>470 00 00</t>
  </si>
  <si>
    <t>470 99 00</t>
  </si>
  <si>
    <t xml:space="preserve">09 </t>
  </si>
  <si>
    <t xml:space="preserve">Программа "Осуществление дополнительных мер социальной поддержки населения МГО в части проезда в городском и пригородном транспорте общего пользования" </t>
  </si>
  <si>
    <t>505 55 35</t>
  </si>
  <si>
    <t>Оказание других видов социальной помощи</t>
  </si>
  <si>
    <t>505 86 00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</si>
  <si>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</si>
  <si>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</si>
  <si>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</si>
  <si>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</si>
  <si>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Областная целевая программа реализации национального проекта "Доступное и комфортное жилье  - гражданам России" в Челябинской области за счет субсидии из областного бюджета"</t>
  </si>
  <si>
    <t>Подпрограмма "Оказание молодым семьям господдержки для улучшения жил.условий"</t>
  </si>
  <si>
    <t>522 19 14</t>
  </si>
  <si>
    <t>Программа "Организация круглосуточной, неотложной эндоскопической, отоларингологической, офтальмологической, урологической неврологической помощи в МГО на 2008 год"</t>
  </si>
  <si>
    <t>795 00 62</t>
  </si>
  <si>
    <t>Нац.проект "Здоровье" на территории  Миасского городского округа на 2010-2012 гг.</t>
  </si>
  <si>
    <t>ЦП "Капитальное строительство на территории Миасского городского округа на 2009-2011 годы"</t>
  </si>
  <si>
    <t>Социальная политика</t>
  </si>
  <si>
    <t>00</t>
  </si>
  <si>
    <t>Пенсионное обеспечение</t>
  </si>
  <si>
    <t>Доплаты к пенсиям, дополнительное пенсионное обеспечение</t>
  </si>
  <si>
    <t>491 00 00</t>
  </si>
  <si>
    <t>Доплаты к пенсиям государственных служащих субъектов Российской Федерации и муниципальных служащих</t>
  </si>
  <si>
    <t>491 01 00</t>
  </si>
  <si>
    <t>Социальное обслуживание населения</t>
  </si>
  <si>
    <t xml:space="preserve"> Собрание депутатов Миасского городского округа</t>
  </si>
  <si>
    <t>291</t>
  </si>
  <si>
    <t>Контрольно - Счетная палата Миасского городского округа</t>
  </si>
  <si>
    <t>292</t>
  </si>
  <si>
    <t>Администрация Миасского городского округа</t>
  </si>
  <si>
    <t>283</t>
  </si>
  <si>
    <t>Обеспечение деятельности финансовых, налоговых и таможенных органов и органов надзора</t>
  </si>
  <si>
    <t>Больницы, клиники, госпитали, МСЧ</t>
  </si>
  <si>
    <t>506 00 00</t>
  </si>
  <si>
    <t>327</t>
  </si>
  <si>
    <t>Подпрограмма "Обеспечение жильем молодых семей"</t>
  </si>
  <si>
    <t>505 33 00</t>
  </si>
  <si>
    <t>505 85 00</t>
  </si>
  <si>
    <t>Расходы за счет субвенции из областного бюджета на выплату социального пособия на погребение и оказание услуг по погребению, согласно гарантированному перечню этих услуг за умерших, получавших пенсии по государственному пенсионному обеспечению</t>
  </si>
  <si>
    <t>505 22 05</t>
  </si>
  <si>
    <t>Обеспечение мер социальной поддержки для лиц, награжденных знаком "Почетный донор СССР", "Почетный донор России"</t>
  </si>
  <si>
    <t>505 29 01</t>
  </si>
  <si>
    <t>505 33 31</t>
  </si>
  <si>
    <t>505 33 32</t>
  </si>
  <si>
    <t>Подпрограмма "Предоставление работникам бюджетной сферы безвозмездных субсидий на приобретение или строительство жилья"</t>
  </si>
  <si>
    <t>Комитет по управлению имуществом Миасского городского округа</t>
  </si>
  <si>
    <t>Расходы за счет субвенции из областного бюджета на обеспечение мер социальной поддержки ветеранов труда и тружеников тыла (Закон Челябинской области "О мерах социальной поддержки ветеранов Челябинской области" (ежеквартальные денежные выплаты на оплату проезда)</t>
  </si>
  <si>
    <t>Расходы за счет субвенции из областного бюджета на обеспечение мер социальной поддержки реабилитированных лиц и лиц, признанных пострадавшими от политических репрессий (Закон Челябинской области "О мерах социальной поддержки жертв политических репрессий в ЧО (другие меры социальной поддержки лиц и лиц, признанных пострадавшими от политических репрессий в ЧО)</t>
  </si>
  <si>
    <t>287</t>
  </si>
  <si>
    <t>440 82 00</t>
  </si>
  <si>
    <t>Финансовое обеспечение муниципального задания на оказание муниципальных услуг (выполнение работ)</t>
  </si>
  <si>
    <t>440 82 10</t>
  </si>
  <si>
    <t>Расходы на реализацию мероприятий по обеспечению своевременной и полной выплаты заработной платы, в том числе в связи с введение новой системы оплаты труда</t>
  </si>
  <si>
    <t>555 00 10</t>
  </si>
  <si>
    <t xml:space="preserve">Расходы на увеличение тарифов по оплате за топливно-энергетические ресурсы </t>
  </si>
  <si>
    <t>556 00 10</t>
  </si>
  <si>
    <t>Федеральный закон от 21 декабря 1996 года
N 159-ФЗ "О дополнительных гарантиях по социальной поддержке детей-сирот и детей, оставшихся без попечения родителей"</t>
  </si>
  <si>
    <t>505 21 00</t>
  </si>
  <si>
    <t>420 82 22</t>
  </si>
  <si>
    <t>420 82 23</t>
  </si>
  <si>
    <t>Решение вопросов местного значения, связанных с проведением антитеррористических и противопожарных мероприятий</t>
  </si>
  <si>
    <t>420 99 63</t>
  </si>
  <si>
    <t>Муниципальная целевая программа "Энергосбережение и повышение энергетической эффективности Миасского городского округа на 2011-2020 годы"</t>
  </si>
  <si>
    <t>421 82 23</t>
  </si>
  <si>
    <t>421 99 63</t>
  </si>
  <si>
    <t>436 21 00</t>
  </si>
  <si>
    <t>Модернизация региональных систем общего образования</t>
  </si>
  <si>
    <t>810</t>
  </si>
  <si>
    <t>Субсидии юридическим лицам (кроме государственных учреждений) и физическим лицам - производителям товаров, работ, услуг</t>
  </si>
  <si>
    <t>Подпрограмма "Предоставление работникам бюджетной сферы социальных выплат на приобретение или строительство жилья"</t>
  </si>
  <si>
    <t>Муниципальная целевая программа "Пожарная безопасность Миасского городского округа на 2011-2013гг"</t>
  </si>
  <si>
    <t>Расходы за счет субсидий из областного бюджета на выплату ежемесячной надбавки к заработной плате молодым специалистам и оказание единовременной материальной помощи молодым специалистам</t>
  </si>
  <si>
    <t>420 82 01</t>
  </si>
  <si>
    <t>421 82 01</t>
  </si>
  <si>
    <t>423 82 01</t>
  </si>
  <si>
    <t>431 01 39</t>
  </si>
  <si>
    <t>Областная целевая программа "Патриотическое воспитание молодых граждан Челябинской области" на 2012-2015 годы" за счет субсидии из областного бюджета"</t>
  </si>
  <si>
    <t>522 46 00</t>
  </si>
  <si>
    <t>100 88 11</t>
  </si>
  <si>
    <t>Другие субсидии бюджетным и автономным учреждениям на иные цели.</t>
  </si>
  <si>
    <t>440 82 24</t>
  </si>
  <si>
    <t>ОЦП по реализации НП "Доступное и комфортное жилье - гражданам России" в Челябинской области, подпрограмма "Подготовка земельных участков для освоения в целях жилищного строительства"</t>
  </si>
  <si>
    <t>441 82 20</t>
  </si>
  <si>
    <t>470 82 24</t>
  </si>
  <si>
    <t>471 82 20</t>
  </si>
  <si>
    <t>423 82 24</t>
  </si>
  <si>
    <t>420 82 24</t>
  </si>
  <si>
    <t>421 82 24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</si>
  <si>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</si>
  <si>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096 01 00</t>
  </si>
  <si>
    <t>Обеспечение жильем граждан, уволенных с военной службы (службы), и приравненных к ним лиц</t>
  </si>
  <si>
    <t>423 82 23</t>
  </si>
  <si>
    <t>432 01 75</t>
  </si>
  <si>
    <t>432 01 76</t>
  </si>
  <si>
    <t>Расходы за счет субвенции на обеспечение мер социальной поддержки граждан, имеющих звание "Ветеран труда Челябинской области" (ежемесячная денежная выплата на оплату жилья и коммунальных услуг и единовременная денежная выплата на цели отопления)</t>
  </si>
  <si>
    <t>505 33 33</t>
  </si>
  <si>
    <t>Расходы за счет субвенций из областного бюджета на обеспечение дополнительных мер социальной поддержки многодетных семей</t>
  </si>
  <si>
    <t>505 33 41</t>
  </si>
  <si>
    <t>Расходы за счет субвенции из областного бюджета на обеспечение мер социальной поддержки граждан, работающих  в сельских населенных пунктах и рабочих поселках Челябинской области</t>
  </si>
  <si>
    <t>505 33 53</t>
  </si>
  <si>
    <t>505 33 54</t>
  </si>
  <si>
    <t>Расходы за счет субвенции из областного бюджета на предоставление дополнительных мер социальной поддержки отдельным категориям граждан (Закон Челябинской области "О дополнительных мерах социальной защиты ветеранов в Челябинской области" ежемесячная денежная выплата на оплату жилья и коммунальных услуг единовременная денежная выплата на цели отопления)</t>
  </si>
  <si>
    <t>505 33 55</t>
  </si>
  <si>
    <t>Меры социальной поддержки граждан</t>
  </si>
  <si>
    <t>505 33 65</t>
  </si>
  <si>
    <t>Расходы за счет субвенции из областного бюджета на выплату единовременного пособия при рождении ребенка</t>
  </si>
  <si>
    <t>505 33 72</t>
  </si>
  <si>
    <t>Физкультурно-оздоровительная работа и спортивные мероприятия</t>
  </si>
  <si>
    <t>512 00 00</t>
  </si>
  <si>
    <t>512 97 00</t>
  </si>
  <si>
    <t>512 97 26</t>
  </si>
  <si>
    <t>520 00 00</t>
  </si>
  <si>
    <t>Ежемесячное денежное вознаграждение за классное руководство</t>
  </si>
  <si>
    <t>520 09 00</t>
  </si>
  <si>
    <t>Расходы за счет субвенции из областного бюджета на ежемесячное денежное вознаграждение за классное руководство</t>
  </si>
  <si>
    <t>520 09 43</t>
  </si>
  <si>
    <t>621</t>
  </si>
  <si>
    <t>Мероприятия в сфере образования</t>
  </si>
  <si>
    <t>022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</si>
  <si>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</si>
  <si>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</si>
  <si>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</si>
  <si>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</si>
  <si>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431 01 99</t>
  </si>
  <si>
    <t>Проведение мероприятий по работе с детьми и молодежью для организации и проведения летних полевых лагерей и проведения походов за счет субсидии из областного бюджета</t>
  </si>
  <si>
    <t>431 01 77</t>
  </si>
  <si>
    <t>431 99 00</t>
  </si>
  <si>
    <t xml:space="preserve">Мероприятия по проведению оздоровительной кампании детей </t>
  </si>
  <si>
    <t xml:space="preserve">Оздоровление детей </t>
  </si>
  <si>
    <t>432 02 00</t>
  </si>
  <si>
    <t>Организация отдыха детей в каникулярное время в загородных учреждениях, организующих отдых детей в каникулярное время за счет субсидии из областного бюджета</t>
  </si>
  <si>
    <t>521 01 39</t>
  </si>
  <si>
    <t>Мероприятия по работе с детьми и молодежью</t>
  </si>
  <si>
    <t>917</t>
  </si>
  <si>
    <t>Другие вопросы в области образования</t>
  </si>
  <si>
    <t>Бюджетные инвестиции в объекты капитального строительства собственности муниципальных образований</t>
  </si>
  <si>
    <t>Государственная поддержка в сфере образования</t>
  </si>
  <si>
    <t xml:space="preserve">Другие вопросы в области культуры, кинематографии </t>
  </si>
  <si>
    <t xml:space="preserve">Физкультурно-оздоровительная работа и спортивные  мероприятия </t>
  </si>
  <si>
    <t>Программа "Развитие физической культуры и спорта в Миасском городском округе в 2007-2010гг"</t>
  </si>
  <si>
    <t>795 00 35</t>
  </si>
  <si>
    <t>Областная целевая программа реализации Национального проекта "Здоровье" в Челябинской области</t>
  </si>
  <si>
    <t>522 18 00</t>
  </si>
  <si>
    <t xml:space="preserve">Нац.проект "Здоровье" на территории  Миасского городского округа на 2006-2010 гг. </t>
  </si>
  <si>
    <t>795 18 31</t>
  </si>
  <si>
    <t>13</t>
  </si>
  <si>
    <t>Обслуживание внутреннего государственного и муниципального долга</t>
  </si>
  <si>
    <t xml:space="preserve">Физическая культура </t>
  </si>
  <si>
    <t>Другие вопросы в области физической культуры и спорта</t>
  </si>
  <si>
    <t>Другие вопросы в области здравоохранения</t>
  </si>
  <si>
    <t>293</t>
  </si>
  <si>
    <t>470 99 68</t>
  </si>
  <si>
    <t>Амбулаторная помощь</t>
  </si>
  <si>
    <t>Поликлиники, амбулатории, диагностические центры</t>
  </si>
  <si>
    <t>471 00 00</t>
  </si>
  <si>
    <t>471 99 00</t>
  </si>
  <si>
    <t>905</t>
  </si>
  <si>
    <t>Фельдшерско-акушерские пункты</t>
  </si>
  <si>
    <t>478 00 00</t>
  </si>
  <si>
    <t xml:space="preserve">520 18 00 </t>
  </si>
  <si>
    <t>Медицинская помощь в дневных стационарах всех типов</t>
  </si>
  <si>
    <t>Больницы, клиники, госпитали, медико-санитарные части</t>
  </si>
  <si>
    <t>Скорая медицинская помощь</t>
  </si>
  <si>
    <t>Станции скорой и неотложной помощи</t>
  </si>
  <si>
    <t>477 00 00</t>
  </si>
  <si>
    <t>477 99 00</t>
  </si>
  <si>
    <t>Физическая культура и спорт</t>
  </si>
  <si>
    <t xml:space="preserve">Государственная регистрация актов гражданского состояния </t>
  </si>
  <si>
    <t>001 38 00</t>
  </si>
  <si>
    <t>Осуществление полномочий по подготовке проведения статистических переписей</t>
  </si>
  <si>
    <t>001 43 00</t>
  </si>
  <si>
    <t>Обеспечение деятельности подведомственных учреждений</t>
  </si>
  <si>
    <t>002 99 00</t>
  </si>
  <si>
    <t>Выполнение функций бюджетными учреждениями</t>
  </si>
  <si>
    <t>001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</si>
  <si>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</si>
  <si>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090 02 00</t>
  </si>
  <si>
    <t>092 03 00</t>
  </si>
  <si>
    <t>Бюджетные инвестиции в объекты капитального строительства, не включенные в целевые программы</t>
  </si>
  <si>
    <t>Субсидии на обеспечение жильем</t>
  </si>
  <si>
    <t>522 19 15</t>
  </si>
  <si>
    <t>501</t>
  </si>
  <si>
    <t>Подпрограмма "Предоставление работникам бюджетной сферы безвозмездных субсидий на приобретение или стр-во жилья"</t>
  </si>
  <si>
    <t>795 00 65</t>
  </si>
  <si>
    <t>068</t>
  </si>
  <si>
    <t>795 19 14</t>
  </si>
  <si>
    <t>Составление (изменение) списков кандидатов в присяжные заседатели  федеральных судов общей юрисдикции в Российской Федерации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</si>
  <si>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</si>
  <si>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</si>
  <si>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202 01 00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</si>
  <si>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</si>
  <si>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Финансовое управление Администрации Миасского городского округа </t>
  </si>
  <si>
    <t>284</t>
  </si>
  <si>
    <t>Управление социальной защиты населения Администрации Миасского городского округа</t>
  </si>
  <si>
    <t>285</t>
  </si>
  <si>
    <t>Расходы за счет субвенции из областного бюджета на обеспечение мер социальной поддержки граждан, имеющих звание "Ветерана труда Челябинской области" (ежеквартальные денежные выплаты на оплату проезда)</t>
  </si>
  <si>
    <t>Расходы за счет субвенции из областного бюджета на обеспечение мер социальной поддержки граждан, имеющих звание "Ветеран труда Челябинской области" (другие меры социальной поддержки граждан, имеющих звание "Ветеран труда Челябинской области"))</t>
  </si>
  <si>
    <t>286</t>
  </si>
  <si>
    <t>Управление внутренних дел по Миасскому городскому округу</t>
  </si>
  <si>
    <t>188</t>
  </si>
  <si>
    <t>288</t>
  </si>
  <si>
    <t>433 99 01</t>
  </si>
  <si>
    <t>Расходы на решение вопросов местного значения в сфере образования</t>
  </si>
  <si>
    <t>Областная целевая программа "Социальная поддержка инвалидов в Челябинской области" на 2007-2010 годы за счет субсидии из областного бюджета</t>
  </si>
  <si>
    <t>522 06 00</t>
  </si>
  <si>
    <t>Областная целевая Программа реализации национального проекта "Образование" в Челябинской области</t>
  </si>
  <si>
    <t>289</t>
  </si>
  <si>
    <t>290</t>
  </si>
  <si>
    <t xml:space="preserve">522 00 00 </t>
  </si>
  <si>
    <t>455</t>
  </si>
  <si>
    <t>ПО РАЗДЕЛАМ И ПОДРАЗДЕЛАМ, ЦЕЛЕВЫМ СТАТЬЯМ И ВИДАМ</t>
  </si>
  <si>
    <t>РАСХОДОВ КЛАССИФИКАЦИИ РАСХОДОВ БЮДЖЕТА</t>
  </si>
  <si>
    <t>МИАССКОГО ГОРОДСКОГО ОКРУГА</t>
  </si>
  <si>
    <t>Наименование</t>
  </si>
  <si>
    <t>Коды ведомственной классификации</t>
  </si>
  <si>
    <t>Сумма</t>
  </si>
  <si>
    <t xml:space="preserve">% </t>
  </si>
  <si>
    <t>ведомство</t>
  </si>
  <si>
    <t>раздел</t>
  </si>
  <si>
    <t>подраздел</t>
  </si>
  <si>
    <t>целевая статья</t>
  </si>
  <si>
    <t>505 36 00</t>
  </si>
  <si>
    <t>Расходы за счет субвенции из областного бюджета на обеспечение детей-сирот, детей, оставшихся без попечения родителей, лиц из числа детей, находящихся под опекой (попечительством), жилой площадью</t>
  </si>
  <si>
    <t>505 36 94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</si>
  <si>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</si>
  <si>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505 45 00</t>
  </si>
  <si>
    <t>Оплата жилищно-коммунальных услуг отдельным категориям граждан</t>
  </si>
  <si>
    <t>505 46 00</t>
  </si>
  <si>
    <t>Расходы за счет субвенции из областного бюджета на предоставление гражданам субсидий на оплату жилого помещения и коммунальных услуг</t>
  </si>
  <si>
    <t>505 48 00</t>
  </si>
  <si>
    <t>Капитальный ремонт государственного жилищного фонда субъектов Российской Федерации и муниципального жилищного фонда</t>
  </si>
  <si>
    <t xml:space="preserve">04 </t>
  </si>
  <si>
    <t>Реализация мер социальной поддержки отдельных категорий граждан</t>
  </si>
  <si>
    <t>505 55 00</t>
  </si>
  <si>
    <t>Расходы за счет субвенций из областного бюджета на государственную поддержку в сфере образования</t>
  </si>
  <si>
    <t>436 01 73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</si>
  <si>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</si>
  <si>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452 00 00</t>
  </si>
  <si>
    <t>452 99 00</t>
  </si>
  <si>
    <t>452 99 08</t>
  </si>
  <si>
    <t>452 99 68</t>
  </si>
  <si>
    <t>"Областная целевая программа "Развитие физической культуры и спорта в Челябинской области на 2009-2011 годы" за счет субсидии из областного бюджета</t>
  </si>
  <si>
    <t>522 08 00</t>
  </si>
  <si>
    <t>Областная целевая программа противодействия злоупотреблению наркотическими средствами и психотропными веществами и их незаконному обороту в Челябинской области на 2007-2009 годы за счет субсидий из областного бюджета</t>
  </si>
  <si>
    <t>522 09 00</t>
  </si>
  <si>
    <t>079</t>
  </si>
  <si>
    <t>522 16 00</t>
  </si>
  <si>
    <t>436 01 00</t>
  </si>
  <si>
    <t>Программа "Безопасность образовательного учреждения МГО на 2010-2012" Ремонт и противопожарные мероприятия в образовательных учреждениях муниципальных образований за счет средств местного бюджета</t>
  </si>
  <si>
    <t>Расходы за счет субвенции из областного бюджета на обеспечение мер социальной поддержки реабилитированных лиц и лиц, признанных пострадавшими от политических репрессий (Закон Челябинской области "О мерах социальной поддержки жертв политических репрессий в Челябинской области")</t>
  </si>
  <si>
    <t xml:space="preserve">Закупка для государственных нужд техники,
производимой на территории Российской Федерации
</t>
  </si>
  <si>
    <t>340 07 00</t>
  </si>
  <si>
    <t xml:space="preserve">Закупка автотранспортных средств
и коммунальной техники
</t>
  </si>
  <si>
    <t>340 07 02</t>
  </si>
  <si>
    <t xml:space="preserve">Поддержка коммунального хозяйства 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</si>
  <si>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</si>
  <si>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351 02 00</t>
  </si>
  <si>
    <t>Продовольственное обеспечение вне рамок государственного оборонного заказа</t>
  </si>
  <si>
    <t>202 71 02</t>
  </si>
  <si>
    <t>Вещевое обеспечение</t>
  </si>
  <si>
    <t xml:space="preserve">03 </t>
  </si>
  <si>
    <t>202 72 00</t>
  </si>
  <si>
    <t>Вещевое обеспечение вне рамок государственного оборонного заказа</t>
  </si>
  <si>
    <t>202 72 02</t>
  </si>
  <si>
    <t>Компенсация стоимости вещевого имущества</t>
  </si>
  <si>
    <t>202 72 03</t>
  </si>
  <si>
    <t>Пособия и компенсации военнослужащим, приравненным к ним лицам, а так же уволенным из их числа</t>
  </si>
  <si>
    <t>202 76 00</t>
  </si>
  <si>
    <t>Социальные выплаты</t>
  </si>
  <si>
    <t>005</t>
  </si>
  <si>
    <t xml:space="preserve">795 00 00 </t>
  </si>
  <si>
    <t>795 00 64</t>
  </si>
  <si>
    <t>Целевая "Программа энергосбережения и повышения энергетической эффективности бюджетных организаций Миасского городского округа на 2010-2015 годы"</t>
  </si>
  <si>
    <t>795 00 27</t>
  </si>
  <si>
    <t>Реализация НП "Образование" в Челябинской области</t>
  </si>
  <si>
    <t xml:space="preserve">07 </t>
  </si>
  <si>
    <t>Муниципальная целевая программа "противопожарные мероприятия на 2008-2009гг.в УВД по Миасскому городскому округу"</t>
  </si>
  <si>
    <t xml:space="preserve">795 00 63 </t>
  </si>
  <si>
    <t>Защита населения и территории от последствий  чрезвычайных ситуаций природного и техногенного характера гражданская оборона</t>
  </si>
  <si>
    <t>09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</si>
  <si>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</si>
  <si>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</si>
  <si>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</si>
  <si>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</si>
  <si>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Муниципальная целевая программа "Развитие физической культуры и спорта в Миасском городском округе на 2012-2015 годы"</t>
  </si>
  <si>
    <t>Муниципальная целевая программа "Предоставление субсидий работникам бюджетной сферы на предоставление жилья "Эконом класс"</t>
  </si>
  <si>
    <t>795 00 72</t>
  </si>
  <si>
    <t>470 82 30</t>
  </si>
  <si>
    <t>Финансовое обеспечение государственного задания на оказание государственных услуг (выполнение работ)</t>
  </si>
  <si>
    <t>471 82 00</t>
  </si>
  <si>
    <t>471 82 30</t>
  </si>
  <si>
    <t xml:space="preserve">471 82 30 </t>
  </si>
  <si>
    <t>478 82 30</t>
  </si>
  <si>
    <t>МКУ МГО "Образование"</t>
  </si>
  <si>
    <t>МКУ "Управление культуры" МГО</t>
  </si>
  <si>
    <t>МКУ "Управление здравоохранения" МГО</t>
  </si>
  <si>
    <t>Управление ЖКХ, энергетики и транспорта Администрации МГО</t>
  </si>
  <si>
    <t xml:space="preserve">НП "Образование" в МГО на 2009-2012гг. </t>
  </si>
  <si>
    <t>Мероприятия по поддержке и развитию культуры, искусства, кинематографии средств массовой информации и архивного дела</t>
  </si>
  <si>
    <t>023</t>
  </si>
  <si>
    <t>795 00 52</t>
  </si>
  <si>
    <t>Программа "Культура. Искусство. Творчество." на 2010-2012гг.</t>
  </si>
  <si>
    <t>795 00 53</t>
  </si>
  <si>
    <t>Проведение детей для детей и молодежи</t>
  </si>
  <si>
    <t>Целевая Программа "Капитальное строительство на территории Миасского городского округа на 2012-2014 годы"</t>
  </si>
  <si>
    <t>ЦП "Капитальное строительство на территории Миасского городского округа на 2012-2014 годы"</t>
  </si>
  <si>
    <t>Расходы на проведение ремонтных работ, строительных работ и работ по благоустройству с привлечением студенческих отрядов</t>
  </si>
  <si>
    <t>907</t>
  </si>
  <si>
    <t>Приобретение продуктов питания для детей в организованных органами местного самоуправления лагерях с дневным пребыванием детей и организацией двух-или трехразового питания за счет субсидий из областного бюджета</t>
  </si>
  <si>
    <t>421 99 75</t>
  </si>
  <si>
    <t>Организация отдыха детей в каникулярное время</t>
  </si>
  <si>
    <t>911</t>
  </si>
  <si>
    <t>Обеспечение деятельности школ-детских садов, школ начальных, неполных средних за счет субвенций местным бюджетам на обеспечение гарантий прав граждан в сфере образования</t>
  </si>
  <si>
    <t>421 99 88</t>
  </si>
  <si>
    <t>Учреждения по внешкольной работе с детьми</t>
  </si>
  <si>
    <t xml:space="preserve">423 00 00 </t>
  </si>
  <si>
    <t>423 99 00</t>
  </si>
  <si>
    <t>Ремонт и противопожарные мероприятия в учреждениях физической культуры и спорта муниципальных образований за счет субсидий из областного бюджета</t>
  </si>
  <si>
    <t>900</t>
  </si>
  <si>
    <t>423 99 01</t>
  </si>
  <si>
    <t>423 99 68</t>
  </si>
  <si>
    <t>Детские дома</t>
  </si>
  <si>
    <t>424 00 00</t>
  </si>
  <si>
    <t>424 99 00</t>
  </si>
  <si>
    <t>424  99 00</t>
  </si>
  <si>
    <t>424 99 70</t>
  </si>
  <si>
    <t>Здравоохранение</t>
  </si>
  <si>
    <t>Мероприятия в области здравоохранения</t>
  </si>
  <si>
    <t>Культура, кинематография</t>
  </si>
  <si>
    <t>424 99 75</t>
  </si>
  <si>
    <t xml:space="preserve">Специальные (коррекционные) учреждения </t>
  </si>
  <si>
    <t>433 00 00</t>
  </si>
  <si>
    <t>433 99 00</t>
  </si>
  <si>
    <t>433 99 70</t>
  </si>
  <si>
    <t>433 99 82</t>
  </si>
  <si>
    <t>Мероприятия в области образования</t>
  </si>
  <si>
    <t>436 00 00</t>
  </si>
  <si>
    <t xml:space="preserve">                     на празднование 235-летия Миасса</t>
  </si>
  <si>
    <t>Общеэкономические вопросы</t>
  </si>
  <si>
    <t>Иные безвозмездные и безвозвратные перечисления</t>
  </si>
  <si>
    <t xml:space="preserve">520 00 00 </t>
  </si>
  <si>
    <t>Организация общественных работ</t>
  </si>
  <si>
    <t>Дошкольное образование</t>
  </si>
  <si>
    <t>Детские дошкольные учреждения</t>
  </si>
  <si>
    <t>420 00 00</t>
  </si>
  <si>
    <t>420 99 00</t>
  </si>
  <si>
    <t>Ремонт и противопожарные мероприятия в учреждениях образования муниципальных образований за счет субсидий из областного бюджета</t>
  </si>
  <si>
    <t>901</t>
  </si>
  <si>
    <t>420 99 01</t>
  </si>
  <si>
    <t>Реализация национального проекта "Образование" в Челябинской области</t>
  </si>
  <si>
    <t>908</t>
  </si>
  <si>
    <t xml:space="preserve">Обеспечение продуктами питания учреждений социальной сферы муниципальных образований </t>
  </si>
  <si>
    <t>420 99 62</t>
  </si>
  <si>
    <t>Организация воспитания и обучения детей-инвалидов на дому и в дошкольных учреждениях</t>
  </si>
  <si>
    <t>420 99 67</t>
  </si>
  <si>
    <t>Детские дошкольные учреждения за счет субсидий из областного бюджета</t>
  </si>
  <si>
    <t>420 99 71</t>
  </si>
  <si>
    <t>Областная целевая программа "Развитие дошкольного образования в Челябинской области" на 2006-2010 гг. за счет субсидий из областного бюджета</t>
  </si>
  <si>
    <t>522 15 00</t>
  </si>
  <si>
    <t>Общее образование</t>
  </si>
  <si>
    <t>Резервный фонд Президента Российской Федерации</t>
  </si>
  <si>
    <t>070 02 00</t>
  </si>
  <si>
    <t>Школы-детские сады, школы начальные, неполные средние и средние</t>
  </si>
  <si>
    <t>421 00 00</t>
  </si>
  <si>
    <t>421 99 00</t>
  </si>
  <si>
    <t>Обеспечение продуктами питания учреждений социальной сферы муниципальных образований из областного фонда продовольствия</t>
  </si>
  <si>
    <t>904</t>
  </si>
  <si>
    <t>421 99 01</t>
  </si>
  <si>
    <t>Мероприятия в области здравоохранения, спорта и физической культуры, туризма</t>
  </si>
  <si>
    <t>421 99 02</t>
  </si>
  <si>
    <t>795 00 67</t>
  </si>
  <si>
    <t>795 00 32</t>
  </si>
  <si>
    <t>795 00 33</t>
  </si>
  <si>
    <t>Целевая программа "Улучшение качества жизни больных бронхиальной астмой" на 2006-2010 годы</t>
  </si>
  <si>
    <t>Программа "Профилактика противодействия незаконному обороту и употреблению наркотических средств"</t>
  </si>
  <si>
    <t>795 00 41</t>
  </si>
  <si>
    <t>795 00 42</t>
  </si>
  <si>
    <t>Программа "Безопасность образовательного учреждения МГО на 2010-2012 " Ремонт и противопожарные мероприятия в образовательных учреждениях муниципальных образований за счет средств местного бюджета</t>
  </si>
  <si>
    <t>795 00 43</t>
  </si>
  <si>
    <t>Муниципальная целевая программа временной трудовой занятости молодежи "Трудовое лето 2010"</t>
  </si>
  <si>
    <t>795 00 66</t>
  </si>
  <si>
    <t>795 17 44</t>
  </si>
  <si>
    <t xml:space="preserve">Культура </t>
  </si>
  <si>
    <t>795 00 77</t>
  </si>
  <si>
    <t>Муниципальная целевая программа "Организация временной трудовой занятости несовершеннолетних граждан Миасского городского округа на 2012-2013 годы"</t>
  </si>
  <si>
    <t>Ремонт и противопожарные мероприятия в учреждениях культуры муниципальных образований за счет субсидий из областного бюджета</t>
  </si>
  <si>
    <t>902</t>
  </si>
  <si>
    <t>440 99 68</t>
  </si>
  <si>
    <t>Музей и постоянные выставки</t>
  </si>
  <si>
    <t>441 00 00</t>
  </si>
  <si>
    <t>441 99 00</t>
  </si>
  <si>
    <t>441 99 68</t>
  </si>
  <si>
    <t>Библиотеки</t>
  </si>
  <si>
    <t>442 00 00</t>
  </si>
  <si>
    <t>442 99 00</t>
  </si>
  <si>
    <t>442 99 68</t>
  </si>
  <si>
    <t>442 99 70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</si>
  <si>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</si>
  <si>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450 06 03</t>
  </si>
  <si>
    <t>Другие вопросы в области культуры, кинематографии и средств массовой информации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</si>
  <si>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</si>
  <si>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002 04 97</t>
  </si>
  <si>
    <t>Глава местной администрации (исполнительно-распорядительного органа муниципального образования)</t>
  </si>
  <si>
    <t>002 08 00</t>
  </si>
  <si>
    <t>Резервные фонды местных администраций</t>
  </si>
  <si>
    <t>070 05 00</t>
  </si>
  <si>
    <t xml:space="preserve">00 140 00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</si>
  <si>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</si>
  <si>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</si>
  <si>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Организация работы финансовых органов муниципальных образований за счет субсидий из областного бюджета</t>
  </si>
  <si>
    <t>002 04 60</t>
  </si>
  <si>
    <t>Руководитель контрольно-счетной палаты муниципального образования и его заместители</t>
  </si>
  <si>
    <t>002 25 00</t>
  </si>
  <si>
    <t>Обеспечение проведения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</si>
  <si>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</si>
  <si>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</si>
  <si>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</si>
  <si>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Обслуживание государственного и муниципального долга</t>
  </si>
  <si>
    <t>Процентные платежи по долговым обязательствам</t>
  </si>
  <si>
    <t>065 00 00</t>
  </si>
  <si>
    <t>Процентные платежи по муниципальному долгу</t>
  </si>
  <si>
    <t>065 03 00</t>
  </si>
  <si>
    <t>Прочие расходы</t>
  </si>
  <si>
    <t>013</t>
  </si>
  <si>
    <t>Резервные фонды</t>
  </si>
  <si>
    <t>12</t>
  </si>
  <si>
    <t>070 00 00</t>
  </si>
  <si>
    <t xml:space="preserve">Прочие расходы </t>
  </si>
  <si>
    <t>14</t>
  </si>
  <si>
    <t>Руководство и управление в сфере установленных функций</t>
  </si>
  <si>
    <t>001 00 00</t>
  </si>
  <si>
    <t>795 00 30</t>
  </si>
  <si>
    <t>Муниципальная целевая программа "Содержание, ремонт и реконструкция спортивных сооружений Миасского городского округа в 2012-2015 гг"</t>
  </si>
  <si>
    <t>795 00 74</t>
  </si>
  <si>
    <t>440 82 23</t>
  </si>
  <si>
    <t>Субсидии бюджетным и автономным учреждениям на приобретение оборудования</t>
  </si>
  <si>
    <t>440 82 20</t>
  </si>
  <si>
    <t>440 82 22</t>
  </si>
  <si>
    <t>317 00 00</t>
  </si>
  <si>
    <t>Отдельные мероприятия по другим видам транспорта</t>
  </si>
  <si>
    <t>366</t>
  </si>
  <si>
    <t>Другие вопросы в области национальной экономики</t>
  </si>
  <si>
    <t>11</t>
  </si>
  <si>
    <t>Реализация государственных функций в области национальной экономики</t>
  </si>
  <si>
    <t>340 00 00</t>
  </si>
  <si>
    <t>505 55 10</t>
  </si>
  <si>
    <t>505 55 23</t>
  </si>
  <si>
    <t>505 55 24</t>
  </si>
  <si>
    <t>Расходы за счет субвенции из областного бюджета на обеспечение мер социальной поддержки реабилитированных лиц и лиц, признанных пострадавшими от политических репрессий</t>
  </si>
  <si>
    <t>505 55 30</t>
  </si>
  <si>
    <t>350 03 00</t>
  </si>
  <si>
    <t>Мероприятия в области жилищного хозяйства</t>
  </si>
  <si>
    <t xml:space="preserve">795 00 22 </t>
  </si>
  <si>
    <t>505 55 25</t>
  </si>
  <si>
    <t>505 55 33</t>
  </si>
  <si>
    <t>505 55 34</t>
  </si>
  <si>
    <t>505 99 72</t>
  </si>
  <si>
    <t>406</t>
  </si>
  <si>
    <t>Непрограмные инвестиции в основные фонды</t>
  </si>
  <si>
    <t>102 00 00</t>
  </si>
  <si>
    <t>Строительство объектов общегражданского назначения</t>
  </si>
  <si>
    <t>214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</si>
  <si>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городских и пригородных (садовых) маршрутов за счет средств областного бюджета</t>
  </si>
  <si>
    <t>303 02 72</t>
  </si>
  <si>
    <t>317 01 00</t>
  </si>
  <si>
    <t>Финансирование расходов на организацию транспортного обслуживания населения  муниципальных образований в части приобретения подвижного состава за счет субсидии из областного бюджета</t>
  </si>
  <si>
    <t>317 01 12</t>
  </si>
  <si>
    <t>Мероприятия в области строительства, архитектуры и градостроительства</t>
  </si>
  <si>
    <t>338 00 00</t>
  </si>
  <si>
    <t>Мероприятия по землеустройству и землепользованию</t>
  </si>
  <si>
    <t>340 03 00</t>
  </si>
  <si>
    <t>795 00 03</t>
  </si>
  <si>
    <t>795 19 12</t>
  </si>
  <si>
    <t>Жилищно-коммунальное хозяйство</t>
  </si>
  <si>
    <t>Жилищное хозяйство</t>
  </si>
  <si>
    <t xml:space="preserve">Обеспечение мероприятий по капитальному ремонту многоквартирных домов и переселению граждан из аварийного жилищного фонда </t>
  </si>
  <si>
    <t>098 00 00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</si>
  <si>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 </t>
  </si>
  <si>
    <t>098 01 00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</si>
  <si>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</si>
  <si>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>098 02 00</t>
  </si>
  <si>
    <t xml:space="preserve">Обеспечение мероприятий по капитальному ремонту многоквартирных домов за счет средств бюджетов </t>
  </si>
  <si>
    <t>098 02 01</t>
  </si>
  <si>
    <t>Субсидии юридическим лицам на капитальный ремонт многоквартирных домов</t>
  </si>
  <si>
    <t>910</t>
  </si>
  <si>
    <t>Обеспечение мероприятий по переселению граждан из аварийного жилищного фонда за счет средств бюджетов</t>
  </si>
  <si>
    <t>098 02 02</t>
  </si>
  <si>
    <t>Комплексная программа профилактики правонарушений и усиления борьбы с преступностью на территории МГО на 2010-2011гг.</t>
  </si>
  <si>
    <t xml:space="preserve">Национальный проект "Доступное и комфортное жилье - гражданам России" на территории МГО </t>
  </si>
  <si>
    <t>Мероприятия по переселению граждан из аварийного жилищного фонда</t>
  </si>
  <si>
    <t>912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</si>
  <si>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</si>
  <si>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098 02 04</t>
  </si>
  <si>
    <t xml:space="preserve">Поддержка жилищного хозяйства </t>
  </si>
  <si>
    <t>350 00 00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</si>
  <si>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</si>
  <si>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350 01 00</t>
  </si>
  <si>
    <t>Капитальный ремонт государственного жилищного фонда субъектов РФ и муниципального жилищного фонда</t>
  </si>
  <si>
    <t>350 02 00</t>
  </si>
  <si>
    <t>Областная целевая программа профилактики правонарушений и усилия борьбы с преступностью в Челябинской области на 2006-2008 годы"</t>
  </si>
  <si>
    <t>522 12 00</t>
  </si>
  <si>
    <t>Областная целевая программа по реализации национального проекта "Доступное и комфортное жилье - гражданам России" в Челябинской обл.</t>
  </si>
  <si>
    <t>522 19 00</t>
  </si>
  <si>
    <t>Подпрограмма "Мероприятия по переселению граждан из жилищного фонда, признанного непригодным для проживания"</t>
  </si>
  <si>
    <t>522 19 13</t>
  </si>
  <si>
    <t>Проведение капитального ремонта многоквартирных домов</t>
  </si>
  <si>
    <t>522 19 16</t>
  </si>
  <si>
    <t xml:space="preserve">ОАП "Капитальный ремонт многоквартирных домов в Челябинской области на 2008-2011 гг. </t>
  </si>
  <si>
    <t>522 21 00</t>
  </si>
  <si>
    <t>вид расходов</t>
  </si>
  <si>
    <t>исполнения (%)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</si>
  <si>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</si>
  <si>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</si>
  <si>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</si>
  <si>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</si>
  <si>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Субсидии бюджетным и автономным учреждениям на текущий ремонт здания</t>
  </si>
  <si>
    <t>423 82 22</t>
  </si>
  <si>
    <t>441 82 22</t>
  </si>
  <si>
    <t>795 00 78</t>
  </si>
  <si>
    <t>421 82 22</t>
  </si>
  <si>
    <t>Закон Челябинской области "О дополнительных мерах социальной защиты ветеранов в Челябинской области" (ежемесячная денежная выплата)</t>
  </si>
  <si>
    <t>505 02 13</t>
  </si>
  <si>
    <t>Закон Челябинской области "О звании "Ветеран труда Челябинской области"" (ежемесячная денежная выплата)</t>
  </si>
  <si>
    <t>505 33 30</t>
  </si>
  <si>
    <t>505 55 22</t>
  </si>
  <si>
    <t>505 55 32</t>
  </si>
  <si>
    <t>Отдельные мероприятия в других видах транспорта</t>
  </si>
  <si>
    <t>317 02 00</t>
  </si>
  <si>
    <t>НА 2013 ГОД</t>
  </si>
  <si>
    <t>на 2013 год                 (тыс. руб.)</t>
  </si>
  <si>
    <t>РАСПРЕДЕЛЕНИЕ БЮДЖЕТНЫХ АССИГНОВАНИЙ НА 2013 ГОД</t>
  </si>
  <si>
    <t>на 2013 год  (тыс. руб.)</t>
  </si>
  <si>
    <t>Муниципальная целевая программа "Программа развития образования на 2013-2015"</t>
  </si>
  <si>
    <t>Муниципальная целевая программа повышения безопасности дорожного движения пешеходов на территории Миасского городского округа на 2011-2013гг.</t>
  </si>
  <si>
    <t>Программа по совершенствованию организации дорожного движения пешеходов на территории Миасского городского округа на 2013-2015 год</t>
  </si>
  <si>
    <t>795 00 46</t>
  </si>
  <si>
    <t>505 21 04</t>
  </si>
  <si>
    <t>Обеспечение предоставления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</si>
  <si>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Расходы за счет субвенций из областного бюджета на социальную поддержку детей-сирот и детей, оставшихся без попечения родителей, находящихся в муниципальных образовательных учреждениях для детей-сирот и детей, оставшихся без попечения родителей</t>
  </si>
  <si>
    <t>Ежемесячное пособие по уходу за ребенком в возрасте от полутора до трех лет (Закон Челябинской области "О ежемесячном пособии по уходу за ребенком в возрасте от полутора до трех лет")</t>
  </si>
  <si>
    <t>505 55 08</t>
  </si>
  <si>
    <t>Ежемесячное пособие на ребенка (Закон Челябинской области "О ежемесячном пособи на ребенка")</t>
  </si>
  <si>
    <t>Расходы за счет субвенции из областного бюджета на обеспечение мер социальной поддержки ветеранов труда и тружеников тыла по Закону Челябинской области "О мерах социальной поддержки ветеранов Челябинской области" (ежемесячная денежная выплата)</t>
  </si>
  <si>
    <t>Расходы за счет субвенции из областного бюджета на обеспечение мер социальной поддержки реабилитированных лиц и лиц, признанных пострадавшими от политических репрессий по Закону Челябинской области "О мерах социальной поддержки жертв политических репрессий в Челябинской области (ежемесячная денежная выплата)</t>
  </si>
  <si>
    <t>Расходы за счет субвенции из областного бюджета на обеспечение мер социальной поддержки реабилитированных лиц и лиц, признанных пострадавшими от политических репрессий по Закону Челябинской области "О мерах социальной поддержки жертв политических репрессий в Челябинской области (компенсация расходов на оплату жилых помещений и коммунальных услуг)</t>
  </si>
  <si>
    <t>Расходы за счет субвенции из областного бюджета на обеспечение мер социальной поддержки граждан, имеющих звание "Ветерана труда Челябинской области" (ежемесячная денежная выплата)</t>
  </si>
  <si>
    <t>505 55 40</t>
  </si>
  <si>
    <t>Расходы за счет субвенции из областного бюджета на обеспечение дополнительных мер социальной защиты ветеранов в Челябинской области по Закону Челябинской области "О дополнительных мерах социальной защиты ветеранов в Челябинской области" (компенсация расходов на оплату жилых помещений и коммунальных услуг)</t>
  </si>
  <si>
    <t>505 55 51</t>
  </si>
  <si>
    <t>Расходы за счет субвенции из областного бюджета на обеспечение дополнительных мер социальной защиты ветеранов в Челябинской области "О дополнительных мерах социальной защиты ветеранов в челябинской области" (компенсационные выплаты за пользование услугами связи)</t>
  </si>
  <si>
    <t>505 55 53</t>
  </si>
  <si>
    <t>Расходы за счет субвенции из областного бюджета на обеспечение мер социальной поддержки граждан, работающих и проживающих в сельских населенных пунктах и рабочих поселках Челябинской области</t>
  </si>
  <si>
    <t>505 55 60</t>
  </si>
  <si>
    <t>Расходы за счет субвенции из областного бюджета на выплату областного единовременного пособия при рождении ребенка</t>
  </si>
  <si>
    <t>505 55 70</t>
  </si>
  <si>
    <t xml:space="preserve">Расходы за счет субвенции из областного бюджета на возмещение стоимости услуг по погребению и выплату социального пособия на погребение </t>
  </si>
  <si>
    <t>505 55 80</t>
  </si>
  <si>
    <t>Расходы за счет субвенции из областного бюджета на ежемесячную денежную выплату на оплату жилья и коммунальных услуг многодетной семье</t>
  </si>
  <si>
    <t>505 55 90</t>
  </si>
  <si>
    <t>Содержание ребенка в семье опекуна и приемной семье, а также вознаграждение, причитающееся приемному родителю</t>
  </si>
  <si>
    <t>Вознаграждение, причитающееся приемному родителю</t>
  </si>
  <si>
    <t>Содержание ребенка в семье опекуна</t>
  </si>
  <si>
    <t>520 13 76</t>
  </si>
  <si>
    <t>Расходы за счет субвенции из областного бюджета на обеспечение мер социальной поддержки ветеранов труда и тружеников тыла по Закону Челябинской области "О мерах социальной поддержки ветеранов Челябинской области" (компенсация расходов на оплату жилых помещений и коммунальных услуг)</t>
  </si>
  <si>
    <t>Муниципальная целевая программа  "Пожарная безопасность учреждений здравоохранения Миасского городского округа на 2010-2014гг."</t>
  </si>
  <si>
    <t>Муниципальная целевая программа "Профилактика клещевого энцефалита в Миасском городском округе на 2010-2013г.г."</t>
  </si>
  <si>
    <t>Муниципальная целевая программа "Молодежь Миасса на 2012-2016гг."</t>
  </si>
  <si>
    <t>Программа развития образования на 2013-2015гг.</t>
  </si>
  <si>
    <t xml:space="preserve">Муниципальная целевая программа "Безопасность учреждений культуры" на 2013-2015 годы </t>
  </si>
  <si>
    <t>Программа "Культура. Искусство. Творчество." на 2013-2015гг.</t>
  </si>
  <si>
    <t>Муниципальная целевая программа "Профилактика клещевого энцефалита в Миасском городском округе на 2010-2013 г.г."</t>
  </si>
  <si>
    <t>Муниципальная целевая программа "Поддержка и развитие предприятий жилищно-коммунального комплекса на территории Миасского городского округа в 2013 году"</t>
  </si>
  <si>
    <t>Целевая "Программа энергосбережения и повышения энергетической эффективности бюджетных организаций Миасского городского округа на 2010-2020 годы"</t>
  </si>
  <si>
    <t>471 82 23</t>
  </si>
  <si>
    <t>Программа поддержки и развития малого и среднего предпринимательства  Миасского городского округа на 2011-2015гг.</t>
  </si>
  <si>
    <t>Программа "Экология  Миасского городского округа"  2010-2015гг.</t>
  </si>
  <si>
    <t>Предоставление социальных выплат на приобретение или строительство жилья</t>
  </si>
  <si>
    <t>795 19 10</t>
  </si>
  <si>
    <t>Транспортное обеспечение органов местного самоуправления</t>
  </si>
  <si>
    <t>091 01 02</t>
  </si>
  <si>
    <t>Эксплуатация оборудования, помещений, зданий органами местного самоуправления</t>
  </si>
  <si>
    <t>091 02 02</t>
  </si>
  <si>
    <t>Муниципальное казенное учреждение "Управление по физической культуре, спорту, туризму"</t>
  </si>
  <si>
    <t>Реализация государственных функций в области физической культуры и спорта</t>
  </si>
  <si>
    <t>487 00 00</t>
  </si>
  <si>
    <t>Муниципальная целевая программа "молодежь Миасса на 2012-2013 годы"</t>
  </si>
  <si>
    <t>Целевая "Программа энергосбережения и повышения энергетической эффективности бюджетных организаций Миасского городского округа на 2011-2020 годы"</t>
  </si>
  <si>
    <t>Национальный проект "Доступное и комфортное жилье - гражданам России" на территории МГО на 2011-2015 гг.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</si>
  <si>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</si>
  <si>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795 00 79</t>
  </si>
  <si>
    <t>441 82 24</t>
  </si>
  <si>
    <t>477 82 00</t>
  </si>
  <si>
    <t>477 82 30</t>
  </si>
  <si>
    <t xml:space="preserve">477 82 30 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</si>
  <si>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</si>
  <si>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Субсидии в виде имущественного взноса в Федеральный фонд содействия развитию жилищного строительства</t>
  </si>
  <si>
    <t>Субсидии в виде имущественного взноса в Федеральный фонд содействия развитию жилищного строительства для уплаты земельного налога</t>
  </si>
  <si>
    <t>Содействие развитию жилищного строительства</t>
  </si>
  <si>
    <t>Закупка для государственных нужд техники, производимой на территории Российской Федерации</t>
  </si>
  <si>
    <t>Закупка автотранспортных средств и коммунальной техники</t>
  </si>
  <si>
    <t>Целевой финансовый резерв для предупреждения и ликвидации чрезвычайных ситуаций</t>
  </si>
  <si>
    <t>218 01 50</t>
  </si>
  <si>
    <t>Мероприятия по гражданской обороне</t>
  </si>
  <si>
    <t>219 00 00</t>
  </si>
  <si>
    <t>Подготовка населения и организаций к действиям в чрезвычайной ситуации в мирное и военное время</t>
  </si>
  <si>
    <t>219 01 00</t>
  </si>
  <si>
    <t>247 00 00</t>
  </si>
  <si>
    <t>247 99 00</t>
  </si>
  <si>
    <t>Региональные целевые программы</t>
  </si>
  <si>
    <t>522 00 00</t>
  </si>
  <si>
    <t>Областная целевая программа "Снижение рисков и смягчение последствий чрезвычайных ситуаций природного и техногенного характера в Челябинской области на 2007-2010гг" за счет субсидий из областного бюджета</t>
  </si>
  <si>
    <t>522 13 00</t>
  </si>
  <si>
    <t xml:space="preserve">Областная целевая программа "Снижение рисков и смягчение последствий чрезвычайных ситуаций природного и техногенного характера в Челябинской области на 2007-2010гг" </t>
  </si>
  <si>
    <t>923</t>
  </si>
  <si>
    <t>Другие вопросы в области национальной безопасности и правоохранительной деятельности</t>
  </si>
  <si>
    <t>ОЦП "Снижение рисков и смягчение последствий чрезвычайных ситуаций природного и техногенного характера в Челябинской области</t>
  </si>
  <si>
    <t>10</t>
  </si>
  <si>
    <t>Отдельные мероприятия в области автомобильного транспорта</t>
  </si>
  <si>
    <t>303 02 00</t>
  </si>
  <si>
    <t>Субсидии юридическим лицам</t>
  </si>
  <si>
    <t>006</t>
  </si>
  <si>
    <t>Резервные фонды органов местного самоуправления</t>
  </si>
  <si>
    <t>184</t>
  </si>
  <si>
    <t>795 00 28</t>
  </si>
  <si>
    <t>Программа "Чистая вода на территории Миасского городского округа на 2010-2020гг."</t>
  </si>
  <si>
    <t>795 00 29</t>
  </si>
  <si>
    <t>Муниципальная целевая программа "Обеспечение безопасности гидротехнических сооружений на территории Миасского городского округа на 2011-2015 годы"</t>
  </si>
  <si>
    <t>338 82 00</t>
  </si>
  <si>
    <t>338 82 10</t>
  </si>
  <si>
    <t>Предоставление субсидий бюджетным и автономным учреждениям</t>
  </si>
  <si>
    <t>Субсидии бюджетным и автономным учреждениям на финансовое обеспечение муниципального задания на оказание муниципальных услуг (выполнение работ)</t>
  </si>
  <si>
    <t>Субсидии бюджетным и автономным учреждениям на финансовое обеспечение государственного задания на оказание государственных услуг (выполнение работ)</t>
  </si>
  <si>
    <t>Расходы за счет субвенций из областного бюджета на содержание учреждений социального обслуживания населения</t>
  </si>
  <si>
    <t>507 99 00</t>
  </si>
  <si>
    <t>Расходы за счет бюджета округа на содержание учреждений социального обслуживания населения</t>
  </si>
  <si>
    <t>507 99 01</t>
  </si>
  <si>
    <t>508 00 00</t>
  </si>
  <si>
    <t>508 99 00</t>
  </si>
  <si>
    <t>Расходы за счет субвенции из областного бюджета на содержание учреждений социального обслуживания населения</t>
  </si>
  <si>
    <t>508 99 80</t>
  </si>
  <si>
    <t>Социальное обеспечение населения</t>
  </si>
  <si>
    <t>Социальная помощь</t>
  </si>
  <si>
    <t>505 00 00</t>
  </si>
  <si>
    <t>Расходы за счет субвенции из областного бюджета на обеспечение мер социальной поддержки граждан, работающих в сельских населенных пунктах и рабочих поселках Челябинской области</t>
  </si>
  <si>
    <t>505 00 53</t>
  </si>
  <si>
    <t>Расходы за счет субвенции из областного бюджета на предоставление дополнительных мер социальной поддержки отдельным категориям граждан</t>
  </si>
  <si>
    <t>505  00 54</t>
  </si>
  <si>
    <t>Расходы за счет субвенций из областного бюджета на обеспечение мер социальной поддержки граждан, имеющих звание "Ветеран труда Челябинской области"</t>
  </si>
  <si>
    <t>505 00 60</t>
  </si>
  <si>
    <t>Обеспечение социальных выплат, установленных Уставом Миасского городского округа, решениями Собрания депутатов Миасского городского округа, Законами Челябинской области</t>
  </si>
  <si>
    <t>505 00 81</t>
  </si>
  <si>
    <t>Расходы за счет субвенций из областного бюджета на предоставление дополнительных мер социальной поддержки отдельным категориям граждан (Закон Челябинской области "О дополнительных мерах социальной защиты ветеранов в Челябинской области", ежемесячная денежная выплата на оплату жилья и коммунальных услуг и единовременная денежная выплата на цели отопления)</t>
  </si>
  <si>
    <t>505 02 11</t>
  </si>
  <si>
    <t xml:space="preserve"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 </t>
  </si>
  <si>
    <t>098 01 01</t>
  </si>
  <si>
    <t>Субсидии гражданам на приобретение жилья</t>
  </si>
  <si>
    <t>322</t>
  </si>
  <si>
    <t>340 82 00</t>
  </si>
  <si>
    <t>340 82 10</t>
  </si>
  <si>
    <t>487 99 01</t>
  </si>
  <si>
    <t>471 82 24</t>
  </si>
  <si>
    <t>Функционирование органов в сфере национальной безопасности, правоохранительной деятельности и обороны</t>
  </si>
  <si>
    <t>014</t>
  </si>
  <si>
    <t>Военный персонал</t>
  </si>
  <si>
    <t>202 58 00</t>
  </si>
  <si>
    <t xml:space="preserve">Функционирование органов в сфере национальной безопасности и  правоохранительной деятельности </t>
  </si>
  <si>
    <t>202 67 00</t>
  </si>
  <si>
    <t>Продовольственное обеспечение</t>
  </si>
  <si>
    <t>202 71 00</t>
  </si>
  <si>
    <t xml:space="preserve">Исполнение гарантий городских округов в валюте  Российской Федерации в случае, если исполнение  гарантом государственных и муниципальных  гарантий ведет к возникновению права  регрессного требования гаранта к принципалу  либо обусловлено уступкой гаранту </t>
  </si>
  <si>
    <t xml:space="preserve">040 00 40  </t>
  </si>
  <si>
    <t>Возврат бюджетных кредитов, предоставленных  юридическим лицам из бюджетов городских  округов в валюте Российской Федерации</t>
  </si>
  <si>
    <t xml:space="preserve">050 10 40  </t>
  </si>
  <si>
    <t xml:space="preserve"> </t>
  </si>
  <si>
    <t>ВЕДОМСТВЕННАЯ СТРУКТУРА</t>
  </si>
  <si>
    <t xml:space="preserve">РАСХОДОВ  БЮДЖЕТА  МИАССКОГО ГОРОДСКОГО ОКРУГА </t>
  </si>
  <si>
    <t>Главные распорядители, наименование БК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</si>
  <si>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</t>
  </si>
  <si>
    <t>Расходы на оплату ТЭР, услуг водоснабжения, водоотведения, потребляемых МБУ и эл.энергии, расходов на уличное освещение за счет субсидий из областного  бюджета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</si>
  <si>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</si>
  <si>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Обеспечение жилыми помещениями детей-сирот, детей, оставшихся без попечения родителей, атакже детей, находящихся под опекой (попечительством), не имеющих закрепленного жилого помещения</t>
  </si>
  <si>
    <t>Расходы за счет субвенции из областного бюджета на обеспечение мер социальной поддержки ветеранов труда и тружеников тыла (Закон Челябинской области "О мерах социальной поддержки ветеранов Челябинской области" (другие меры социальной поддержки ветеранов труда и тружеников тыла)</t>
  </si>
  <si>
    <t xml:space="preserve">Расходы за счет субвенции из областного бюджета на обеспечение мер  социальной поддержки ветеранов труда и тружеников тыла (Закон Челябинской области "О мерах социальной поддержки ветеранов Челябинской области) (ежеквартальные денежные выплаты на оплату </t>
  </si>
  <si>
    <t>Расходы за счет субвенции из областного бюджета на обеспечение мер  социальной поддержки ветеранов труда и тружеников тыла (Закон Челябинской области "О мерах социальной поддержки ветеранов Челябинской области) (другие меры социальной поддержки ветеранов</t>
  </si>
  <si>
    <t>Выплата единовременного пособия при всех формах устройства детей, лишенных родительского попечения, в семью</t>
  </si>
  <si>
    <t>Организация и осуществление мероприятий по работе с детьми и молодежью за счет субсидий из областного бюджета</t>
  </si>
  <si>
    <t>Расходы на оплату ТЭР, услуг водоснабжения, водоотведения, потребляемых МБУ и эл.энергии, расходуемой на уличное освещение за счет субсидий из областного  бюджета</t>
  </si>
  <si>
    <t>Мероприятия в области здравоохранения, спорта и физической культуры, туризма за счет субсидии из областного бюджета</t>
  </si>
  <si>
    <t>Областная целевая программа "Дети Южного Урала" на 2006-2010 годы за счет субсидий из областного бюджета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</si>
  <si>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</si>
  <si>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Муниципальная целевая программа модернизации здравоохранения Миасского городского округа на 2011-2012 г.г.</t>
  </si>
  <si>
    <t xml:space="preserve">ОЦП "Капитальный ремонт многоквартирных домов в Челябинской области на 2008-2011 гг. </t>
  </si>
  <si>
    <t>ОЦП "Капитальный ремонт многоквартирных домов в Челябинской области на 2008-2011 гг. за счет средств Фонда реформирования ЖКХ</t>
  </si>
  <si>
    <t>ОЦП "Капитальный ремонт многоквартирных домов в Челябинской области на 2008-2011 гг. за счет средств областного бюджета</t>
  </si>
  <si>
    <t xml:space="preserve">Расходы за счет субвенции из областного бюджета на организацию предоставления дошкольного и общего образования по основным общеобразовательным программам в муниципальных специальных (коррекционных) образовательных учреждениях для обучающихся воспитанников </t>
  </si>
  <si>
    <t>Расходы за счет субвенции из областного бюджета на обеспечение мер социальной поддержки граждан, имеющих звание "Ветеранов труда Челябинской области" (ежеквартальные денежные выплаты на оплату проезда)</t>
  </si>
  <si>
    <t>Другие мероприятия по реализации муниципальных функций</t>
  </si>
  <si>
    <t>092 15 01</t>
  </si>
  <si>
    <t>Муниципальная целевая программа "Развитие информационного общества в Миасском городском округе на 2013 год"</t>
  </si>
  <si>
    <t>795 00 05</t>
  </si>
  <si>
    <t>3150600</t>
  </si>
  <si>
    <t>Капитальный ремонт и ремонт дворовых территорий многоквартирных домов, проездов к дворовым территориям многоквартирных домов неселенных пунктов</t>
  </si>
  <si>
    <t>3150700</t>
  </si>
  <si>
    <t>Национальный проект "Доступное и комфортное жилье - гражданам России" на территории Миасского городского округа на 2011-2015 годы.</t>
  </si>
  <si>
    <t>351 82 24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</si>
  <si>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</si>
  <si>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521 02 91</t>
  </si>
  <si>
    <t>Областная целевая программа капитального строительства в Челябинской области на 2012-2014 годы</t>
  </si>
  <si>
    <t>Областная целевая программа реализации национального проекта "Доступное и комфортное жилье  - гражданам России" в Челябинской области на 2011-2015гг. за счет субсидии из областного бюджета"</t>
  </si>
  <si>
    <t>Муниципальная целевая программа "Предоставление субсидий (социальных выплат) на улучшение жилищных условий муниципальных служащих Миасского городского округа"</t>
  </si>
  <si>
    <t>795 00 07</t>
  </si>
  <si>
    <t>Муниципальная целевая программа "Организация мероприятий и создание условий  для содержания объектов инженерной инфраструктуры на территории Миасского городского округа на 2013-2015 годы"</t>
  </si>
  <si>
    <t>Областная целевая программа "Патриотическое воспитание молодых граждан Челябинской области" на 2012-2015 годы</t>
  </si>
  <si>
    <t>Подключение общедоступных библиотек Российской Федерации к сети Интернет</t>
  </si>
  <si>
    <t>440 09 00</t>
  </si>
  <si>
    <t>Областная целевая программа "Укрепление материально-технической базы учреждений культуры муниципальных образований Челябинской области на 2013-2015 годы"</t>
  </si>
  <si>
    <t>522 53 00</t>
  </si>
  <si>
    <t>477 82 23</t>
  </si>
  <si>
    <t>096 01 01</t>
  </si>
  <si>
    <t>Реализация программ модернизации здравоохранения субъектов Российской федерации в части укрепления материально-технической базы (приобретение основных средств) медицинских учреждений</t>
  </si>
  <si>
    <t>Муниципальная целевая программа "Снос аварийного жилищного фонда в 2012-2013 году"</t>
  </si>
  <si>
    <t>Муниципальная целевая программа "Организация мероприятий и создание условий  для содержания объектов инженерной инфраструктуры на территории Миасского городского округа на 2013 - 2015 годы"</t>
  </si>
  <si>
    <t xml:space="preserve">Программа улучшения водоснабжения частного сектора МГО на 2013 - 2015 годы  </t>
  </si>
  <si>
    <t>477 82 24</t>
  </si>
  <si>
    <t>477 82 20</t>
  </si>
  <si>
    <t>Муниципальная целевая программа "Молодежь Миасса на 2012-2013 годы"</t>
  </si>
  <si>
    <t>Иные субсидии местным бюджетам для софинансирования расходных обязательств по исполнению полномочий органов самоуправления по вопросам местного значения</t>
  </si>
  <si>
    <t>Закон Челябинской области "О предоставлении гражданам адресной субсидии в связи с ростом платы за коммунальные услуги"</t>
  </si>
  <si>
    <t>Адресная субсидия гражданам в связи с ростом платы за коммунальные услуги</t>
  </si>
  <si>
    <t>521 00 00</t>
  </si>
  <si>
    <t>521 58 00</t>
  </si>
  <si>
    <t>521 58 01</t>
  </si>
  <si>
    <t>Муниципальная целевая программа "Формирование доступной среды для инвалидов и маломобильных групп населения Миасского городского округа" на 2013-2015гг.</t>
  </si>
  <si>
    <t>795 00 80</t>
  </si>
  <si>
    <t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безе многофункциональных центров предоставления государственных и муниципальных услуг, в Челябинской области на 2012-2013годы"</t>
  </si>
  <si>
    <t>522 42 00</t>
  </si>
  <si>
    <t>Муниципальная целевая программа "Укрепление материально-технической базы учреждений здравоохранения Миасского городского округа на 2012 -2014 годы"</t>
  </si>
  <si>
    <t>Муниципальная целевая программа "Укрепление материально-технической базы учреждений здравоохранения Миасского городского округа на 2012-2014г."</t>
  </si>
  <si>
    <t>Областная целевая программа по реализации национального проекта "Доступное и комфортное жилье - гражданам России" в Челябинской обл. на 2011-2015гг.</t>
  </si>
  <si>
    <t xml:space="preserve">Областная целевая программа реализации национального проекта "Доступное и комфортное жилье  - гражданам России" в Челябинской области на 2011-2015гг. </t>
  </si>
  <si>
    <t>Муниципальная целевая программа "Организация мероприятий и создание условий  для содержания объектов инженерной инфраструктуры на территории Миасского городского округа на 2012 год"</t>
  </si>
  <si>
    <t>Национальный проект "Доступное и комфортное жилье - гражданам России" на территории МГО на 2011-2015гг.</t>
  </si>
  <si>
    <t>Национальный проект "Доступное и комфортное жилье - гражданам России" на территории МГО  на 2011-2015гг.</t>
  </si>
  <si>
    <t>Областная целевая программа реализации национального проекта "Доступное и комфортное жилье  - гражданам России" в Челябинской области на 2011-2015гг.</t>
  </si>
  <si>
    <t>Приложение 4</t>
  </si>
  <si>
    <t>Областная целевая программа "Поддержка и развитие дошкольного образования в Челябинской области" на 2010-2014 гг</t>
  </si>
  <si>
    <t>Приложение 5</t>
  </si>
  <si>
    <t xml:space="preserve">Программа муниципальных внутренних заимствований </t>
  </si>
  <si>
    <t xml:space="preserve">на 2013 год </t>
  </si>
  <si>
    <t>1. Источники внутренних заимствований</t>
  </si>
  <si>
    <t>тыс.руб.</t>
  </si>
  <si>
    <t>Сумма,                 2013г.</t>
  </si>
  <si>
    <t>Получение кредитов от кредитных организаций бюджетами городских округов в валюте РФ, в том числе</t>
  </si>
  <si>
    <t>привлечение</t>
  </si>
  <si>
    <t>погашение</t>
  </si>
  <si>
    <t>Бюджетные кредиты от других бюджетов бюджетной  системы Российской Федерации, в том числе</t>
  </si>
  <si>
    <t>ИТОГО заимствований, в том числе</t>
  </si>
  <si>
    <t>Код бюджетной классификации РФ</t>
  </si>
  <si>
    <t>Наименование источника средств</t>
  </si>
  <si>
    <t>Сумма,
тыс. руб.</t>
  </si>
  <si>
    <t>01  00  00  00  00  0000  000</t>
  </si>
  <si>
    <t>Источники внутреннего финансирования дефицита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</si>
  <si>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</si>
  <si>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</si>
  <si>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</si>
  <si>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</si>
  <si>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01  02  00  00  04  0000  710</t>
  </si>
  <si>
    <t>Получение кредитов от кредитных организаций бюджетами городских округов в валюте РФ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</si>
  <si>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</si>
  <si>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</si>
  <si>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01  02  00  00  04  0000  810</t>
  </si>
  <si>
    <t>Погашение бюджетами городских округов кредитов от кредитных организаций в валюте РФ</t>
  </si>
  <si>
    <t>01  03  00  00  00  0000  000</t>
  </si>
  <si>
    <t>01  03  01  00  00  0000  000</t>
  </si>
  <si>
    <t>Бюджетные кредиты от других бюджетов бюджетной системы Российской Федерации в валюте Российской федерации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</si>
  <si>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</si>
  <si>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</si>
  <si>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01  03  01  00  04  0000  710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</si>
  <si>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</si>
  <si>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</si>
  <si>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01  03  01  00  04  0000  810</t>
  </si>
  <si>
    <t>Погашение бюджетами городских округов бюджетных кредитов от других бюджетов бюджетной системы РФ в валюте РФ</t>
  </si>
  <si>
    <t>01  05  00  00  00  0000  000</t>
  </si>
  <si>
    <t>Изменение остатков средств на счетах по учету  средств бюджета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</si>
  <si>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</si>
  <si>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</si>
  <si>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</si>
  <si>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</si>
  <si>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</si>
  <si>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</si>
  <si>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01  05  02  01  04  0000  610</t>
  </si>
  <si>
    <t>Уменьшение прочих остатков денежных средств  бюджетов городских округов</t>
  </si>
  <si>
    <t xml:space="preserve">Источники 
внутреннего финансирования дефицита бюджета Миасского  городского округа на 2013 год   </t>
  </si>
  <si>
    <t>Областная целевая программа "Социальная поддержка инвалидов в Челябинской области" на 2012-2015 годы</t>
  </si>
  <si>
    <t>Мероприятия в обсласти социальной политики</t>
  </si>
  <si>
    <t>345 01 00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</si>
  <si>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</si>
  <si>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795 21 00</t>
  </si>
  <si>
    <t>Обеспечение жилыми помещениями детей-сирот, детей, оставшихся без попечения родителей, а также детей, находящихся под опекой(попечительством), не имеющих закрепленного жилого помещения</t>
  </si>
  <si>
    <t>Программа "Капитальное ремонт многоквартирных домов на территории Миасского городского округа в 2013 году"</t>
  </si>
  <si>
    <t>Обеспечение жилыми помещениями детей-сирот и детей, оставшихся без попечения родителей при наличии судебных решений о представлении жилых помещений по договорам социального найма, вынесенных до 1 января 2013 года и вступивших в законную силу</t>
  </si>
  <si>
    <t>505 21 05</t>
  </si>
  <si>
    <t>470 82 22</t>
  </si>
  <si>
    <t>Реализация мероприятий федеральной целевой программы развития образования на 2011-2015годы</t>
  </si>
  <si>
    <t>100 89 99</t>
  </si>
  <si>
    <t>Областная целевая программа развития образования в Челябинской области на 2013-2015 годы</t>
  </si>
  <si>
    <t>522 54 00</t>
  </si>
  <si>
    <t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безе многофункциональных центров предоставления государственных и муниципальных услуг, в Челябинской области на 2012-2013 годы"</t>
  </si>
  <si>
    <t>Приложение 3</t>
  </si>
  <si>
    <t>Исполнение</t>
  </si>
  <si>
    <t>за 2013 год  (тыс. руб.)</t>
  </si>
  <si>
    <t>Областная целевая Программа развития образования в Челябинской области на 2013 - 2015 годы</t>
  </si>
  <si>
    <t xml:space="preserve">Перечень 
главных администраторов доходов бюджета Миасского городского округа </t>
  </si>
  <si>
    <t>Код бюджетной классификации Российской Федерации</t>
  </si>
  <si>
    <t>Наименование главного администратора доходов 
бюджета Миасского городского округа, 
кода бюджетной классификации Российской Федерации</t>
  </si>
  <si>
    <t>главного админист-ратора доходов</t>
  </si>
  <si>
    <t>доходов бюджета Миасского городского округа</t>
  </si>
  <si>
    <t>007</t>
  </si>
  <si>
    <r>
      <t>Контрольно-счетная палата Челябинской области</t>
    </r>
    <r>
      <rPr>
        <b/>
        <sz val="14"/>
        <color indexed="8"/>
        <rFont val="Arial"/>
        <family val="2"/>
        <charset val="204"/>
      </rPr>
      <t xml:space="preserve"> *</t>
    </r>
  </si>
  <si>
    <t>1 16 18040 04 0000 140</t>
  </si>
  <si>
    <t xml:space="preserve"> Денежные взыскания (штрафы) за нарушение бюджетного законодательства 
(в части бюджетов городских округов)</t>
  </si>
  <si>
    <t>008</t>
  </si>
  <si>
    <r>
      <t xml:space="preserve">Министерство сельского хозяйства Челябинской области </t>
    </r>
    <r>
      <rPr>
        <b/>
        <sz val="14"/>
        <color indexed="8"/>
        <rFont val="Arial"/>
        <family val="2"/>
        <charset val="204"/>
      </rPr>
      <t>*</t>
    </r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</si>
  <si>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</si>
  <si>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</si>
  <si>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009</t>
  </si>
  <si>
    <r>
      <t>Министерство по радиационной и экологической безопасности Челябинской области</t>
    </r>
    <r>
      <rPr>
        <b/>
        <sz val="14"/>
        <color indexed="8"/>
        <rFont val="Arial"/>
        <family val="2"/>
        <charset val="204"/>
      </rPr>
      <t xml:space="preserve"> *</t>
    </r>
  </si>
  <si>
    <t>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</si>
  <si>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</si>
  <si>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</si>
  <si>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</si>
  <si>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1 16 25040 01 0000 140</t>
  </si>
  <si>
    <t>Денежные взыскания (штрафы) за нарушение законодательства об экологической экспертизе</t>
  </si>
  <si>
    <t>1 16 25050 01 0000 140</t>
  </si>
  <si>
    <t>Денежные взыскания (штрафы) за нарушение законодательства в области охраны окружающей среды</t>
  </si>
  <si>
    <t>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</si>
  <si>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</si>
  <si>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011</t>
  </si>
  <si>
    <r>
      <t>Министерство строительства, инфраструктуры и дорожного хозяйства Челябинской области</t>
    </r>
    <r>
      <rPr>
        <b/>
        <sz val="14"/>
        <color indexed="8"/>
        <rFont val="Arial"/>
        <family val="2"/>
        <charset val="204"/>
      </rPr>
      <t xml:space="preserve"> *</t>
    </r>
  </si>
  <si>
    <t>016</t>
  </si>
  <si>
    <r>
      <t xml:space="preserve">Министерство здравоохранения Челябинской области </t>
    </r>
    <r>
      <rPr>
        <b/>
        <sz val="14"/>
        <color indexed="8"/>
        <rFont val="Arial"/>
        <family val="2"/>
        <charset val="204"/>
      </rPr>
      <t>*</t>
    </r>
  </si>
  <si>
    <t>019</t>
  </si>
  <si>
    <r>
      <t>Министерство промышленности и природных ресурсов Челябинской области</t>
    </r>
    <r>
      <rPr>
        <b/>
        <sz val="14"/>
        <color indexed="8"/>
        <rFont val="Arial"/>
        <family val="2"/>
        <charset val="204"/>
      </rPr>
      <t xml:space="preserve"> *</t>
    </r>
  </si>
  <si>
    <t>1 16 25010 01 0000 140</t>
  </si>
  <si>
    <t>Денежные взыскания (штрафы) за нарушение законодательства Российской Федерации о недрах</t>
  </si>
  <si>
    <t>034</t>
  </si>
  <si>
    <r>
      <t xml:space="preserve">Главное контрольное управление Челябинской области </t>
    </r>
    <r>
      <rPr>
        <b/>
        <sz val="14"/>
        <color indexed="8"/>
        <rFont val="Arial"/>
        <family val="2"/>
        <charset val="204"/>
      </rPr>
      <t>*</t>
    </r>
  </si>
  <si>
    <t>1 16 33040 04 0000 140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</si>
  <si>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</si>
  <si>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Главное управление Министерства внутренних дел Российской Федерации по Челябинской области
(Отдел Министерства внутренних дел Российской Федерации 
по городу Миассу Челябинской области)</t>
  </si>
  <si>
    <t>1 08 07083 01 0000 110</t>
  </si>
  <si>
    <t>Государственная пошлина за совершение действий, связанных с лицензированием, с проведением аттестации в  случаях, если такая аттестация предусмотрена законодательством Российской  Федерации, зачисляемая в бюджеты городских округов</t>
  </si>
  <si>
    <t>1 08 07150 01 0000 110</t>
  </si>
  <si>
    <t>Государственная пошлина за выдачу разрешения на установку рекламной конструкции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</si>
  <si>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</si>
  <si>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</si>
  <si>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</si>
  <si>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</si>
  <si>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</si>
  <si>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</si>
  <si>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</si>
  <si>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</si>
  <si>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</si>
  <si>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</si>
  <si>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</si>
  <si>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</si>
  <si>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</si>
  <si>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</si>
  <si>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</si>
  <si>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</si>
  <si>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1 11 08040 04 0000 120</t>
  </si>
  <si>
    <t xml:space="preserve"> 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</si>
  <si>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</si>
  <si>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</si>
  <si>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1 14 01040 04 0000 410</t>
  </si>
  <si>
    <t>Доходы  от продажи квартир, находящихся в собственности городских округов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</si>
  <si>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</si>
  <si>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</si>
  <si>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</si>
  <si>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</si>
  <si>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</si>
  <si>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</si>
  <si>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</si>
  <si>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</si>
  <si>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</si>
  <si>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</si>
  <si>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1 16 51020 02 0000 140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</si>
  <si>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городских округов</t>
  </si>
  <si>
    <t>2 02 02008 04 0000 151</t>
  </si>
  <si>
    <t>Субсидии бюджетам городских округов на обеспечение жильем молодых семей</t>
  </si>
  <si>
    <t>2 02 02009 04 0000 151</t>
  </si>
  <si>
    <t xml:space="preserve"> 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</si>
  <si>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2 02 02041 04 0000 151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</si>
  <si>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
поселениях (за исключением автомобильных дорог федерального значения)</t>
  </si>
  <si>
    <t>2 02 02051 04 0000 151</t>
  </si>
  <si>
    <t>Субсидии бюджетам городских округов на реализацию федеральных целевых программ</t>
  </si>
  <si>
    <t>2 02 02077 04 0000 151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</si>
  <si>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</si>
  <si>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</si>
  <si>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</si>
  <si>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</si>
  <si>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 xml:space="preserve">Субсидии   бюджетам    городских    округов    на обеспечение мероприятий по переселению граждан из аварийного  жилищного  фонда  за  счет   средств, поступивших от  государственной  корпорации - Фонда содействия  реформированию  жилищно-коммунального хозяйства                            </t>
  </si>
  <si>
    <t>2 02 02088 04 0004 151</t>
  </si>
  <si>
    <t xml:space="preserve">Субсидии   бюджетам    городских    округов    на обеспечение мероприятий по переселению граждан из аварийного  жилищного  фонда  с учетом необходимости развития малоэтажного жилищного строительства за  счет   средств, поступивших от  государственной  корпорации - Фонда содействия  реформированию  жилищно-коммунального хозяйства                            </t>
  </si>
  <si>
    <t>2 02 02089 04 0001 151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</si>
  <si>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</si>
  <si>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</si>
  <si>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</si>
  <si>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2 02 02089 04 0004 151</t>
  </si>
  <si>
    <t>Субсидии бюджетам городских округов на обеспечение мероприятий по переселению граждан из аварийного  жилищного фонда с учетом необходимости развития малоэтажного жилищного строительства за счет средств бюджетов</t>
  </si>
  <si>
    <t>2 02 02102 04 0000 151</t>
  </si>
  <si>
    <t>Субсидии бюджетам городских округов на закупку автотранспортных средств и коммунальной техники</t>
  </si>
  <si>
    <t>2 02 03003 04 0000 151</t>
  </si>
  <si>
    <t>Субвенции бюджетам городских округов на государственную регистрацию актов гражданского состояния</t>
  </si>
  <si>
    <t>2 02 03007 04 0000 151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</si>
  <si>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</si>
  <si>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2 02 03026 04 0000 151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</si>
  <si>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</si>
  <si>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2 02 03077 04 0000 151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</si>
  <si>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</si>
  <si>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2 02 03119 04 0000 151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</si>
  <si>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</si>
  <si>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Финансовое управление Администрации Миасского городского округа - исполнительно-распорядительный орган Администрации Миасского городского округа</t>
  </si>
  <si>
    <t>1 11 02032 04 0000 120</t>
  </si>
  <si>
    <t>Доходы от размещения временно свободных средств бюджетов городских округов</t>
  </si>
  <si>
    <t>1 11 03040 04 0000 120</t>
  </si>
  <si>
    <t>Проценты, полученные от предоставления бюджетных кредитов внутри страны за счет средств бюджетов городских округов</t>
  </si>
  <si>
    <t>2 02 01001 04 0000 151</t>
  </si>
  <si>
    <t>Дотации бюджетам городских округов на выравнивание бюджетной обеспеченности</t>
  </si>
  <si>
    <t>2 02 01003 04 0000 151</t>
  </si>
  <si>
    <t>Дотации бюджетам городских округов на поддержку мер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</si>
  <si>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</si>
  <si>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</si>
  <si>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Управление социальной защиты населения 
Администрации Миасского городского округа</t>
  </si>
  <si>
    <t>2 02 03001 04 0000 151</t>
  </si>
  <si>
    <t>Субвенции бюджетам городских округов на оплату жилищно-коммунальных услуг отдельным категориям граждан</t>
  </si>
  <si>
    <t>2 02 03004 04 0000 151</t>
  </si>
  <si>
    <t>Субвенции бюджетам городских округов на обеспечение мер социальной поддержки для лиц, награжденных знаком "Почетный донор СССР", "Почетный донор России"</t>
  </si>
  <si>
    <t>2 02 03012 04 0000 151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</si>
  <si>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</si>
  <si>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</si>
  <si>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</si>
  <si>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</si>
  <si>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</si>
  <si>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2 02 03027 04 0000 151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</si>
  <si>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</si>
  <si>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Муниципальное казенное учреждение Миасского городского округа "Образование"</t>
  </si>
  <si>
    <t>1 13 01994 04 0010 130</t>
  </si>
  <si>
    <t>Прочие доходы от оказания платных услуг (работ) получателями средств бюджетов городских округов (в части средств по родительской плате за содержание детей в дошкольных образовательных учреждениях)</t>
  </si>
  <si>
    <t>2 02 02141 04 0000 151</t>
  </si>
  <si>
    <t>Субсидии бюджетам городских округов на реализацию комплексных программ поддержки развития дошкольных образовательных учреждений в субъектах Российской Федерации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</si>
  <si>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</si>
  <si>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</si>
  <si>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2 02 03021 04 0000 151</t>
  </si>
  <si>
    <t>Субвенции бюджетам городских округов на  ежемесячное денежное вознаграждение за классное руководство</t>
  </si>
  <si>
    <t>2 02 03029 04 0000 151</t>
  </si>
  <si>
    <t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</si>
  <si>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Муниципальное казенное учреждение "Управление культуры" 
Миасского городского округа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</si>
  <si>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</si>
  <si>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</si>
  <si>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2 02 04041 04 0000 151</t>
  </si>
  <si>
    <t>Межбюджетные трансферты, передаваемые бюджетам городских округов,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</si>
  <si>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Муниципальное казенное учреждение "Управление здравоохранения" 
Миасского городского округа</t>
  </si>
  <si>
    <t>2 02 03055 04 0000 151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</si>
  <si>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</si>
  <si>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2 02 04034 04 0001 151</t>
  </si>
  <si>
    <t>Межбюджетные трансферты, передаваемые бюджетам городских округов на реализацию региональных программ модернизации здравоохранения субъектов Российской Федерации  в части укрепления материально-технической базы медицинских учреждений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</si>
  <si>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</si>
  <si>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</si>
  <si>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Собрание депутатов Миасского городского округа</t>
  </si>
  <si>
    <t>Контрольно-счетная палата Миасского городского округа</t>
  </si>
  <si>
    <t xml:space="preserve">Иные доходы бюджета Миасского городского округа,
администрирование которых может осуществляться главными администраторами доходов бюджета Миасского городского округа в пределах их компетенции: </t>
  </si>
  <si>
    <t>1 11 09024 04 0000 120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</si>
  <si>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</si>
  <si>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1 13 01530 04 0000 130</t>
  </si>
  <si>
    <t>Плата за оказание услуг по присоединению объетов дорожного сервиса к автомобильным дорогам общего пользования местного значения, зачисляемая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</si>
  <si>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</si>
  <si>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</si>
  <si>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</si>
  <si>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</si>
  <si>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1 13 02994 04 0000 130</t>
  </si>
  <si>
    <t>Прочие доходы от компенсации затрат бюджетов городских округов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</si>
  <si>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</si>
  <si>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</si>
  <si>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</si>
  <si>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</si>
  <si>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1 14 03040 04 0000 410</t>
  </si>
  <si>
    <t>Средства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</si>
  <si>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</si>
  <si>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</si>
  <si>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1 15 02040 04 0000 140</t>
  </si>
  <si>
    <t>Платежи, взимаемые органами местного управления (организациями) городских округов за выполнение определенных функций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</si>
  <si>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</si>
  <si>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</si>
  <si>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</si>
  <si>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</si>
  <si>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1 16 32000 04 0000 140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</si>
  <si>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</si>
  <si>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1 16 37030 04 0000 140</t>
  </si>
  <si>
    <t xml:space="preserve">Поступления  сумм в возмещение вреда, причиняемого автомобильным дорогам местного значения  транспортными средствами, осуществляющим перевозки тяжеловесных и  (или) крупногабаритных грузов, зачисляемые в бюджеты городских округов  </t>
  </si>
  <si>
    <t>1 17 01040 04 0000 180</t>
  </si>
  <si>
    <t>Невыясненные поступления, зачисляемые в бюджеты городских округов</t>
  </si>
  <si>
    <t>1 17 02010 04 0000 180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</si>
  <si>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</si>
  <si>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1 17 05040 04 0000 180</t>
  </si>
  <si>
    <t>Прочие неналоговые доходы бюджетов городских округов</t>
  </si>
  <si>
    <t>1 17 12040 04 0000 180</t>
  </si>
  <si>
    <t>Целевые отчисления от лотерей городских округов</t>
  </si>
  <si>
    <t>1 17 14020 04 0000 180</t>
  </si>
  <si>
    <t>Средства самообложения граждан, зачисляемые в бюджеты городских округов</t>
  </si>
  <si>
    <t>2 02 02105 04 0000 151</t>
  </si>
  <si>
    <t>Субсидии бюджетам городских округов на проведение противоаварийных мероприятий в зданиях государственных и муниципальных общеобразовательных учреждений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</si>
  <si>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</si>
  <si>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</si>
  <si>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2 02 02999 04 0000 151</t>
  </si>
  <si>
    <t>Прочие субсидии бюджетам городских округов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</si>
  <si>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</si>
  <si>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</si>
  <si>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2 02 03999 04 0000 151</t>
  </si>
  <si>
    <t>Прочие субвенции бюджетам городских округов</t>
  </si>
  <si>
    <t>2 02 04999 04 0000 151</t>
  </si>
  <si>
    <t>Прочие межбюджетные трансферты, передаваемые бюджетам городских округов</t>
  </si>
  <si>
    <t>2 03 04010 04 0000 180</t>
  </si>
  <si>
    <t>Предоставление государственными (муниципальными) организациями грантов для получателей средств бюджетов городских округов</t>
  </si>
  <si>
    <t>2 03 04020 04 0000 180</t>
  </si>
  <si>
    <t>Поступления от денежных пожертвований, предоставляемых государственными (муниципальными) организациями получателям средств бюджетов городских округов</t>
  </si>
  <si>
    <t>2 03 04099 04 0000 180</t>
  </si>
  <si>
    <t>Прочие безвозмездные поступления от государственных (муниципальных) организаций в бюджеты городских округов</t>
  </si>
  <si>
    <t>2 04 04010 04 0000 180</t>
  </si>
  <si>
    <t>Предоставление негосударственными организациями грантов для получателей средств  бюджетов городских округов</t>
  </si>
  <si>
    <t>2 04 04020 04 0000 180</t>
  </si>
  <si>
    <t>Поступления от денежных пожертвований, предоставляемых негосударственными организациями получателям средств  бюджетов городских округов</t>
  </si>
  <si>
    <t>2 04 04099 04 0000 180</t>
  </si>
  <si>
    <t>Прочие безвозмездные поступления от негосударственных организаций в бюджеты городских округов</t>
  </si>
  <si>
    <t>2 07 04010 04 0000 180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</si>
  <si>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 </t>
  </si>
  <si>
    <t>2 07 04020 04 0000 180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</si>
  <si>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</si>
  <si>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2 07 04050 04 0000 180</t>
  </si>
  <si>
    <t>Прочие безвозмездные поступления в бюджеты городских округов</t>
  </si>
  <si>
    <t>2 18 04010 04 0000 151</t>
  </si>
  <si>
    <t xml:space="preserve"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 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</si>
  <si>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</si>
  <si>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</si>
  <si>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</si>
  <si>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бюджетов городских округов от возврата автономными учреждениями остатков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</si>
  <si>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</si>
  <si>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</si>
  <si>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</si>
  <si>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</si>
  <si>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Примечание.</t>
  </si>
  <si>
    <r>
      <t xml:space="preserve"> *</t>
    </r>
    <r>
      <rPr>
        <sz val="10"/>
        <color indexed="8"/>
        <rFont val="Arial"/>
        <family val="2"/>
        <charset val="204"/>
      </rPr>
      <t xml:space="preserve"> Главными администраторами доходов бюджета Миасского городского округа являются уполномоченные органы исполнительной власти Челябинской области (Постановление Правительства Челябинской области от 20.03.2008 г. №52-П "О порядке осуществления органами государственной власти Челябинской области и (или) находящимися в их ведении областными казенными учреждениями бюджетных полномочий главных администраторов доходов бюджетов бюджетной системы Российской Федерации")</t>
    </r>
  </si>
  <si>
    <t>Исполнение,                 2013г.</t>
  </si>
  <si>
    <t>Испонение,
тыс. руб.</t>
  </si>
  <si>
    <t>01  05  02 00  00  0000  000</t>
  </si>
  <si>
    <t>Увеличение прочих остатков средств бюджетов</t>
  </si>
  <si>
    <t>01  05  02  01 00  0000  500</t>
  </si>
  <si>
    <t>Увеличение прочих остатков денежных средств бюджетов</t>
  </si>
  <si>
    <t>01  05 02  01  00  0000  510</t>
  </si>
  <si>
    <t>01  05  02  01 04  0000  510</t>
  </si>
  <si>
    <t>Увеличение прочих остатков денежных средств бюджетов городских округов</t>
  </si>
  <si>
    <t>Приложение №1</t>
  </si>
  <si>
    <t>Нормативы отчислений доходов
в бюджет Миасского городского округа на 2013 год и 
на плановый период 2014 и 2015 годов</t>
  </si>
  <si>
    <t>(в процентах)</t>
  </si>
  <si>
    <t>Наименование дохода</t>
  </si>
  <si>
    <t>Бюджет Миасского городского округа</t>
  </si>
  <si>
    <t>В части погашения задолженности и перерасчетов по отмененным налогам, 
сборам и иным обязательным платежам</t>
  </si>
  <si>
    <t>Земельный налог  (по  обязательствам, возникшим до  1  января  2006  года), мобилизуемый на территориях городских округов</t>
  </si>
  <si>
    <t>Налог  на  рекламу,  мобилизуемый 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</si>
  <si>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</si>
  <si>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Лицензионный сбор за право тоговли спиртными напитками,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</si>
  <si>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</si>
  <si>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В части доходов от оказания платных услуг (работ) и компенсации затрат государства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</si>
  <si>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</si>
  <si>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Прочие доходы от оказания платных услуг (работ) получателями  средств бюджетов городских округов </t>
  </si>
  <si>
    <t>Доходы, поступающие в порядке возмещения расходов, понесенных в связи с эксплуатацией  имущества городских округов</t>
  </si>
  <si>
    <t>В части административных платежей и сборов</t>
  </si>
  <si>
    <t xml:space="preserve">Платежи, взимаемые органами местного самоуправления (организациями) городских округов за выполнение определенных функций    </t>
  </si>
  <si>
    <t>В части штрафов, санкций, возмещения ущерба</t>
  </si>
  <si>
    <t>В части прочих неналоговых доходов</t>
  </si>
  <si>
    <t>Возмещение потерь сельскохозяйственного производства, связанных с изъятием сельскохозяйственных угодий,  расположенных на территориях городских округов 
(по обязательствам, возникшим до 1 января 2008 года)</t>
  </si>
  <si>
    <t>Целевые отчисления от лоторей городских округов</t>
  </si>
  <si>
    <t>В части безвозмездных поступлений от других бюджетов бюджетной системы Российской Федерации</t>
  </si>
  <si>
    <t>Дотации бюджетам  городских округов</t>
  </si>
  <si>
    <t xml:space="preserve">Субсидии бюджетам городских округов </t>
  </si>
  <si>
    <t>Субвенции бюджетам  городских округов</t>
  </si>
  <si>
    <t>Иные межбюджетные трансферты, передаваемые бюджетам городских округов</t>
  </si>
  <si>
    <t>В части безвозмездных поступлений от государственных (муниципальных) 
организаций</t>
  </si>
  <si>
    <t>Безвозмездные поступления от государственных (муниципальных) организаций в бюджеты городских округов</t>
  </si>
  <si>
    <t>В части безвозмездных поступлений от негосударственных организаций</t>
  </si>
  <si>
    <t>Безвозмездные поступления  от негосударственных организаций в бюджеты городских округов</t>
  </si>
  <si>
    <t xml:space="preserve">В части прочих безвозмездных поступлений 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</si>
  <si>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</si>
  <si>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В части перечислений  для осуществления возврата (зачета) излишне уплаченных или излишне 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</si>
  <si>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 части доходов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</si>
  <si>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остатков, субсидий, субвенций и иных межбюджетных трансфертов, имеющих целевое назначение, прошлых лет</t>
  </si>
  <si>
    <t xml:space="preserve">Доходы бюджетов городских округов от возврата организациями остатков субсидий прошлых лет </t>
  </si>
  <si>
    <t>В части возврата остатков субсидий, субвенций и иных межбюджетных трансфертов, имеющих целевое назначение, прошлых лет</t>
  </si>
  <si>
    <t xml:space="preserve">Перечень 
главных администраторов источников финансирования дефицита
 бюджета Миасского городского округа </t>
  </si>
  <si>
    <t>Наименование главного администратора источников финансирования дефицита бюджета Миасского городского округа, 
кода бюджетной классификации Российской Федерации</t>
  </si>
  <si>
    <t>главного администратора источников финансирования дефицита</t>
  </si>
  <si>
    <t>источников финансирования дефицита бюджета Миасского городского округа</t>
  </si>
  <si>
    <t xml:space="preserve">Администрация Миасского городского округа 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</si>
  <si>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</si>
  <si>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</si>
  <si>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>01 01 00 00 04 0000 710</t>
  </si>
  <si>
    <t>Размещение муниципальных ценных бумаг городских округов, номинальная стоимость которых указана в валюте Российской Федерации</t>
  </si>
  <si>
    <t>01 01 00 00 04 0000 810</t>
  </si>
  <si>
    <t>Погашение муниципальных ценных бумаг городских округов, номинальная стоимость которых указана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</si>
  <si>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</si>
  <si>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</si>
  <si>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</si>
  <si>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</si>
  <si>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</si>
  <si>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</si>
  <si>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</si>
  <si>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</si>
  <si>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01 05 01 01 04 0000 510</t>
  </si>
  <si>
    <t>Увеличение остатков денежных средств финансовых резервов бюджетов городских округов</t>
  </si>
  <si>
    <t>01 05 01 01 04 0000 610</t>
  </si>
  <si>
    <t>Уменьшение остатков денежных средств финансовых резервов бюджетов городских округов</t>
  </si>
  <si>
    <t>01 05 01 02 04 0000 520</t>
  </si>
  <si>
    <t>Увеличение остатков средств финансовых резервов бюджетов городских округов, размещенных в ценные бумаги</t>
  </si>
  <si>
    <t>01 05 01 02 04 0000 620</t>
  </si>
  <si>
    <t>Уменьшение остатков средств финансовых резервов бюджетов городских округов, размещенных в ценные бумаги</t>
  </si>
  <si>
    <t>01 05 02 01 04 0000 510</t>
  </si>
  <si>
    <t>01 05 02 01 04 0000 610</t>
  </si>
  <si>
    <t>Уменьшение прочих остатков денежных средств бюджетов городских округов</t>
  </si>
  <si>
    <t>01 05 02 02 04 0000 520</t>
  </si>
  <si>
    <t>Увеличение прочих остатков средств бюджетов городских округов, временно размещенных в ценные бумаги</t>
  </si>
  <si>
    <t>01 05 02 02 04 0000 620</t>
  </si>
  <si>
    <t>Уменьшение прочих остатков средств бюджетов городских округов, временно размещенных в ценные бумаги</t>
  </si>
  <si>
    <t>01 06 03 00 04 0000 171</t>
  </si>
  <si>
    <t>Курсовая разница по средствам бюджетов городских округов</t>
  </si>
  <si>
    <t>01 06 04 01 04 0000 810</t>
  </si>
  <si>
    <t>Исполнение муниципальных гарантий городских округов в валюте Российской Федерации в случае, если исполнение гарантом 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</si>
  <si>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01 06 05 01 04 0000 540</t>
  </si>
  <si>
    <t>Предоставление бюджетных кредитов юридическим лицам из бюджетов городских округов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</si>
  <si>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</si>
  <si>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</si>
  <si>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01 06 05 02 04 0000 540</t>
  </si>
  <si>
    <t>Предоставление бюджетных кредитов другим бюджетам бюджетной системы Российской Федерации из бюджетов городских округов в валюте Российской Федерации</t>
  </si>
  <si>
    <t>01 06 05 02 04 0000 640</t>
  </si>
  <si>
    <t>Возврат бюджетных кредитов, предоставленных другим бюджетам бюджетной системы Российской Федерации из бюджетов городских округов в валюте Российской Федерации</t>
  </si>
  <si>
    <t>01 06 06 01 04 0000 550</t>
  </si>
  <si>
    <t xml:space="preserve">Увеличение иных финансовых активов в собственности городских округов </t>
  </si>
  <si>
    <t>01 06 06 01 04 0000 650</t>
  </si>
  <si>
    <t>Уменьшение иных финансовых активов в собственности городских округов</t>
  </si>
  <si>
    <t>01 06 06 00 04 0000 710</t>
  </si>
  <si>
    <t>Привлечение прочих источников внутреннего финансирования дефицитов бюджетов городских округов</t>
  </si>
  <si>
    <t>01 06 06 00 04 0000 810</t>
  </si>
  <si>
    <t>Погашение обязательств за счет прочих источников внутреннего финансирования дефицитов бюджетов городских округов</t>
  </si>
  <si>
    <t>01 06 08 00 04 0000 640</t>
  </si>
  <si>
    <t>Возврат прочих бюджетных кредитов (ссуд), предоставленных бюджетами городских округов внутри страны</t>
  </si>
  <si>
    <t>01 06 08 00 04 0000 540</t>
  </si>
  <si>
    <t>Предоставление прочих бюджетных кредитов бюджетами городских округов</t>
  </si>
  <si>
    <t>01 06 10 02 04 0000 550</t>
  </si>
  <si>
    <t>Увеличение финансовых активов в собственности городских округов за счет средств учреждений (организаций), учрежденных городскими округами, лицевые счета которым открыты в территориальных органах Федерального казначейства или финансовых органах</t>
  </si>
  <si>
    <t>01 06 10 02 04 0001 550</t>
  </si>
  <si>
    <t>Увеличение финансовых активов в собственности городских округов за счет средств во временном распоряжении</t>
  </si>
  <si>
    <t>01 06 10 02 04 0002 550</t>
  </si>
  <si>
    <t>Приложение №2</t>
  </si>
  <si>
    <t>Увеличение финансовых активов в собсвенности городских округов за счет средств автономных и бюджетных учреждений</t>
  </si>
  <si>
    <t>к информации</t>
  </si>
  <si>
    <t>Приложение 6</t>
  </si>
  <si>
    <t xml:space="preserve">% Исполнения (%) </t>
  </si>
  <si>
    <t>% Испонения,
(%)</t>
  </si>
  <si>
    <t>Приложение 7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</si>
</sst>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9"/>
      <name val="Arial Cyr"/>
      <family val="2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  <family val="2"/>
      <charset val="204"/>
    </font>
    <font>
      <sz val="12"/>
      <name val="Arial Cyr"/>
      <charset val="204"/>
    </font>
    <font>
      <b/>
      <sz val="11"/>
      <name val="Arial Cyr"/>
      <family val="2"/>
      <charset val="204"/>
    </font>
    <font>
      <sz val="11"/>
      <color indexed="8"/>
      <name val="Arial Cyr"/>
      <charset val="204"/>
    </font>
    <font>
      <i/>
      <sz val="10"/>
      <name val="Arial Cyr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 Cyr"/>
      <family val="2"/>
      <charset val="204"/>
    </font>
    <font>
      <i/>
      <sz val="11"/>
      <name val="Arial Cyr"/>
      <family val="2"/>
      <charset val="204"/>
    </font>
    <font>
      <sz val="11"/>
      <color indexed="8"/>
      <name val="Arial Cyr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name val="Arial"/>
      <family val="2"/>
      <charset val="204"/>
    </font>
    <font>
      <sz val="16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color indexed="8"/>
      <name val="Arial Cyr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7" borderId="1" applyNumberFormat="0" applyAlignment="0" applyProtection="0"/>
    <xf numFmtId="0" fontId="29" fillId="20" borderId="2" applyNumberFormat="0" applyAlignment="0" applyProtection="0"/>
    <xf numFmtId="0" fontId="30" fillId="20" borderId="1" applyNumberFormat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21" borderId="7" applyNumberFormat="0" applyAlignment="0" applyProtection="0"/>
    <xf numFmtId="0" fontId="36" fillId="0" borderId="0" applyNumberFormat="0" applyFill="0" applyBorder="0" applyAlignment="0" applyProtection="0"/>
    <xf numFmtId="0" fontId="37" fillId="22" borderId="0" applyNumberFormat="0" applyBorder="0" applyAlignment="0" applyProtection="0"/>
    <xf numFmtId="0" fontId="44" fillId="0" borderId="0"/>
    <xf numFmtId="0" fontId="38" fillId="3" borderId="0" applyNumberFormat="0" applyBorder="0" applyAlignment="0" applyProtection="0"/>
    <xf numFmtId="0" fontId="39" fillId="0" borderId="0" applyNumberFormat="0" applyFill="0" applyBorder="0" applyAlignment="0" applyProtection="0"/>
    <xf numFmtId="0" fontId="24" fillId="23" borderId="8" applyNumberFormat="0" applyFont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42" fillId="4" borderId="0" applyNumberFormat="0" applyBorder="0" applyAlignment="0" applyProtection="0"/>
    <xf numFmtId="0" fontId="1" fillId="0" borderId="0"/>
    <xf numFmtId="0" fontId="3" fillId="0" borderId="0"/>
    <xf numFmtId="0" fontId="25" fillId="0" borderId="0"/>
    <xf numFmtId="0" fontId="3" fillId="0" borderId="0"/>
    <xf numFmtId="0" fontId="3" fillId="0" borderId="0"/>
  </cellStyleXfs>
  <cellXfs count="403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6" fillId="0" borderId="10" xfId="0" applyNumberFormat="1" applyFont="1" applyBorder="1"/>
    <xf numFmtId="0" fontId="6" fillId="0" borderId="11" xfId="0" applyFont="1" applyBorder="1"/>
    <xf numFmtId="0" fontId="6" fillId="0" borderId="12" xfId="0" applyFont="1" applyBorder="1"/>
    <xf numFmtId="0" fontId="0" fillId="0" borderId="13" xfId="0" applyFill="1" applyBorder="1" applyAlignment="1">
      <alignment horizontal="center"/>
    </xf>
    <xf numFmtId="49" fontId="7" fillId="0" borderId="14" xfId="0" applyNumberFormat="1" applyFont="1" applyBorder="1" applyAlignment="1">
      <alignment vertical="justify"/>
    </xf>
    <xf numFmtId="0" fontId="7" fillId="0" borderId="15" xfId="0" applyFont="1" applyBorder="1" applyAlignment="1">
      <alignment vertical="justify"/>
    </xf>
    <xf numFmtId="0" fontId="7" fillId="0" borderId="16" xfId="0" applyFont="1" applyBorder="1" applyAlignment="1">
      <alignment vertical="justify"/>
    </xf>
    <xf numFmtId="0" fontId="0" fillId="0" borderId="17" xfId="0" applyFill="1" applyBorder="1" applyAlignment="1">
      <alignment horizontal="center" vertical="justify"/>
    </xf>
    <xf numFmtId="164" fontId="9" fillId="0" borderId="18" xfId="0" applyNumberFormat="1" applyFont="1" applyFill="1" applyBorder="1" applyAlignment="1">
      <alignment horizontal="center"/>
    </xf>
    <xf numFmtId="0" fontId="4" fillId="0" borderId="0" xfId="0" applyFont="1"/>
    <xf numFmtId="164" fontId="10" fillId="0" borderId="19" xfId="0" applyNumberFormat="1" applyFont="1" applyFill="1" applyBorder="1" applyAlignment="1">
      <alignment horizontal="center"/>
    </xf>
    <xf numFmtId="0" fontId="6" fillId="0" borderId="20" xfId="0" applyFont="1" applyBorder="1" applyAlignment="1">
      <alignment horizontal="left" wrapText="1"/>
    </xf>
    <xf numFmtId="0" fontId="0" fillId="24" borderId="0" xfId="0" applyFill="1"/>
    <xf numFmtId="0" fontId="6" fillId="0" borderId="0" xfId="0" applyFont="1"/>
    <xf numFmtId="0" fontId="6" fillId="0" borderId="20" xfId="0" applyFont="1" applyBorder="1" applyAlignment="1">
      <alignment wrapText="1"/>
    </xf>
    <xf numFmtId="0" fontId="0" fillId="0" borderId="0" xfId="0" applyFill="1"/>
    <xf numFmtId="164" fontId="9" fillId="0" borderId="19" xfId="0" applyNumberFormat="1" applyFont="1" applyFill="1" applyBorder="1" applyAlignment="1">
      <alignment horizontal="center"/>
    </xf>
    <xf numFmtId="164" fontId="15" fillId="0" borderId="19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8" fillId="0" borderId="0" xfId="0" applyFont="1" applyFill="1"/>
    <xf numFmtId="164" fontId="10" fillId="0" borderId="19" xfId="0" applyNumberFormat="1" applyFont="1" applyFill="1" applyBorder="1" applyAlignment="1">
      <alignment horizontal="center" vertical="center"/>
    </xf>
    <xf numFmtId="0" fontId="13" fillId="0" borderId="0" xfId="0" applyFont="1"/>
    <xf numFmtId="0" fontId="18" fillId="0" borderId="0" xfId="0" applyFont="1"/>
    <xf numFmtId="0" fontId="21" fillId="0" borderId="0" xfId="0" applyFont="1"/>
    <xf numFmtId="0" fontId="11" fillId="0" borderId="20" xfId="0" applyFont="1" applyBorder="1" applyAlignment="1">
      <alignment wrapText="1"/>
    </xf>
    <xf numFmtId="0" fontId="22" fillId="24" borderId="0" xfId="0" applyFont="1" applyFill="1"/>
    <xf numFmtId="0" fontId="11" fillId="0" borderId="0" xfId="0" applyFont="1"/>
    <xf numFmtId="0" fontId="2" fillId="24" borderId="0" xfId="0" applyFont="1" applyFill="1"/>
    <xf numFmtId="0" fontId="4" fillId="0" borderId="0" xfId="0" applyFont="1" applyFill="1"/>
    <xf numFmtId="164" fontId="10" fillId="0" borderId="21" xfId="0" applyNumberFormat="1" applyFont="1" applyFill="1" applyBorder="1" applyAlignment="1">
      <alignment horizontal="center"/>
    </xf>
    <xf numFmtId="0" fontId="0" fillId="0" borderId="0" xfId="0" applyAlignment="1"/>
    <xf numFmtId="0" fontId="2" fillId="0" borderId="14" xfId="0" applyFont="1" applyBorder="1" applyAlignment="1">
      <alignment horizontal="left" wrapText="1"/>
    </xf>
    <xf numFmtId="49" fontId="0" fillId="0" borderId="15" xfId="0" applyNumberFormat="1" applyBorder="1"/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/>
    <xf numFmtId="164" fontId="9" fillId="0" borderId="17" xfId="0" applyNumberFormat="1" applyFont="1" applyFill="1" applyBorder="1" applyAlignment="1">
      <alignment horizontal="center"/>
    </xf>
    <xf numFmtId="49" fontId="0" fillId="0" borderId="23" xfId="0" applyNumberFormat="1" applyBorder="1"/>
    <xf numFmtId="49" fontId="0" fillId="0" borderId="23" xfId="0" applyNumberFormat="1" applyBorder="1" applyAlignment="1">
      <alignment horizontal="center"/>
    </xf>
    <xf numFmtId="49" fontId="0" fillId="0" borderId="11" xfId="0" applyNumberFormat="1" applyBorder="1"/>
    <xf numFmtId="164" fontId="15" fillId="0" borderId="13" xfId="0" applyNumberFormat="1" applyFont="1" applyFill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49" fontId="0" fillId="0" borderId="25" xfId="0" applyNumberFormat="1" applyBorder="1" applyAlignment="1">
      <alignment horizontal="center"/>
    </xf>
    <xf numFmtId="49" fontId="0" fillId="0" borderId="26" xfId="0" applyNumberFormat="1" applyBorder="1" applyAlignment="1">
      <alignment horizontal="center"/>
    </xf>
    <xf numFmtId="165" fontId="15" fillId="0" borderId="19" xfId="0" applyNumberFormat="1" applyFont="1" applyFill="1" applyBorder="1" applyAlignment="1">
      <alignment horizontal="center"/>
    </xf>
    <xf numFmtId="49" fontId="0" fillId="0" borderId="27" xfId="0" applyNumberFormat="1" applyBorder="1" applyAlignment="1">
      <alignment horizontal="center"/>
    </xf>
    <xf numFmtId="49" fontId="0" fillId="0" borderId="28" xfId="0" applyNumberFormat="1" applyBorder="1" applyAlignment="1">
      <alignment horizontal="center"/>
    </xf>
    <xf numFmtId="165" fontId="15" fillId="0" borderId="18" xfId="0" applyNumberFormat="1" applyFont="1" applyFill="1" applyBorder="1" applyAlignment="1">
      <alignment horizontal="center"/>
    </xf>
    <xf numFmtId="0" fontId="15" fillId="0" borderId="19" xfId="0" applyFont="1" applyFill="1" applyBorder="1" applyAlignment="1">
      <alignment horizontal="center"/>
    </xf>
    <xf numFmtId="49" fontId="0" fillId="0" borderId="29" xfId="0" applyNumberFormat="1" applyBorder="1" applyAlignment="1">
      <alignment horizontal="center"/>
    </xf>
    <xf numFmtId="49" fontId="0" fillId="0" borderId="30" xfId="0" applyNumberFormat="1" applyBorder="1" applyAlignment="1">
      <alignment horizontal="center"/>
    </xf>
    <xf numFmtId="165" fontId="15" fillId="0" borderId="21" xfId="0" applyNumberFormat="1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49" fontId="0" fillId="0" borderId="31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164" fontId="15" fillId="0" borderId="33" xfId="0" applyNumberFormat="1" applyFont="1" applyFill="1" applyBorder="1" applyAlignment="1">
      <alignment horizontal="center"/>
    </xf>
    <xf numFmtId="49" fontId="6" fillId="0" borderId="34" xfId="0" applyNumberFormat="1" applyFont="1" applyBorder="1"/>
    <xf numFmtId="0" fontId="6" fillId="0" borderId="35" xfId="0" applyFont="1" applyBorder="1"/>
    <xf numFmtId="0" fontId="6" fillId="0" borderId="36" xfId="0" applyFont="1" applyBorder="1"/>
    <xf numFmtId="49" fontId="7" fillId="0" borderId="37" xfId="0" applyNumberFormat="1" applyFont="1" applyBorder="1" applyAlignment="1">
      <alignment vertical="justify"/>
    </xf>
    <xf numFmtId="0" fontId="7" fillId="0" borderId="38" xfId="0" applyFont="1" applyBorder="1" applyAlignment="1">
      <alignment vertical="justify"/>
    </xf>
    <xf numFmtId="0" fontId="7" fillId="0" borderId="39" xfId="0" applyFont="1" applyBorder="1" applyAlignment="1">
      <alignment vertical="justify"/>
    </xf>
    <xf numFmtId="0" fontId="18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49" fontId="0" fillId="0" borderId="41" xfId="0" applyNumberFormat="1" applyBorder="1"/>
    <xf numFmtId="49" fontId="0" fillId="0" borderId="41" xfId="0" applyNumberFormat="1" applyBorder="1" applyAlignment="1">
      <alignment horizontal="center"/>
    </xf>
    <xf numFmtId="49" fontId="0" fillId="0" borderId="42" xfId="0" applyNumberFormat="1" applyBorder="1"/>
    <xf numFmtId="0" fontId="1" fillId="0" borderId="0" xfId="0" applyFont="1" applyFill="1" applyAlignment="1">
      <alignment horizontal="right"/>
    </xf>
    <xf numFmtId="4" fontId="0" fillId="0" borderId="0" xfId="0" applyNumberFormat="1"/>
    <xf numFmtId="164" fontId="10" fillId="0" borderId="19" xfId="0" applyNumberFormat="1" applyFont="1" applyFill="1" applyBorder="1" applyAlignment="1">
      <alignment horizontal="center" vertical="center" wrapText="1"/>
    </xf>
    <xf numFmtId="164" fontId="15" fillId="0" borderId="19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164" fontId="0" fillId="0" borderId="0" xfId="0" applyNumberFormat="1"/>
    <xf numFmtId="0" fontId="0" fillId="0" borderId="0" xfId="0" applyAlignment="1">
      <alignment wrapText="1"/>
    </xf>
    <xf numFmtId="0" fontId="6" fillId="0" borderId="10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2" fillId="0" borderId="37" xfId="0" applyFont="1" applyBorder="1" applyAlignment="1">
      <alignment horizontal="left" wrapText="1"/>
    </xf>
    <xf numFmtId="0" fontId="15" fillId="0" borderId="44" xfId="0" applyFont="1" applyBorder="1" applyAlignment="1">
      <alignment horizontal="left" wrapText="1"/>
    </xf>
    <xf numFmtId="0" fontId="6" fillId="0" borderId="44" xfId="0" applyFont="1" applyBorder="1" applyAlignment="1">
      <alignment horizontal="left" wrapText="1"/>
    </xf>
    <xf numFmtId="0" fontId="6" fillId="0" borderId="37" xfId="0" applyFont="1" applyBorder="1" applyAlignment="1">
      <alignment wrapText="1"/>
    </xf>
    <xf numFmtId="0" fontId="13" fillId="0" borderId="20" xfId="0" applyNumberFormat="1" applyFont="1" applyBorder="1" applyAlignment="1">
      <alignment wrapText="1"/>
    </xf>
    <xf numFmtId="0" fontId="11" fillId="0" borderId="45" xfId="0" applyFont="1" applyBorder="1" applyAlignment="1">
      <alignment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24" borderId="20" xfId="0" applyFont="1" applyFill="1" applyBorder="1" applyAlignment="1">
      <alignment horizontal="left" vertical="center" wrapText="1"/>
    </xf>
    <xf numFmtId="49" fontId="13" fillId="0" borderId="20" xfId="0" applyNumberFormat="1" applyFont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  <xf numFmtId="164" fontId="4" fillId="0" borderId="0" xfId="0" applyNumberFormat="1" applyFont="1"/>
    <xf numFmtId="43" fontId="0" fillId="0" borderId="0" xfId="42" applyFont="1" applyAlignment="1">
      <alignment horizontal="center"/>
    </xf>
    <xf numFmtId="43" fontId="0" fillId="0" borderId="0" xfId="0" applyNumberFormat="1" applyAlignment="1">
      <alignment horizontal="center"/>
    </xf>
    <xf numFmtId="43" fontId="1" fillId="0" borderId="0" xfId="42" applyFont="1" applyFill="1" applyAlignment="1">
      <alignment horizontal="center"/>
    </xf>
    <xf numFmtId="43" fontId="1" fillId="0" borderId="0" xfId="0" applyNumberFormat="1" applyFont="1" applyFill="1" applyAlignment="1">
      <alignment horizontal="center"/>
    </xf>
    <xf numFmtId="0" fontId="1" fillId="0" borderId="0" xfId="0" applyFont="1"/>
    <xf numFmtId="164" fontId="4" fillId="0" borderId="0" xfId="0" applyNumberFormat="1" applyFont="1" applyAlignment="1"/>
    <xf numFmtId="0" fontId="43" fillId="0" borderId="0" xfId="0" applyFont="1"/>
    <xf numFmtId="0" fontId="2" fillId="0" borderId="46" xfId="0" applyFont="1" applyBorder="1" applyAlignment="1">
      <alignment vertical="center" wrapText="1"/>
    </xf>
    <xf numFmtId="49" fontId="16" fillId="24" borderId="27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Fill="1" applyAlignment="1">
      <alignment wrapText="1"/>
    </xf>
    <xf numFmtId="164" fontId="0" fillId="0" borderId="0" xfId="0" applyNumberFormat="1" applyFill="1"/>
    <xf numFmtId="0" fontId="11" fillId="0" borderId="2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49" fontId="13" fillId="0" borderId="47" xfId="0" applyNumberFormat="1" applyFont="1" applyBorder="1" applyAlignment="1">
      <alignment horizontal="left" vertical="center" wrapText="1"/>
    </xf>
    <xf numFmtId="0" fontId="6" fillId="0" borderId="20" xfId="0" applyNumberFormat="1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11" fillId="24" borderId="20" xfId="0" applyFont="1" applyFill="1" applyBorder="1" applyAlignment="1">
      <alignment horizontal="left" vertical="center" wrapText="1"/>
    </xf>
    <xf numFmtId="0" fontId="23" fillId="0" borderId="27" xfId="0" applyFont="1" applyFill="1" applyBorder="1" applyAlignment="1">
      <alignment horizontal="left" vertical="center" wrapText="1"/>
    </xf>
    <xf numFmtId="0" fontId="13" fillId="24" borderId="20" xfId="0" applyFont="1" applyFill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1" fillId="0" borderId="0" xfId="0" applyFont="1" applyFill="1"/>
    <xf numFmtId="164" fontId="21" fillId="0" borderId="0" xfId="0" applyNumberFormat="1" applyFont="1"/>
    <xf numFmtId="164" fontId="0" fillId="0" borderId="0" xfId="0" applyNumberFormat="1" applyAlignment="1">
      <alignment horizontal="center"/>
    </xf>
    <xf numFmtId="0" fontId="16" fillId="0" borderId="49" xfId="0" applyFont="1" applyBorder="1" applyAlignment="1">
      <alignment horizontal="left" vertical="center" wrapText="1"/>
    </xf>
    <xf numFmtId="49" fontId="16" fillId="0" borderId="50" xfId="0" applyNumberFormat="1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49" fontId="6" fillId="0" borderId="27" xfId="0" applyNumberFormat="1" applyFont="1" applyBorder="1" applyAlignment="1">
      <alignment horizontal="left" vertical="center" wrapText="1"/>
    </xf>
    <xf numFmtId="49" fontId="6" fillId="0" borderId="51" xfId="0" applyNumberFormat="1" applyFont="1" applyBorder="1" applyAlignment="1">
      <alignment horizontal="left" vertical="center" wrapText="1"/>
    </xf>
    <xf numFmtId="49" fontId="6" fillId="0" borderId="51" xfId="0" applyNumberFormat="1" applyFont="1" applyFill="1" applyBorder="1" applyAlignment="1">
      <alignment horizontal="left" vertical="center" wrapText="1"/>
    </xf>
    <xf numFmtId="49" fontId="6" fillId="24" borderId="51" xfId="0" applyNumberFormat="1" applyFont="1" applyFill="1" applyBorder="1" applyAlignment="1">
      <alignment horizontal="left" vertical="center" wrapText="1"/>
    </xf>
    <xf numFmtId="49" fontId="6" fillId="0" borderId="27" xfId="0" applyNumberFormat="1" applyFont="1" applyFill="1" applyBorder="1" applyAlignment="1">
      <alignment horizontal="left" vertical="center" wrapText="1"/>
    </xf>
    <xf numFmtId="49" fontId="18" fillId="0" borderId="27" xfId="0" applyNumberFormat="1" applyFont="1" applyBorder="1" applyAlignment="1">
      <alignment horizontal="left" vertical="center" wrapText="1"/>
    </xf>
    <xf numFmtId="49" fontId="11" fillId="0" borderId="51" xfId="0" applyNumberFormat="1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49" fontId="16" fillId="0" borderId="27" xfId="0" applyNumberFormat="1" applyFont="1" applyFill="1" applyBorder="1" applyAlignment="1">
      <alignment horizontal="left" vertical="center" wrapText="1"/>
    </xf>
    <xf numFmtId="49" fontId="13" fillId="0" borderId="20" xfId="0" applyNumberFormat="1" applyFont="1" applyFill="1" applyBorder="1" applyAlignment="1">
      <alignment horizontal="left" vertical="center" wrapText="1"/>
    </xf>
    <xf numFmtId="49" fontId="13" fillId="0" borderId="27" xfId="0" applyNumberFormat="1" applyFont="1" applyBorder="1" applyAlignment="1">
      <alignment horizontal="left" vertical="center" wrapText="1"/>
    </xf>
    <xf numFmtId="49" fontId="13" fillId="0" borderId="51" xfId="0" applyNumberFormat="1" applyFont="1" applyBorder="1" applyAlignment="1">
      <alignment horizontal="left" vertical="center" wrapText="1"/>
    </xf>
    <xf numFmtId="49" fontId="6" fillId="0" borderId="48" xfId="0" applyNumberFormat="1" applyFont="1" applyBorder="1" applyAlignment="1">
      <alignment horizontal="left" vertical="center" wrapText="1"/>
    </xf>
    <xf numFmtId="49" fontId="14" fillId="0" borderId="27" xfId="0" applyNumberFormat="1" applyFont="1" applyFill="1" applyBorder="1" applyAlignment="1">
      <alignment horizontal="left" vertical="center" wrapText="1"/>
    </xf>
    <xf numFmtId="49" fontId="13" fillId="0" borderId="48" xfId="0" applyNumberFormat="1" applyFont="1" applyBorder="1" applyAlignment="1">
      <alignment horizontal="left" vertical="center" wrapText="1"/>
    </xf>
    <xf numFmtId="49" fontId="20" fillId="0" borderId="27" xfId="0" applyNumberFormat="1" applyFont="1" applyBorder="1" applyAlignment="1">
      <alignment horizontal="left" vertical="center" wrapText="1"/>
    </xf>
    <xf numFmtId="49" fontId="11" fillId="0" borderId="27" xfId="0" applyNumberFormat="1" applyFont="1" applyFill="1" applyBorder="1" applyAlignment="1">
      <alignment horizontal="left" vertical="center" wrapText="1"/>
    </xf>
    <xf numFmtId="49" fontId="13" fillId="0" borderId="27" xfId="0" applyNumberFormat="1" applyFont="1" applyFill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49" fontId="16" fillId="0" borderId="27" xfId="0" applyNumberFormat="1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51" xfId="0" applyFont="1" applyBorder="1" applyAlignment="1">
      <alignment horizontal="left" vertical="center" wrapText="1"/>
    </xf>
    <xf numFmtId="49" fontId="6" fillId="24" borderId="27" xfId="0" applyNumberFormat="1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49" fontId="13" fillId="0" borderId="51" xfId="0" applyNumberFormat="1" applyFont="1" applyFill="1" applyBorder="1" applyAlignment="1">
      <alignment horizontal="left" vertical="center" wrapText="1"/>
    </xf>
    <xf numFmtId="49" fontId="11" fillId="0" borderId="27" xfId="0" applyNumberFormat="1" applyFont="1" applyBorder="1" applyAlignment="1">
      <alignment horizontal="left" vertical="center" wrapText="1"/>
    </xf>
    <xf numFmtId="49" fontId="11" fillId="0" borderId="51" xfId="0" applyNumberFormat="1" applyFont="1" applyBorder="1" applyAlignment="1">
      <alignment horizontal="left" vertical="center" wrapText="1"/>
    </xf>
    <xf numFmtId="49" fontId="18" fillId="0" borderId="51" xfId="0" applyNumberFormat="1" applyFont="1" applyBorder="1" applyAlignment="1">
      <alignment horizontal="left" vertical="center" wrapText="1"/>
    </xf>
    <xf numFmtId="49" fontId="11" fillId="24" borderId="27" xfId="0" applyNumberFormat="1" applyFont="1" applyFill="1" applyBorder="1" applyAlignment="1">
      <alignment horizontal="left" vertical="center" wrapText="1"/>
    </xf>
    <xf numFmtId="49" fontId="11" fillId="24" borderId="51" xfId="0" applyNumberFormat="1" applyFont="1" applyFill="1" applyBorder="1" applyAlignment="1">
      <alignment horizontal="left" vertical="center" wrapText="1"/>
    </xf>
    <xf numFmtId="49" fontId="22" fillId="24" borderId="27" xfId="0" applyNumberFormat="1" applyFont="1" applyFill="1" applyBorder="1" applyAlignment="1">
      <alignment horizontal="left" vertical="center" wrapText="1"/>
    </xf>
    <xf numFmtId="49" fontId="8" fillId="0" borderId="27" xfId="0" applyNumberFormat="1" applyFont="1" applyBorder="1" applyAlignment="1">
      <alignment horizontal="left" vertical="center" wrapText="1"/>
    </xf>
    <xf numFmtId="0" fontId="12" fillId="24" borderId="20" xfId="0" applyFont="1" applyFill="1" applyBorder="1" applyAlignment="1">
      <alignment horizontal="left" vertical="center" wrapText="1"/>
    </xf>
    <xf numFmtId="49" fontId="14" fillId="0" borderId="27" xfId="0" applyNumberFormat="1" applyFont="1" applyBorder="1" applyAlignment="1">
      <alignment horizontal="left" vertical="center" wrapText="1"/>
    </xf>
    <xf numFmtId="3" fontId="13" fillId="0" borderId="27" xfId="0" applyNumberFormat="1" applyFont="1" applyBorder="1" applyAlignment="1">
      <alignment horizontal="left" vertical="center" wrapText="1"/>
    </xf>
    <xf numFmtId="49" fontId="16" fillId="0" borderId="51" xfId="0" applyNumberFormat="1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49" fontId="18" fillId="0" borderId="27" xfId="0" applyNumberFormat="1" applyFont="1" applyFill="1" applyBorder="1" applyAlignment="1">
      <alignment horizontal="left" vertical="center" wrapText="1"/>
    </xf>
    <xf numFmtId="49" fontId="13" fillId="0" borderId="37" xfId="0" applyNumberFormat="1" applyFont="1" applyBorder="1" applyAlignment="1">
      <alignment horizontal="left" vertical="center" wrapText="1"/>
    </xf>
    <xf numFmtId="49" fontId="11" fillId="0" borderId="29" xfId="0" applyNumberFormat="1" applyFont="1" applyFill="1" applyBorder="1" applyAlignment="1">
      <alignment horizontal="left" vertical="center" wrapText="1"/>
    </xf>
    <xf numFmtId="49" fontId="11" fillId="0" borderId="52" xfId="0" applyNumberFormat="1" applyFont="1" applyFill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left" vertical="center" wrapText="1"/>
    </xf>
    <xf numFmtId="49" fontId="16" fillId="0" borderId="16" xfId="0" applyNumberFormat="1" applyFont="1" applyFill="1" applyBorder="1" applyAlignment="1">
      <alignment horizontal="left" vertical="center" wrapText="1"/>
    </xf>
    <xf numFmtId="164" fontId="5" fillId="0" borderId="40" xfId="0" applyNumberFormat="1" applyFont="1" applyFill="1" applyBorder="1" applyAlignment="1">
      <alignment horizontal="center" vertical="center" wrapText="1"/>
    </xf>
    <xf numFmtId="164" fontId="5" fillId="0" borderId="19" xfId="0" applyNumberFormat="1" applyFont="1" applyFill="1" applyBorder="1" applyAlignment="1">
      <alignment horizontal="center" vertical="center" wrapText="1"/>
    </xf>
    <xf numFmtId="164" fontId="10" fillId="24" borderId="19" xfId="0" applyNumberFormat="1" applyFont="1" applyFill="1" applyBorder="1" applyAlignment="1">
      <alignment horizontal="center" vertical="center" wrapText="1"/>
    </xf>
    <xf numFmtId="164" fontId="19" fillId="0" borderId="19" xfId="0" applyNumberFormat="1" applyFont="1" applyFill="1" applyBorder="1" applyAlignment="1">
      <alignment horizontal="center" vertical="center" wrapText="1"/>
    </xf>
    <xf numFmtId="164" fontId="14" fillId="0" borderId="19" xfId="0" applyNumberFormat="1" applyFont="1" applyFill="1" applyBorder="1" applyAlignment="1">
      <alignment horizontal="center" vertical="center" wrapText="1"/>
    </xf>
    <xf numFmtId="164" fontId="10" fillId="24" borderId="18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164" fontId="15" fillId="0" borderId="21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left" vertical="center" wrapText="1"/>
    </xf>
    <xf numFmtId="49" fontId="8" fillId="0" borderId="53" xfId="0" applyNumberFormat="1" applyFont="1" applyBorder="1" applyAlignment="1">
      <alignment horizontal="left" vertical="center" wrapText="1"/>
    </xf>
    <xf numFmtId="49" fontId="8" fillId="0" borderId="27" xfId="0" applyNumberFormat="1" applyFont="1" applyFill="1" applyBorder="1" applyAlignment="1">
      <alignment horizontal="left" vertical="center" wrapText="1"/>
    </xf>
    <xf numFmtId="49" fontId="8" fillId="0" borderId="51" xfId="0" applyNumberFormat="1" applyFont="1" applyFill="1" applyBorder="1" applyAlignment="1">
      <alignment horizontal="left" vertical="center" wrapText="1"/>
    </xf>
    <xf numFmtId="49" fontId="8" fillId="0" borderId="51" xfId="0" applyNumberFormat="1" applyFont="1" applyBorder="1" applyAlignment="1">
      <alignment horizontal="left" vertical="center" wrapText="1"/>
    </xf>
    <xf numFmtId="49" fontId="8" fillId="24" borderId="51" xfId="0" applyNumberFormat="1" applyFont="1" applyFill="1" applyBorder="1" applyAlignment="1">
      <alignment horizontal="left" vertical="center" wrapText="1"/>
    </xf>
    <xf numFmtId="49" fontId="18" fillId="0" borderId="51" xfId="0" applyNumberFormat="1" applyFont="1" applyFill="1" applyBorder="1" applyAlignment="1">
      <alignment horizontal="left" vertical="center" wrapText="1"/>
    </xf>
    <xf numFmtId="49" fontId="24" fillId="0" borderId="51" xfId="0" applyNumberFormat="1" applyFont="1" applyBorder="1" applyAlignment="1">
      <alignment horizontal="left" vertical="center" wrapText="1"/>
    </xf>
    <xf numFmtId="49" fontId="6" fillId="0" borderId="29" xfId="0" applyNumberFormat="1" applyFont="1" applyBorder="1" applyAlignment="1">
      <alignment horizontal="left" vertical="center" wrapText="1"/>
    </xf>
    <xf numFmtId="49" fontId="13" fillId="0" borderId="52" xfId="0" applyNumberFormat="1" applyFont="1" applyBorder="1" applyAlignment="1">
      <alignment horizontal="left" vertical="center" wrapText="1"/>
    </xf>
    <xf numFmtId="49" fontId="24" fillId="0" borderId="52" xfId="0" applyNumberFormat="1" applyFont="1" applyBorder="1" applyAlignment="1">
      <alignment horizontal="left" vertical="center" wrapText="1"/>
    </xf>
    <xf numFmtId="164" fontId="9" fillId="0" borderId="18" xfId="0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15" fillId="0" borderId="19" xfId="0" applyNumberFormat="1" applyFont="1" applyFill="1" applyBorder="1" applyAlignment="1">
      <alignment horizontal="center" vertical="center"/>
    </xf>
    <xf numFmtId="164" fontId="19" fillId="0" borderId="19" xfId="0" applyNumberFormat="1" applyFont="1" applyFill="1" applyBorder="1" applyAlignment="1">
      <alignment horizontal="center" vertical="center"/>
    </xf>
    <xf numFmtId="164" fontId="14" fillId="0" borderId="19" xfId="0" applyNumberFormat="1" applyFont="1" applyFill="1" applyBorder="1" applyAlignment="1">
      <alignment horizontal="center" vertical="center"/>
    </xf>
    <xf numFmtId="164" fontId="18" fillId="0" borderId="19" xfId="0" applyNumberFormat="1" applyFont="1" applyFill="1" applyBorder="1" applyAlignment="1">
      <alignment horizontal="center" vertical="center"/>
    </xf>
    <xf numFmtId="165" fontId="10" fillId="0" borderId="19" xfId="0" applyNumberFormat="1" applyFont="1" applyFill="1" applyBorder="1" applyAlignment="1">
      <alignment horizontal="center" vertical="center"/>
    </xf>
    <xf numFmtId="164" fontId="10" fillId="24" borderId="19" xfId="0" applyNumberFormat="1" applyFont="1" applyFill="1" applyBorder="1" applyAlignment="1">
      <alignment horizontal="center" vertical="center"/>
    </xf>
    <xf numFmtId="164" fontId="10" fillId="0" borderId="21" xfId="0" applyNumberFormat="1" applyFont="1" applyFill="1" applyBorder="1" applyAlignment="1">
      <alignment horizontal="center" vertical="center"/>
    </xf>
    <xf numFmtId="164" fontId="5" fillId="0" borderId="22" xfId="0" applyNumberFormat="1" applyFont="1" applyFill="1" applyBorder="1" applyAlignment="1">
      <alignment horizontal="center" vertical="center"/>
    </xf>
    <xf numFmtId="0" fontId="8" fillId="0" borderId="44" xfId="0" applyNumberFormat="1" applyFont="1" applyBorder="1" applyAlignment="1">
      <alignment horizontal="left" vertical="center" wrapText="1"/>
    </xf>
    <xf numFmtId="49" fontId="13" fillId="0" borderId="27" xfId="0" applyNumberFormat="1" applyFont="1" applyBorder="1" applyAlignment="1">
      <alignment horizontal="justify" vertical="top" wrapText="1"/>
    </xf>
    <xf numFmtId="49" fontId="13" fillId="0" borderId="27" xfId="0" applyNumberFormat="1" applyFont="1" applyBorder="1" applyAlignment="1">
      <alignment horizontal="left" vertical="top" wrapText="1"/>
    </xf>
    <xf numFmtId="49" fontId="13" fillId="0" borderId="27" xfId="0" applyNumberFormat="1" applyFont="1" applyBorder="1" applyAlignment="1">
      <alignment horizontal="left" wrapText="1"/>
    </xf>
    <xf numFmtId="49" fontId="13" fillId="0" borderId="51" xfId="0" applyNumberFormat="1" applyFont="1" applyBorder="1" applyAlignment="1">
      <alignment horizontal="left" wrapText="1"/>
    </xf>
    <xf numFmtId="0" fontId="6" fillId="0" borderId="20" xfId="0" applyFont="1" applyBorder="1" applyAlignment="1">
      <alignment vertical="center" wrapText="1"/>
    </xf>
    <xf numFmtId="49" fontId="6" fillId="0" borderId="51" xfId="0" applyNumberFormat="1" applyFont="1" applyBorder="1" applyAlignment="1">
      <alignment horizontal="center"/>
    </xf>
    <xf numFmtId="49" fontId="6" fillId="0" borderId="51" xfId="0" applyNumberFormat="1" applyFont="1" applyBorder="1" applyAlignment="1">
      <alignment horizontal="left"/>
    </xf>
    <xf numFmtId="0" fontId="12" fillId="0" borderId="20" xfId="0" applyFont="1" applyBorder="1" applyAlignment="1">
      <alignment vertical="center" wrapText="1"/>
    </xf>
    <xf numFmtId="49" fontId="6" fillId="0" borderId="27" xfId="0" applyNumberFormat="1" applyFont="1" applyBorder="1"/>
    <xf numFmtId="49" fontId="6" fillId="0" borderId="27" xfId="0" applyNumberFormat="1" applyFont="1" applyFill="1" applyBorder="1" applyAlignment="1">
      <alignment horizontal="left"/>
    </xf>
    <xf numFmtId="49" fontId="6" fillId="0" borderId="27" xfId="0" applyNumberFormat="1" applyFont="1" applyBorder="1" applyAlignment="1">
      <alignment horizontal="left"/>
    </xf>
    <xf numFmtId="49" fontId="6" fillId="0" borderId="51" xfId="0" applyNumberFormat="1" applyFont="1" applyFill="1" applyBorder="1" applyAlignment="1">
      <alignment horizontal="left"/>
    </xf>
    <xf numFmtId="166" fontId="0" fillId="0" borderId="0" xfId="0" applyNumberFormat="1"/>
    <xf numFmtId="166" fontId="4" fillId="0" borderId="0" xfId="0" applyNumberFormat="1" applyFont="1"/>
    <xf numFmtId="166" fontId="0" fillId="24" borderId="0" xfId="0" applyNumberFormat="1" applyFill="1"/>
    <xf numFmtId="166" fontId="6" fillId="0" borderId="0" xfId="0" applyNumberFormat="1" applyFont="1"/>
    <xf numFmtId="166" fontId="0" fillId="0" borderId="0" xfId="0" applyNumberFormat="1" applyFill="1"/>
    <xf numFmtId="166" fontId="11" fillId="0" borderId="0" xfId="0" applyNumberFormat="1" applyFont="1" applyFill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Fill="1"/>
    <xf numFmtId="166" fontId="1" fillId="0" borderId="0" xfId="0" applyNumberFormat="1" applyFont="1" applyFill="1" applyAlignment="1">
      <alignment wrapText="1"/>
    </xf>
    <xf numFmtId="166" fontId="18" fillId="0" borderId="0" xfId="0" applyNumberFormat="1" applyFont="1" applyFill="1"/>
    <xf numFmtId="166" fontId="13" fillId="0" borderId="0" xfId="0" applyNumberFormat="1" applyFont="1"/>
    <xf numFmtId="166" fontId="18" fillId="0" borderId="0" xfId="0" applyNumberFormat="1" applyFont="1"/>
    <xf numFmtId="166" fontId="21" fillId="0" borderId="0" xfId="0" applyNumberFormat="1" applyFont="1"/>
    <xf numFmtId="166" fontId="11" fillId="0" borderId="0" xfId="0" applyNumberFormat="1" applyFont="1" applyFill="1"/>
    <xf numFmtId="166" fontId="11" fillId="0" borderId="0" xfId="0" applyNumberFormat="1" applyFont="1"/>
    <xf numFmtId="166" fontId="22" fillId="24" borderId="0" xfId="0" applyNumberFormat="1" applyFont="1" applyFill="1"/>
    <xf numFmtId="166" fontId="2" fillId="24" borderId="0" xfId="0" applyNumberFormat="1" applyFont="1" applyFill="1"/>
    <xf numFmtId="166" fontId="4" fillId="0" borderId="0" xfId="0" applyNumberFormat="1" applyFont="1" applyFill="1"/>
    <xf numFmtId="166" fontId="0" fillId="0" borderId="0" xfId="0" applyNumberFormat="1" applyAlignment="1"/>
    <xf numFmtId="166" fontId="4" fillId="0" borderId="0" xfId="0" applyNumberFormat="1" applyFont="1" applyAlignment="1"/>
    <xf numFmtId="0" fontId="6" fillId="25" borderId="20" xfId="0" applyFont="1" applyFill="1" applyBorder="1" applyAlignment="1">
      <alignment horizontal="left" vertical="center" wrapText="1"/>
    </xf>
    <xf numFmtId="49" fontId="6" fillId="0" borderId="27" xfId="0" applyNumberFormat="1" applyFont="1" applyBorder="1" applyAlignment="1">
      <alignment vertical="center" wrapText="1"/>
    </xf>
    <xf numFmtId="2" fontId="4" fillId="0" borderId="0" xfId="0" applyNumberFormat="1" applyFont="1"/>
    <xf numFmtId="2" fontId="21" fillId="0" borderId="0" xfId="0" applyNumberFormat="1" applyFont="1"/>
    <xf numFmtId="2" fontId="0" fillId="0" borderId="0" xfId="0" applyNumberFormat="1"/>
    <xf numFmtId="2" fontId="0" fillId="0" borderId="0" xfId="0" applyNumberFormat="1" applyFill="1"/>
    <xf numFmtId="49" fontId="6" fillId="0" borderId="27" xfId="0" applyNumberFormat="1" applyFont="1" applyFill="1" applyBorder="1" applyAlignment="1">
      <alignment horizontal="left" wrapText="1"/>
    </xf>
    <xf numFmtId="43" fontId="12" fillId="0" borderId="20" xfId="42" applyFont="1" applyBorder="1" applyAlignment="1">
      <alignment horizontal="left" vertical="center" wrapText="1"/>
    </xf>
    <xf numFmtId="43" fontId="13" fillId="0" borderId="27" xfId="42" applyFont="1" applyBorder="1" applyAlignment="1">
      <alignment horizontal="left" vertical="center" wrapText="1"/>
    </xf>
    <xf numFmtId="43" fontId="6" fillId="0" borderId="27" xfId="42" applyFont="1" applyFill="1" applyBorder="1" applyAlignment="1">
      <alignment horizontal="left" vertical="center" wrapText="1"/>
    </xf>
    <xf numFmtId="43" fontId="6" fillId="0" borderId="51" xfId="42" applyFont="1" applyFill="1" applyBorder="1" applyAlignment="1">
      <alignment horizontal="left" vertical="center" wrapText="1"/>
    </xf>
    <xf numFmtId="43" fontId="15" fillId="0" borderId="19" xfId="42" applyFont="1" applyFill="1" applyBorder="1" applyAlignment="1">
      <alignment horizontal="center" vertical="center"/>
    </xf>
    <xf numFmtId="43" fontId="0" fillId="0" borderId="0" xfId="42" applyFont="1"/>
    <xf numFmtId="43" fontId="6" fillId="0" borderId="20" xfId="42" applyFont="1" applyBorder="1" applyAlignment="1">
      <alignment horizontal="left" vertical="center" wrapText="1"/>
    </xf>
    <xf numFmtId="43" fontId="6" fillId="0" borderId="27" xfId="42" applyFont="1" applyBorder="1" applyAlignment="1">
      <alignment horizontal="left" vertical="center" wrapText="1"/>
    </xf>
    <xf numFmtId="43" fontId="6" fillId="0" borderId="20" xfId="42" applyFont="1" applyFill="1" applyBorder="1" applyAlignment="1">
      <alignment horizontal="left" vertical="center" wrapText="1"/>
    </xf>
    <xf numFmtId="0" fontId="1" fillId="0" borderId="0" xfId="44"/>
    <xf numFmtId="0" fontId="1" fillId="0" borderId="0" xfId="44" applyFont="1"/>
    <xf numFmtId="0" fontId="2" fillId="0" borderId="0" xfId="0" applyFont="1" applyBorder="1"/>
    <xf numFmtId="0" fontId="15" fillId="0" borderId="0" xfId="44" applyFont="1"/>
    <xf numFmtId="0" fontId="9" fillId="0" borderId="0" xfId="44" applyFont="1"/>
    <xf numFmtId="0" fontId="15" fillId="0" borderId="10" xfId="44" applyFont="1" applyBorder="1"/>
    <xf numFmtId="0" fontId="15" fillId="0" borderId="22" xfId="44" applyFont="1" applyBorder="1" applyAlignment="1">
      <alignment horizontal="center" vertical="justify"/>
    </xf>
    <xf numFmtId="0" fontId="15" fillId="0" borderId="34" xfId="44" applyFont="1" applyBorder="1" applyAlignment="1">
      <alignment horizontal="left" wrapText="1"/>
    </xf>
    <xf numFmtId="164" fontId="15" fillId="0" borderId="40" xfId="44" applyNumberFormat="1" applyFont="1" applyBorder="1" applyAlignment="1">
      <alignment horizontal="center" vertical="center"/>
    </xf>
    <xf numFmtId="0" fontId="15" fillId="0" borderId="54" xfId="44" applyFont="1" applyBorder="1" applyAlignment="1">
      <alignment horizontal="center"/>
    </xf>
    <xf numFmtId="164" fontId="15" fillId="0" borderId="19" xfId="44" applyNumberFormat="1" applyFont="1" applyBorder="1" applyAlignment="1">
      <alignment horizontal="center" vertical="center"/>
    </xf>
    <xf numFmtId="0" fontId="15" fillId="0" borderId="55" xfId="44" applyFont="1" applyBorder="1" applyAlignment="1">
      <alignment horizontal="center"/>
    </xf>
    <xf numFmtId="0" fontId="15" fillId="0" borderId="22" xfId="44" applyFont="1" applyBorder="1" applyAlignment="1">
      <alignment horizontal="left" wrapText="1"/>
    </xf>
    <xf numFmtId="164" fontId="15" fillId="0" borderId="22" xfId="44" applyNumberFormat="1" applyFont="1" applyBorder="1" applyAlignment="1">
      <alignment horizontal="center" vertical="center"/>
    </xf>
    <xf numFmtId="0" fontId="15" fillId="0" borderId="56" xfId="44" applyFont="1" applyBorder="1" applyAlignment="1">
      <alignment wrapText="1"/>
    </xf>
    <xf numFmtId="0" fontId="15" fillId="0" borderId="57" xfId="44" applyFont="1" applyBorder="1" applyAlignment="1">
      <alignment horizontal="center"/>
    </xf>
    <xf numFmtId="164" fontId="15" fillId="0" borderId="21" xfId="44" applyNumberFormat="1" applyFont="1" applyBorder="1" applyAlignment="1">
      <alignment horizontal="center" vertical="center"/>
    </xf>
    <xf numFmtId="0" fontId="15" fillId="0" borderId="22" xfId="44" applyFont="1" applyBorder="1"/>
    <xf numFmtId="0" fontId="15" fillId="0" borderId="56" xfId="44" applyFont="1" applyBorder="1" applyAlignment="1">
      <alignment horizontal="center"/>
    </xf>
    <xf numFmtId="164" fontId="15" fillId="0" borderId="33" xfId="44" applyNumberFormat="1" applyFont="1" applyBorder="1" applyAlignment="1">
      <alignment horizontal="center" vertical="center"/>
    </xf>
    <xf numFmtId="49" fontId="46" fillId="0" borderId="0" xfId="45" applyNumberFormat="1" applyFont="1" applyAlignment="1">
      <alignment horizontal="left"/>
    </xf>
    <xf numFmtId="0" fontId="1" fillId="0" borderId="0" xfId="0" applyFont="1" applyFill="1" applyAlignment="1">
      <alignment horizontal="right" wrapText="1"/>
    </xf>
    <xf numFmtId="0" fontId="0" fillId="0" borderId="0" xfId="0" applyFill="1" applyAlignment="1">
      <alignment horizontal="right"/>
    </xf>
    <xf numFmtId="0" fontId="46" fillId="0" borderId="0" xfId="45" applyFo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49" fontId="47" fillId="0" borderId="0" xfId="45" applyNumberFormat="1" applyFont="1" applyFill="1" applyAlignment="1">
      <alignment horizontal="left"/>
    </xf>
    <xf numFmtId="0" fontId="19" fillId="0" borderId="0" xfId="45" applyFont="1" applyAlignment="1">
      <alignment wrapText="1"/>
    </xf>
    <xf numFmtId="0" fontId="46" fillId="0" borderId="0" xfId="45" applyFont="1" applyAlignment="1"/>
    <xf numFmtId="0" fontId="50" fillId="0" borderId="0" xfId="45" applyFont="1" applyAlignment="1">
      <alignment horizontal="center" vertical="center" wrapText="1"/>
    </xf>
    <xf numFmtId="49" fontId="49" fillId="0" borderId="27" xfId="45" applyNumberFormat="1" applyFont="1" applyBorder="1" applyAlignment="1">
      <alignment horizontal="left" vertical="center" wrapText="1"/>
    </xf>
    <xf numFmtId="0" fontId="51" fillId="0" borderId="27" xfId="0" applyFont="1" applyBorder="1" applyAlignment="1">
      <alignment vertical="center" wrapText="1"/>
    </xf>
    <xf numFmtId="164" fontId="49" fillId="0" borderId="27" xfId="45" applyNumberFormat="1" applyFont="1" applyBorder="1" applyAlignment="1">
      <alignment horizontal="center" vertical="center" wrapText="1"/>
    </xf>
    <xf numFmtId="0" fontId="49" fillId="0" borderId="0" xfId="45" applyFont="1"/>
    <xf numFmtId="49" fontId="13" fillId="0" borderId="27" xfId="45" applyNumberFormat="1" applyFont="1" applyBorder="1" applyAlignment="1">
      <alignment horizontal="left" vertical="center" wrapText="1"/>
    </xf>
    <xf numFmtId="0" fontId="15" fillId="0" borderId="27" xfId="46" applyFont="1" applyBorder="1" applyAlignment="1">
      <alignment vertical="center" wrapText="1"/>
    </xf>
    <xf numFmtId="164" fontId="13" fillId="0" borderId="27" xfId="45" applyNumberFormat="1" applyFont="1" applyBorder="1" applyAlignment="1">
      <alignment horizontal="center" vertical="center" wrapText="1"/>
    </xf>
    <xf numFmtId="0" fontId="19" fillId="0" borderId="27" xfId="0" applyFont="1" applyFill="1" applyBorder="1" applyAlignment="1">
      <alignment vertical="center" wrapText="1"/>
    </xf>
    <xf numFmtId="0" fontId="19" fillId="0" borderId="48" xfId="0" applyFont="1" applyFill="1" applyBorder="1" applyAlignment="1">
      <alignment vertical="center" wrapText="1"/>
    </xf>
    <xf numFmtId="0" fontId="19" fillId="0" borderId="48" xfId="0" applyFont="1" applyBorder="1" applyAlignment="1">
      <alignment horizontal="left" vertical="center" wrapText="1"/>
    </xf>
    <xf numFmtId="4" fontId="19" fillId="0" borderId="27" xfId="0" applyNumberFormat="1" applyFont="1" applyFill="1" applyBorder="1" applyAlignment="1">
      <alignment horizontal="left" vertical="center" wrapText="1"/>
    </xf>
    <xf numFmtId="0" fontId="13" fillId="0" borderId="0" xfId="45" applyFont="1"/>
    <xf numFmtId="0" fontId="19" fillId="0" borderId="58" xfId="0" applyFont="1" applyBorder="1" applyAlignment="1">
      <alignment horizontal="left" vertical="center" wrapText="1"/>
    </xf>
    <xf numFmtId="0" fontId="19" fillId="0" borderId="27" xfId="0" applyFont="1" applyBorder="1" applyAlignment="1">
      <alignment vertical="center" wrapText="1"/>
    </xf>
    <xf numFmtId="49" fontId="13" fillId="0" borderId="0" xfId="45" applyNumberFormat="1" applyFont="1" applyAlignment="1">
      <alignment horizontal="left"/>
    </xf>
    <xf numFmtId="0" fontId="13" fillId="0" borderId="0" xfId="45" applyFont="1" applyAlignment="1"/>
    <xf numFmtId="0" fontId="0" fillId="0" borderId="0" xfId="0" applyAlignment="1">
      <alignment horizontal="right" vertical="center" wrapText="1"/>
    </xf>
    <xf numFmtId="164" fontId="4" fillId="0" borderId="0" xfId="0" applyNumberFormat="1" applyFont="1" applyFill="1"/>
    <xf numFmtId="164" fontId="19" fillId="0" borderId="27" xfId="0" applyNumberFormat="1" applyFont="1" applyFill="1" applyBorder="1" applyAlignment="1">
      <alignment horizontal="center" vertical="center"/>
    </xf>
    <xf numFmtId="0" fontId="19" fillId="24" borderId="0" xfId="0" applyFont="1" applyFill="1"/>
    <xf numFmtId="0" fontId="3" fillId="0" borderId="0" xfId="48" applyFont="1" applyFill="1" applyAlignment="1">
      <alignment horizontal="center" vertical="center"/>
    </xf>
    <xf numFmtId="0" fontId="3" fillId="0" borderId="0" xfId="48" applyFont="1" applyFill="1" applyAlignment="1">
      <alignment horizontal="right" vertical="center"/>
    </xf>
    <xf numFmtId="0" fontId="19" fillId="0" borderId="0" xfId="48" applyFont="1" applyFill="1" applyAlignment="1">
      <alignment horizontal="center" vertical="center"/>
    </xf>
    <xf numFmtId="0" fontId="4" fillId="0" borderId="0" xfId="48" applyFont="1" applyFill="1" applyAlignment="1">
      <alignment horizontal="center" vertical="center" wrapText="1"/>
    </xf>
    <xf numFmtId="0" fontId="1" fillId="0" borderId="0" xfId="48" applyFont="1" applyFill="1" applyAlignment="1">
      <alignment horizontal="center" vertical="center" wrapText="1"/>
    </xf>
    <xf numFmtId="0" fontId="3" fillId="0" borderId="27" xfId="48" applyFont="1" applyFill="1" applyBorder="1" applyAlignment="1">
      <alignment horizontal="center" vertical="center" wrapText="1"/>
    </xf>
    <xf numFmtId="0" fontId="3" fillId="0" borderId="27" xfId="48" applyFont="1" applyFill="1" applyBorder="1" applyAlignment="1">
      <alignment horizontal="left" vertical="center" wrapText="1"/>
    </xf>
    <xf numFmtId="0" fontId="3" fillId="0" borderId="27" xfId="48" applyFont="1" applyBorder="1" applyAlignment="1">
      <alignment horizontal="left" vertical="center" wrapText="1"/>
    </xf>
    <xf numFmtId="0" fontId="3" fillId="25" borderId="27" xfId="48" applyFont="1" applyFill="1" applyBorder="1" applyAlignment="1">
      <alignment vertical="center" wrapText="1"/>
    </xf>
    <xf numFmtId="0" fontId="3" fillId="25" borderId="27" xfId="48" applyFont="1" applyFill="1" applyBorder="1" applyAlignment="1">
      <alignment horizontal="center" vertical="center" wrapText="1"/>
    </xf>
    <xf numFmtId="0" fontId="3" fillId="25" borderId="0" xfId="48" applyFont="1" applyFill="1" applyAlignment="1">
      <alignment horizontal="center" vertical="center"/>
    </xf>
    <xf numFmtId="0" fontId="52" fillId="24" borderId="0" xfId="48" applyFont="1" applyFill="1" applyAlignment="1">
      <alignment horizontal="center" vertical="center" wrapText="1"/>
    </xf>
    <xf numFmtId="0" fontId="52" fillId="24" borderId="0" xfId="48" applyFont="1" applyFill="1" applyAlignment="1">
      <alignment horizontal="right" vertical="center" wrapText="1"/>
    </xf>
    <xf numFmtId="0" fontId="52" fillId="24" borderId="0" xfId="48" applyFont="1" applyFill="1" applyAlignment="1">
      <alignment horizontal="right" vertical="center"/>
    </xf>
    <xf numFmtId="0" fontId="45" fillId="24" borderId="0" xfId="48" applyFont="1" applyFill="1" applyAlignment="1">
      <alignment horizontal="center" vertical="center" wrapText="1"/>
    </xf>
    <xf numFmtId="0" fontId="52" fillId="24" borderId="27" xfId="48" applyFont="1" applyFill="1" applyBorder="1" applyAlignment="1">
      <alignment horizontal="center" vertical="center" wrapText="1"/>
    </xf>
    <xf numFmtId="0" fontId="53" fillId="24" borderId="27" xfId="48" applyFont="1" applyFill="1" applyBorder="1" applyAlignment="1">
      <alignment vertical="center" wrapText="1"/>
    </xf>
    <xf numFmtId="49" fontId="52" fillId="24" borderId="27" xfId="48" applyNumberFormat="1" applyFont="1" applyFill="1" applyBorder="1" applyAlignment="1">
      <alignment horizontal="center" vertical="center" wrapText="1"/>
    </xf>
    <xf numFmtId="0" fontId="52" fillId="24" borderId="27" xfId="48" applyFont="1" applyFill="1" applyBorder="1" applyAlignment="1">
      <alignment vertical="center" wrapText="1"/>
    </xf>
    <xf numFmtId="0" fontId="53" fillId="24" borderId="27" xfId="48" applyFont="1" applyFill="1" applyBorder="1" applyAlignment="1">
      <alignment horizontal="left" vertical="center" wrapText="1"/>
    </xf>
    <xf numFmtId="0" fontId="52" fillId="25" borderId="27" xfId="48" applyFont="1" applyFill="1" applyBorder="1" applyAlignment="1">
      <alignment horizontal="center" vertical="center" wrapText="1"/>
    </xf>
    <xf numFmtId="49" fontId="52" fillId="25" borderId="27" xfId="48" applyNumberFormat="1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center" vertical="center" wrapText="1"/>
    </xf>
    <xf numFmtId="0" fontId="52" fillId="24" borderId="0" xfId="0" applyFont="1" applyFill="1" applyAlignment="1">
      <alignment horizontal="right" vertical="center" wrapText="1"/>
    </xf>
    <xf numFmtId="0" fontId="52" fillId="24" borderId="0" xfId="0" applyFont="1" applyFill="1" applyAlignment="1">
      <alignment horizontal="right" vertical="center"/>
    </xf>
    <xf numFmtId="0" fontId="53" fillId="24" borderId="0" xfId="0" applyFont="1" applyFill="1" applyAlignment="1">
      <alignment horizontal="right" vertical="center" wrapText="1"/>
    </xf>
    <xf numFmtId="0" fontId="52" fillId="24" borderId="27" xfId="0" applyFont="1" applyFill="1" applyBorder="1" applyAlignment="1">
      <alignment horizontal="center" vertical="center" wrapText="1"/>
    </xf>
    <xf numFmtId="0" fontId="53" fillId="24" borderId="27" xfId="0" applyFont="1" applyFill="1" applyBorder="1" applyAlignment="1">
      <alignment horizontal="left" vertical="center" wrapText="1"/>
    </xf>
    <xf numFmtId="49" fontId="52" fillId="24" borderId="51" xfId="0" applyNumberFormat="1" applyFont="1" applyFill="1" applyBorder="1" applyAlignment="1">
      <alignment horizontal="center" vertical="center" wrapText="1"/>
    </xf>
    <xf numFmtId="49" fontId="52" fillId="24" borderId="27" xfId="0" applyNumberFormat="1" applyFont="1" applyFill="1" applyBorder="1" applyAlignment="1">
      <alignment horizontal="center" vertical="center" wrapText="1"/>
    </xf>
    <xf numFmtId="0" fontId="52" fillId="24" borderId="27" xfId="0" applyFont="1" applyFill="1" applyBorder="1" applyAlignment="1">
      <alignment vertical="center" wrapText="1"/>
    </xf>
    <xf numFmtId="0" fontId="52" fillId="24" borderId="27" xfId="0" applyFont="1" applyFill="1" applyBorder="1" applyAlignment="1">
      <alignment horizontal="left" vertical="center" wrapText="1"/>
    </xf>
    <xf numFmtId="0" fontId="53" fillId="24" borderId="27" xfId="0" applyFont="1" applyFill="1" applyBorder="1" applyAlignment="1">
      <alignment vertical="center" wrapText="1"/>
    </xf>
    <xf numFmtId="0" fontId="52" fillId="24" borderId="27" xfId="0" applyNumberFormat="1" applyFont="1" applyFill="1" applyBorder="1" applyAlignment="1">
      <alignment vertical="center" wrapText="1"/>
    </xf>
    <xf numFmtId="0" fontId="52" fillId="25" borderId="27" xfId="0" applyFont="1" applyFill="1" applyBorder="1" applyAlignment="1">
      <alignment horizontal="center" vertical="center" wrapText="1"/>
    </xf>
    <xf numFmtId="49" fontId="52" fillId="25" borderId="27" xfId="0" applyNumberFormat="1" applyFont="1" applyFill="1" applyBorder="1" applyAlignment="1">
      <alignment horizontal="center" vertical="center" wrapText="1"/>
    </xf>
    <xf numFmtId="0" fontId="52" fillId="25" borderId="27" xfId="0" applyNumberFormat="1" applyFont="1" applyFill="1" applyBorder="1" applyAlignment="1">
      <alignment vertical="center" wrapText="1"/>
    </xf>
    <xf numFmtId="0" fontId="3" fillId="25" borderId="27" xfId="0" applyFont="1" applyFill="1" applyBorder="1" applyAlignment="1">
      <alignment horizontal="center" vertical="center" wrapText="1"/>
    </xf>
    <xf numFmtId="49" fontId="3" fillId="25" borderId="27" xfId="0" applyNumberFormat="1" applyFont="1" applyFill="1" applyBorder="1" applyAlignment="1">
      <alignment horizontal="center" vertical="center" wrapText="1"/>
    </xf>
    <xf numFmtId="0" fontId="3" fillId="25" borderId="27" xfId="0" applyFont="1" applyFill="1" applyBorder="1" applyAlignment="1">
      <alignment vertical="center" wrapText="1"/>
    </xf>
    <xf numFmtId="49" fontId="55" fillId="24" borderId="27" xfId="0" applyNumberFormat="1" applyFont="1" applyFill="1" applyBorder="1" applyAlignment="1">
      <alignment horizontal="center" vertical="center" wrapText="1"/>
    </xf>
    <xf numFmtId="49" fontId="52" fillId="24" borderId="27" xfId="0" applyNumberFormat="1" applyFont="1" applyFill="1" applyBorder="1" applyAlignment="1">
      <alignment horizontal="left" vertical="center" wrapText="1"/>
    </xf>
    <xf numFmtId="0" fontId="52" fillId="24" borderId="27" xfId="0" applyFont="1" applyFill="1" applyBorder="1" applyAlignment="1">
      <alignment wrapText="1"/>
    </xf>
    <xf numFmtId="0" fontId="52" fillId="24" borderId="0" xfId="0" applyFont="1" applyFill="1" applyAlignment="1">
      <alignment vertical="center"/>
    </xf>
    <xf numFmtId="0" fontId="3" fillId="25" borderId="27" xfId="0" applyFont="1" applyFill="1" applyBorder="1" applyAlignment="1">
      <alignment vertical="center"/>
    </xf>
    <xf numFmtId="49" fontId="53" fillId="24" borderId="27" xfId="0" applyNumberFormat="1" applyFont="1" applyFill="1" applyBorder="1" applyAlignment="1">
      <alignment horizontal="left" vertical="center" wrapText="1"/>
    </xf>
    <xf numFmtId="0" fontId="52" fillId="24" borderId="51" xfId="0" applyFont="1" applyFill="1" applyBorder="1" applyAlignment="1">
      <alignment horizontal="center" vertical="center" wrapText="1"/>
    </xf>
    <xf numFmtId="0" fontId="3" fillId="25" borderId="51" xfId="0" applyFont="1" applyFill="1" applyBorder="1" applyAlignment="1">
      <alignment horizontal="center" vertical="center" wrapText="1"/>
    </xf>
    <xf numFmtId="0" fontId="52" fillId="25" borderId="51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 wrapText="1"/>
    </xf>
    <xf numFmtId="0" fontId="52" fillId="0" borderId="0" xfId="0" applyFont="1" applyFill="1" applyAlignment="1">
      <alignment vertical="center" wrapText="1"/>
    </xf>
    <xf numFmtId="0" fontId="57" fillId="25" borderId="27" xfId="48" applyFont="1" applyFill="1" applyBorder="1" applyAlignment="1">
      <alignment vertical="center" wrapText="1"/>
    </xf>
    <xf numFmtId="164" fontId="9" fillId="0" borderId="22" xfId="0" applyNumberFormat="1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center" vertical="center"/>
    </xf>
    <xf numFmtId="164" fontId="15" fillId="0" borderId="13" xfId="44" applyNumberFormat="1" applyFont="1" applyBorder="1" applyAlignment="1">
      <alignment horizontal="center" vertical="center"/>
    </xf>
    <xf numFmtId="164" fontId="15" fillId="0" borderId="18" xfId="44" applyNumberFormat="1" applyFont="1" applyBorder="1" applyAlignment="1">
      <alignment horizontal="center" vertical="center"/>
    </xf>
    <xf numFmtId="0" fontId="56" fillId="0" borderId="51" xfId="48" applyFont="1" applyFill="1" applyBorder="1" applyAlignment="1">
      <alignment horizontal="left" vertical="center" wrapText="1"/>
    </xf>
    <xf numFmtId="0" fontId="56" fillId="0" borderId="48" xfId="48" applyFont="1" applyFill="1" applyBorder="1" applyAlignment="1">
      <alignment horizontal="left" vertical="center" wrapText="1"/>
    </xf>
    <xf numFmtId="0" fontId="9" fillId="0" borderId="0" xfId="48" applyFont="1" applyFill="1" applyAlignment="1">
      <alignment horizontal="center" vertical="center" wrapText="1"/>
    </xf>
    <xf numFmtId="0" fontId="56" fillId="0" borderId="27" xfId="48" applyFont="1" applyFill="1" applyBorder="1" applyAlignment="1">
      <alignment horizontal="left" vertical="center" wrapText="1"/>
    </xf>
    <xf numFmtId="0" fontId="56" fillId="0" borderId="51" xfId="48" applyFont="1" applyBorder="1" applyAlignment="1">
      <alignment horizontal="left" vertical="center" wrapText="1"/>
    </xf>
    <xf numFmtId="0" fontId="56" fillId="0" borderId="48" xfId="48" applyFont="1" applyBorder="1" applyAlignment="1">
      <alignment horizontal="left" vertical="center" wrapText="1"/>
    </xf>
    <xf numFmtId="49" fontId="56" fillId="0" borderId="51" xfId="48" applyNumberFormat="1" applyFont="1" applyFill="1" applyBorder="1" applyAlignment="1">
      <alignment horizontal="left" vertical="center" wrapText="1"/>
    </xf>
    <xf numFmtId="49" fontId="56" fillId="0" borderId="48" xfId="48" applyNumberFormat="1" applyFont="1" applyFill="1" applyBorder="1" applyAlignment="1">
      <alignment horizontal="left" vertical="center" wrapText="1"/>
    </xf>
    <xf numFmtId="49" fontId="56" fillId="0" borderId="27" xfId="48" applyNumberFormat="1" applyFont="1" applyFill="1" applyBorder="1" applyAlignment="1">
      <alignment horizontal="left" vertical="center" wrapText="1"/>
    </xf>
    <xf numFmtId="0" fontId="53" fillId="24" borderId="51" xfId="0" applyFont="1" applyFill="1" applyBorder="1" applyAlignment="1">
      <alignment horizontal="left" vertical="center" wrapText="1"/>
    </xf>
    <xf numFmtId="0" fontId="53" fillId="24" borderId="48" xfId="0" applyFont="1" applyFill="1" applyBorder="1" applyAlignment="1">
      <alignment horizontal="left" vertical="center" wrapText="1"/>
    </xf>
    <xf numFmtId="0" fontId="45" fillId="24" borderId="0" xfId="0" applyFont="1" applyFill="1" applyAlignment="1">
      <alignment horizontal="center" vertical="center" wrapText="1"/>
    </xf>
    <xf numFmtId="0" fontId="52" fillId="24" borderId="0" xfId="0" applyFont="1" applyFill="1" applyBorder="1" applyAlignment="1">
      <alignment horizontal="center" vertical="center" wrapText="1"/>
    </xf>
    <xf numFmtId="0" fontId="52" fillId="25" borderId="27" xfId="0" applyFont="1" applyFill="1" applyBorder="1" applyAlignment="1">
      <alignment horizontal="center" vertical="center" wrapText="1"/>
    </xf>
    <xf numFmtId="49" fontId="53" fillId="24" borderId="51" xfId="0" applyNumberFormat="1" applyFont="1" applyFill="1" applyBorder="1" applyAlignment="1">
      <alignment horizontal="left" vertical="center" wrapText="1"/>
    </xf>
    <xf numFmtId="49" fontId="53" fillId="24" borderId="48" xfId="0" applyNumberFormat="1" applyFont="1" applyFill="1" applyBorder="1" applyAlignment="1">
      <alignment horizontal="left" vertical="center" wrapText="1"/>
    </xf>
    <xf numFmtId="0" fontId="54" fillId="0" borderId="0" xfId="0" applyFont="1" applyFill="1" applyAlignment="1">
      <alignment horizontal="left" vertical="center" wrapText="1"/>
    </xf>
    <xf numFmtId="0" fontId="52" fillId="0" borderId="0" xfId="0" applyFont="1" applyFill="1" applyAlignment="1">
      <alignment horizontal="left" vertical="center" wrapText="1"/>
    </xf>
    <xf numFmtId="0" fontId="52" fillId="25" borderId="51" xfId="0" applyFont="1" applyFill="1" applyBorder="1" applyAlignment="1">
      <alignment horizontal="center" vertical="center" wrapText="1"/>
    </xf>
    <xf numFmtId="0" fontId="52" fillId="24" borderId="48" xfId="0" applyFont="1" applyFill="1" applyBorder="1" applyAlignment="1">
      <alignment horizontal="center" vertical="center" wrapText="1"/>
    </xf>
    <xf numFmtId="0" fontId="52" fillId="24" borderId="0" xfId="0" applyFont="1" applyFill="1" applyAlignment="1">
      <alignment horizontal="left" vertical="center" wrapText="1"/>
    </xf>
    <xf numFmtId="0" fontId="45" fillId="24" borderId="0" xfId="48" applyFont="1" applyFill="1" applyAlignment="1">
      <alignment horizontal="center" vertical="center" wrapText="1"/>
    </xf>
    <xf numFmtId="0" fontId="52" fillId="25" borderId="27" xfId="48" applyFont="1" applyFill="1" applyBorder="1" applyAlignment="1">
      <alignment horizontal="center" vertical="center" wrapText="1"/>
    </xf>
    <xf numFmtId="0" fontId="53" fillId="24" borderId="27" xfId="48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6" fillId="0" borderId="13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49" fillId="0" borderId="27" xfId="45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48" fillId="0" borderId="0" xfId="45" applyFont="1" applyAlignment="1">
      <alignment horizontal="center" vertical="justify" wrapText="1"/>
    </xf>
    <xf numFmtId="0" fontId="48" fillId="0" borderId="0" xfId="45" applyFont="1" applyAlignment="1">
      <alignment horizontal="center" vertical="justify"/>
    </xf>
    <xf numFmtId="0" fontId="49" fillId="0" borderId="29" xfId="45" applyFont="1" applyBorder="1" applyAlignment="1">
      <alignment horizontal="center" vertical="center" wrapText="1"/>
    </xf>
    <xf numFmtId="0" fontId="49" fillId="0" borderId="38" xfId="45" applyFont="1" applyBorder="1" applyAlignment="1">
      <alignment horizontal="center" vertical="center" wrapText="1"/>
    </xf>
    <xf numFmtId="0" fontId="49" fillId="0" borderId="25" xfId="45" applyFont="1" applyBorder="1" applyAlignment="1">
      <alignment horizontal="center" vertical="center" wrapText="1"/>
    </xf>
    <xf numFmtId="49" fontId="45" fillId="0" borderId="27" xfId="45" applyNumberFormat="1" applyFont="1" applyBorder="1" applyAlignment="1">
      <alignment horizontal="center" vertical="center" wrapText="1"/>
    </xf>
  </cellXfs>
  <cellStyles count="49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2" xfId="48"/>
    <cellStyle name="Обычный 3" xfId="47"/>
    <cellStyle name="Обычный_бюджет на 2008 год 1" xfId="44"/>
    <cellStyle name="Обычный_Источники" xfId="46"/>
    <cellStyle name="Обычный_Приложение №1+№4" xfId="45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42" builtinId="3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%20&#1091;&#1090;&#1086;&#1095;&#1085;&#1077;&#1085;&#1080;&#1102;%202008%20&#1075;&#1086;&#1076;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%20&#1091;&#1090;&#1086;&#1095;&#1085;&#1077;&#1085;&#1080;&#1102;%202013%20&#1075;%20(5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ункц."/>
      <sheetName val="Ведомств."/>
      <sheetName val="Госполномочия"/>
      <sheetName val="заимст"/>
    </sheetNames>
    <sheetDataSet>
      <sheetData sheetId="0"/>
      <sheetData sheetId="1" refreshError="1">
        <row r="141">
          <cell r="F141" t="str">
            <v>003</v>
          </cell>
        </row>
        <row r="180">
          <cell r="F180" t="str">
            <v>500</v>
          </cell>
        </row>
        <row r="701">
          <cell r="F701" t="str">
            <v>079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ГАДы"/>
      <sheetName val="функцион.2013"/>
      <sheetName val="ведомствен.2013"/>
      <sheetName val="Прогр.заимств.2013"/>
      <sheetName val="Прогр.заимств.2014-2015"/>
      <sheetName val="Источники 2013"/>
      <sheetName val="Источники 2014-2015"/>
      <sheetName val="Ожидаемое"/>
      <sheetName val="Лист2"/>
    </sheetNames>
    <sheetDataSet>
      <sheetData sheetId="0"/>
      <sheetData sheetId="1"/>
      <sheetData sheetId="2">
        <row r="360">
          <cell r="G360">
            <v>62091.6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50"/>
  <sheetViews>
    <sheetView tabSelected="1" workbookViewId="0">
      <selection activeCell="D6" sqref="D6"/>
    </sheetView>
  </sheetViews>
  <sheetFormatPr defaultRowHeight="12.75"/>
  <cols>
    <col min="1" max="1" width="79.5703125" style="311" customWidth="1"/>
    <col min="2" max="2" width="14.42578125" style="311" customWidth="1"/>
    <col min="3" max="256" width="9.140625" style="311"/>
    <col min="257" max="257" width="79.5703125" style="311" customWidth="1"/>
    <col min="258" max="258" width="14.42578125" style="311" customWidth="1"/>
    <col min="259" max="512" width="9.140625" style="311"/>
    <col min="513" max="513" width="79.5703125" style="311" customWidth="1"/>
    <col min="514" max="514" width="14.42578125" style="311" customWidth="1"/>
    <col min="515" max="768" width="9.140625" style="311"/>
    <col min="769" max="769" width="79.5703125" style="311" customWidth="1"/>
    <col min="770" max="770" width="14.42578125" style="311" customWidth="1"/>
    <col min="771" max="1024" width="9.140625" style="311"/>
    <col min="1025" max="1025" width="79.5703125" style="311" customWidth="1"/>
    <col min="1026" max="1026" width="14.42578125" style="311" customWidth="1"/>
    <col min="1027" max="1280" width="9.140625" style="311"/>
    <col min="1281" max="1281" width="79.5703125" style="311" customWidth="1"/>
    <col min="1282" max="1282" width="14.42578125" style="311" customWidth="1"/>
    <col min="1283" max="1536" width="9.140625" style="311"/>
    <col min="1537" max="1537" width="79.5703125" style="311" customWidth="1"/>
    <col min="1538" max="1538" width="14.42578125" style="311" customWidth="1"/>
    <col min="1539" max="1792" width="9.140625" style="311"/>
    <col min="1793" max="1793" width="79.5703125" style="311" customWidth="1"/>
    <col min="1794" max="1794" width="14.42578125" style="311" customWidth="1"/>
    <col min="1795" max="2048" width="9.140625" style="311"/>
    <col min="2049" max="2049" width="79.5703125" style="311" customWidth="1"/>
    <col min="2050" max="2050" width="14.42578125" style="311" customWidth="1"/>
    <col min="2051" max="2304" width="9.140625" style="311"/>
    <col min="2305" max="2305" width="79.5703125" style="311" customWidth="1"/>
    <col min="2306" max="2306" width="14.42578125" style="311" customWidth="1"/>
    <col min="2307" max="2560" width="9.140625" style="311"/>
    <col min="2561" max="2561" width="79.5703125" style="311" customWidth="1"/>
    <col min="2562" max="2562" width="14.42578125" style="311" customWidth="1"/>
    <col min="2563" max="2816" width="9.140625" style="311"/>
    <col min="2817" max="2817" width="79.5703125" style="311" customWidth="1"/>
    <col min="2818" max="2818" width="14.42578125" style="311" customWidth="1"/>
    <col min="2819" max="3072" width="9.140625" style="311"/>
    <col min="3073" max="3073" width="79.5703125" style="311" customWidth="1"/>
    <col min="3074" max="3074" width="14.42578125" style="311" customWidth="1"/>
    <col min="3075" max="3328" width="9.140625" style="311"/>
    <col min="3329" max="3329" width="79.5703125" style="311" customWidth="1"/>
    <col min="3330" max="3330" width="14.42578125" style="311" customWidth="1"/>
    <col min="3331" max="3584" width="9.140625" style="311"/>
    <col min="3585" max="3585" width="79.5703125" style="311" customWidth="1"/>
    <col min="3586" max="3586" width="14.42578125" style="311" customWidth="1"/>
    <col min="3587" max="3840" width="9.140625" style="311"/>
    <col min="3841" max="3841" width="79.5703125" style="311" customWidth="1"/>
    <col min="3842" max="3842" width="14.42578125" style="311" customWidth="1"/>
    <col min="3843" max="4096" width="9.140625" style="311"/>
    <col min="4097" max="4097" width="79.5703125" style="311" customWidth="1"/>
    <col min="4098" max="4098" width="14.42578125" style="311" customWidth="1"/>
    <col min="4099" max="4352" width="9.140625" style="311"/>
    <col min="4353" max="4353" width="79.5703125" style="311" customWidth="1"/>
    <col min="4354" max="4354" width="14.42578125" style="311" customWidth="1"/>
    <col min="4355" max="4608" width="9.140625" style="311"/>
    <col min="4609" max="4609" width="79.5703125" style="311" customWidth="1"/>
    <col min="4610" max="4610" width="14.42578125" style="311" customWidth="1"/>
    <col min="4611" max="4864" width="9.140625" style="311"/>
    <col min="4865" max="4865" width="79.5703125" style="311" customWidth="1"/>
    <col min="4866" max="4866" width="14.42578125" style="311" customWidth="1"/>
    <col min="4867" max="5120" width="9.140625" style="311"/>
    <col min="5121" max="5121" width="79.5703125" style="311" customWidth="1"/>
    <col min="5122" max="5122" width="14.42578125" style="311" customWidth="1"/>
    <col min="5123" max="5376" width="9.140625" style="311"/>
    <col min="5377" max="5377" width="79.5703125" style="311" customWidth="1"/>
    <col min="5378" max="5378" width="14.42578125" style="311" customWidth="1"/>
    <col min="5379" max="5632" width="9.140625" style="311"/>
    <col min="5633" max="5633" width="79.5703125" style="311" customWidth="1"/>
    <col min="5634" max="5634" width="14.42578125" style="311" customWidth="1"/>
    <col min="5635" max="5888" width="9.140625" style="311"/>
    <col min="5889" max="5889" width="79.5703125" style="311" customWidth="1"/>
    <col min="5890" max="5890" width="14.42578125" style="311" customWidth="1"/>
    <col min="5891" max="6144" width="9.140625" style="311"/>
    <col min="6145" max="6145" width="79.5703125" style="311" customWidth="1"/>
    <col min="6146" max="6146" width="14.42578125" style="311" customWidth="1"/>
    <col min="6147" max="6400" width="9.140625" style="311"/>
    <col min="6401" max="6401" width="79.5703125" style="311" customWidth="1"/>
    <col min="6402" max="6402" width="14.42578125" style="311" customWidth="1"/>
    <col min="6403" max="6656" width="9.140625" style="311"/>
    <col min="6657" max="6657" width="79.5703125" style="311" customWidth="1"/>
    <col min="6658" max="6658" width="14.42578125" style="311" customWidth="1"/>
    <col min="6659" max="6912" width="9.140625" style="311"/>
    <col min="6913" max="6913" width="79.5703125" style="311" customWidth="1"/>
    <col min="6914" max="6914" width="14.42578125" style="311" customWidth="1"/>
    <col min="6915" max="7168" width="9.140625" style="311"/>
    <col min="7169" max="7169" width="79.5703125" style="311" customWidth="1"/>
    <col min="7170" max="7170" width="14.42578125" style="311" customWidth="1"/>
    <col min="7171" max="7424" width="9.140625" style="311"/>
    <col min="7425" max="7425" width="79.5703125" style="311" customWidth="1"/>
    <col min="7426" max="7426" width="14.42578125" style="311" customWidth="1"/>
    <col min="7427" max="7680" width="9.140625" style="311"/>
    <col min="7681" max="7681" width="79.5703125" style="311" customWidth="1"/>
    <col min="7682" max="7682" width="14.42578125" style="311" customWidth="1"/>
    <col min="7683" max="7936" width="9.140625" style="311"/>
    <col min="7937" max="7937" width="79.5703125" style="311" customWidth="1"/>
    <col min="7938" max="7938" width="14.42578125" style="311" customWidth="1"/>
    <col min="7939" max="8192" width="9.140625" style="311"/>
    <col min="8193" max="8193" width="79.5703125" style="311" customWidth="1"/>
    <col min="8194" max="8194" width="14.42578125" style="311" customWidth="1"/>
    <col min="8195" max="8448" width="9.140625" style="311"/>
    <col min="8449" max="8449" width="79.5703125" style="311" customWidth="1"/>
    <col min="8450" max="8450" width="14.42578125" style="311" customWidth="1"/>
    <col min="8451" max="8704" width="9.140625" style="311"/>
    <col min="8705" max="8705" width="79.5703125" style="311" customWidth="1"/>
    <col min="8706" max="8706" width="14.42578125" style="311" customWidth="1"/>
    <col min="8707" max="8960" width="9.140625" style="311"/>
    <col min="8961" max="8961" width="79.5703125" style="311" customWidth="1"/>
    <col min="8962" max="8962" width="14.42578125" style="311" customWidth="1"/>
    <col min="8963" max="9216" width="9.140625" style="311"/>
    <col min="9217" max="9217" width="79.5703125" style="311" customWidth="1"/>
    <col min="9218" max="9218" width="14.42578125" style="311" customWidth="1"/>
    <col min="9219" max="9472" width="9.140625" style="311"/>
    <col min="9473" max="9473" width="79.5703125" style="311" customWidth="1"/>
    <col min="9474" max="9474" width="14.42578125" style="311" customWidth="1"/>
    <col min="9475" max="9728" width="9.140625" style="311"/>
    <col min="9729" max="9729" width="79.5703125" style="311" customWidth="1"/>
    <col min="9730" max="9730" width="14.42578125" style="311" customWidth="1"/>
    <col min="9731" max="9984" width="9.140625" style="311"/>
    <col min="9985" max="9985" width="79.5703125" style="311" customWidth="1"/>
    <col min="9986" max="9986" width="14.42578125" style="311" customWidth="1"/>
    <col min="9987" max="10240" width="9.140625" style="311"/>
    <col min="10241" max="10241" width="79.5703125" style="311" customWidth="1"/>
    <col min="10242" max="10242" width="14.42578125" style="311" customWidth="1"/>
    <col min="10243" max="10496" width="9.140625" style="311"/>
    <col min="10497" max="10497" width="79.5703125" style="311" customWidth="1"/>
    <col min="10498" max="10498" width="14.42578125" style="311" customWidth="1"/>
    <col min="10499" max="10752" width="9.140625" style="311"/>
    <col min="10753" max="10753" width="79.5703125" style="311" customWidth="1"/>
    <col min="10754" max="10754" width="14.42578125" style="311" customWidth="1"/>
    <col min="10755" max="11008" width="9.140625" style="311"/>
    <col min="11009" max="11009" width="79.5703125" style="311" customWidth="1"/>
    <col min="11010" max="11010" width="14.42578125" style="311" customWidth="1"/>
    <col min="11011" max="11264" width="9.140625" style="311"/>
    <col min="11265" max="11265" width="79.5703125" style="311" customWidth="1"/>
    <col min="11266" max="11266" width="14.42578125" style="311" customWidth="1"/>
    <col min="11267" max="11520" width="9.140625" style="311"/>
    <col min="11521" max="11521" width="79.5703125" style="311" customWidth="1"/>
    <col min="11522" max="11522" width="14.42578125" style="311" customWidth="1"/>
    <col min="11523" max="11776" width="9.140625" style="311"/>
    <col min="11777" max="11777" width="79.5703125" style="311" customWidth="1"/>
    <col min="11778" max="11778" width="14.42578125" style="311" customWidth="1"/>
    <col min="11779" max="12032" width="9.140625" style="311"/>
    <col min="12033" max="12033" width="79.5703125" style="311" customWidth="1"/>
    <col min="12034" max="12034" width="14.42578125" style="311" customWidth="1"/>
    <col min="12035" max="12288" width="9.140625" style="311"/>
    <col min="12289" max="12289" width="79.5703125" style="311" customWidth="1"/>
    <col min="12290" max="12290" width="14.42578125" style="311" customWidth="1"/>
    <col min="12291" max="12544" width="9.140625" style="311"/>
    <col min="12545" max="12545" width="79.5703125" style="311" customWidth="1"/>
    <col min="12546" max="12546" width="14.42578125" style="311" customWidth="1"/>
    <col min="12547" max="12800" width="9.140625" style="311"/>
    <col min="12801" max="12801" width="79.5703125" style="311" customWidth="1"/>
    <col min="12802" max="12802" width="14.42578125" style="311" customWidth="1"/>
    <col min="12803" max="13056" width="9.140625" style="311"/>
    <col min="13057" max="13057" width="79.5703125" style="311" customWidth="1"/>
    <col min="13058" max="13058" width="14.42578125" style="311" customWidth="1"/>
    <col min="13059" max="13312" width="9.140625" style="311"/>
    <col min="13313" max="13313" width="79.5703125" style="311" customWidth="1"/>
    <col min="13314" max="13314" width="14.42578125" style="311" customWidth="1"/>
    <col min="13315" max="13568" width="9.140625" style="311"/>
    <col min="13569" max="13569" width="79.5703125" style="311" customWidth="1"/>
    <col min="13570" max="13570" width="14.42578125" style="311" customWidth="1"/>
    <col min="13571" max="13824" width="9.140625" style="311"/>
    <col min="13825" max="13825" width="79.5703125" style="311" customWidth="1"/>
    <col min="13826" max="13826" width="14.42578125" style="311" customWidth="1"/>
    <col min="13827" max="14080" width="9.140625" style="311"/>
    <col min="14081" max="14081" width="79.5703125" style="311" customWidth="1"/>
    <col min="14082" max="14082" width="14.42578125" style="311" customWidth="1"/>
    <col min="14083" max="14336" width="9.140625" style="311"/>
    <col min="14337" max="14337" width="79.5703125" style="311" customWidth="1"/>
    <col min="14338" max="14338" width="14.42578125" style="311" customWidth="1"/>
    <col min="14339" max="14592" width="9.140625" style="311"/>
    <col min="14593" max="14593" width="79.5703125" style="311" customWidth="1"/>
    <col min="14594" max="14594" width="14.42578125" style="311" customWidth="1"/>
    <col min="14595" max="14848" width="9.140625" style="311"/>
    <col min="14849" max="14849" width="79.5703125" style="311" customWidth="1"/>
    <col min="14850" max="14850" width="14.42578125" style="311" customWidth="1"/>
    <col min="14851" max="15104" width="9.140625" style="311"/>
    <col min="15105" max="15105" width="79.5703125" style="311" customWidth="1"/>
    <col min="15106" max="15106" width="14.42578125" style="311" customWidth="1"/>
    <col min="15107" max="15360" width="9.140625" style="311"/>
    <col min="15361" max="15361" width="79.5703125" style="311" customWidth="1"/>
    <col min="15362" max="15362" width="14.42578125" style="311" customWidth="1"/>
    <col min="15363" max="15616" width="9.140625" style="311"/>
    <col min="15617" max="15617" width="79.5703125" style="311" customWidth="1"/>
    <col min="15618" max="15618" width="14.42578125" style="311" customWidth="1"/>
    <col min="15619" max="15872" width="9.140625" style="311"/>
    <col min="15873" max="15873" width="79.5703125" style="311" customWidth="1"/>
    <col min="15874" max="15874" width="14.42578125" style="311" customWidth="1"/>
    <col min="15875" max="16128" width="9.140625" style="311"/>
    <col min="16129" max="16129" width="79.5703125" style="311" customWidth="1"/>
    <col min="16130" max="16130" width="14.42578125" style="311" customWidth="1"/>
    <col min="16131" max="16384" width="9.140625" style="311"/>
  </cols>
  <sheetData>
    <row r="1" spans="1:2" ht="14.25" customHeight="1">
      <c r="B1" s="312" t="s">
        <v>1385</v>
      </c>
    </row>
    <row r="2" spans="1:2" ht="14.25" customHeight="1">
      <c r="B2" s="312" t="s">
        <v>1487</v>
      </c>
    </row>
    <row r="3" spans="1:2" ht="14.25" customHeight="1">
      <c r="B3" s="312"/>
    </row>
    <row r="4" spans="1:2" ht="15.75" customHeight="1">
      <c r="B4" s="312"/>
    </row>
    <row r="5" spans="1:2" s="313" customFormat="1" ht="60.75" customHeight="1">
      <c r="A5" s="369" t="s">
        <v>1386</v>
      </c>
      <c r="B5" s="369"/>
    </row>
    <row r="6" spans="1:2" ht="15.75" customHeight="1">
      <c r="A6" s="314"/>
      <c r="B6" s="315" t="s">
        <v>1387</v>
      </c>
    </row>
    <row r="7" spans="1:2" ht="51">
      <c r="A7" s="316" t="s">
        <v>1388</v>
      </c>
      <c r="B7" s="316" t="s">
        <v>1389</v>
      </c>
    </row>
    <row r="8" spans="1:2" ht="36.75" customHeight="1">
      <c r="A8" s="370" t="s">
        <v>1390</v>
      </c>
      <c r="B8" s="370"/>
    </row>
    <row r="9" spans="1:2" ht="38.25" customHeight="1">
      <c r="A9" s="317" t="s">
        <v>1391</v>
      </c>
      <c r="B9" s="316">
        <v>100</v>
      </c>
    </row>
    <row r="10" spans="1:2" ht="28.5" customHeight="1">
      <c r="A10" s="317" t="s">
        <v>1392</v>
      </c>
      <c r="B10" s="316">
        <v>100</v>
      </c>
    </row>
    <row r="11" spans="1:2" ht="48" customHeight="1">
      <c r="A11" s="317" t="s">
        <v>1393</v>
      </c>
      <c r="B11" s="316">
        <v>100</v>
      </c>
    </row>
    <row r="12" spans="1:2" ht="42.75" hidden="1" customHeight="1">
      <c r="A12" s="317" t="s">
        <v>1394</v>
      </c>
      <c r="B12" s="316">
        <v>100</v>
      </c>
    </row>
    <row r="13" spans="1:2" ht="28.5" customHeight="1">
      <c r="A13" s="317" t="s">
        <v>1395</v>
      </c>
      <c r="B13" s="316">
        <v>100</v>
      </c>
    </row>
    <row r="14" spans="1:2" ht="28.5" customHeight="1">
      <c r="A14" s="367" t="s">
        <v>1396</v>
      </c>
      <c r="B14" s="368"/>
    </row>
    <row r="15" spans="1:2" ht="49.5" customHeight="1">
      <c r="A15" s="318" t="s">
        <v>1397</v>
      </c>
      <c r="B15" s="316">
        <v>100</v>
      </c>
    </row>
    <row r="16" spans="1:2" ht="33" customHeight="1">
      <c r="A16" s="318" t="s">
        <v>1398</v>
      </c>
      <c r="B16" s="316">
        <v>100</v>
      </c>
    </row>
    <row r="17" spans="1:2" ht="33" customHeight="1">
      <c r="A17" s="318" t="s">
        <v>1399</v>
      </c>
      <c r="B17" s="316">
        <v>100</v>
      </c>
    </row>
    <row r="18" spans="1:2" ht="30.75" customHeight="1">
      <c r="A18" s="318" t="s">
        <v>1305</v>
      </c>
      <c r="B18" s="316">
        <v>100</v>
      </c>
    </row>
    <row r="19" spans="1:2" ht="28.5" customHeight="1">
      <c r="A19" s="371" t="s">
        <v>1400</v>
      </c>
      <c r="B19" s="372"/>
    </row>
    <row r="20" spans="1:2" ht="35.25" customHeight="1">
      <c r="A20" s="318" t="s">
        <v>1401</v>
      </c>
      <c r="B20" s="316">
        <v>100</v>
      </c>
    </row>
    <row r="21" spans="1:2" ht="28.5" customHeight="1">
      <c r="A21" s="371" t="s">
        <v>1402</v>
      </c>
      <c r="B21" s="372"/>
    </row>
    <row r="22" spans="1:2" ht="39.75" customHeight="1">
      <c r="A22" s="318" t="s">
        <v>1317</v>
      </c>
      <c r="B22" s="316">
        <v>100</v>
      </c>
    </row>
    <row r="23" spans="1:2" ht="39.75" customHeight="1">
      <c r="A23" s="318" t="s">
        <v>1319</v>
      </c>
      <c r="B23" s="316">
        <v>100</v>
      </c>
    </row>
    <row r="24" spans="1:2" ht="24" customHeight="1">
      <c r="A24" s="367" t="s">
        <v>1403</v>
      </c>
      <c r="B24" s="368"/>
    </row>
    <row r="25" spans="1:2" ht="26.25" customHeight="1">
      <c r="A25" s="317" t="s">
        <v>1325</v>
      </c>
      <c r="B25" s="316">
        <v>100</v>
      </c>
    </row>
    <row r="26" spans="1:2" ht="45.75" customHeight="1">
      <c r="A26" s="318" t="s">
        <v>1404</v>
      </c>
      <c r="B26" s="316">
        <v>100</v>
      </c>
    </row>
    <row r="27" spans="1:2" ht="24" customHeight="1">
      <c r="A27" s="317" t="s">
        <v>1329</v>
      </c>
      <c r="B27" s="316">
        <v>100</v>
      </c>
    </row>
    <row r="28" spans="1:2" ht="24" customHeight="1">
      <c r="A28" s="317" t="s">
        <v>1405</v>
      </c>
      <c r="B28" s="316">
        <v>100</v>
      </c>
    </row>
    <row r="29" spans="1:2" ht="24" customHeight="1">
      <c r="A29" s="317" t="s">
        <v>1333</v>
      </c>
      <c r="B29" s="316">
        <v>100</v>
      </c>
    </row>
    <row r="30" spans="1:2" ht="39" customHeight="1">
      <c r="A30" s="373" t="s">
        <v>1406</v>
      </c>
      <c r="B30" s="374"/>
    </row>
    <row r="31" spans="1:2" ht="31.5" customHeight="1">
      <c r="A31" s="317" t="s">
        <v>1407</v>
      </c>
      <c r="B31" s="316">
        <v>100</v>
      </c>
    </row>
    <row r="32" spans="1:2" ht="31.5" customHeight="1">
      <c r="A32" s="317" t="s">
        <v>1408</v>
      </c>
      <c r="B32" s="316">
        <v>100</v>
      </c>
    </row>
    <row r="33" spans="1:2" ht="31.5" customHeight="1">
      <c r="A33" s="317" t="s">
        <v>1409</v>
      </c>
      <c r="B33" s="316">
        <v>100</v>
      </c>
    </row>
    <row r="34" spans="1:2" ht="31.5" customHeight="1">
      <c r="A34" s="317" t="s">
        <v>1410</v>
      </c>
      <c r="B34" s="316">
        <v>100</v>
      </c>
    </row>
    <row r="35" spans="1:2" ht="33.75" customHeight="1">
      <c r="A35" s="317" t="s">
        <v>1363</v>
      </c>
      <c r="B35" s="316">
        <v>100</v>
      </c>
    </row>
    <row r="36" spans="1:2" ht="36.75" customHeight="1">
      <c r="A36" s="375" t="s">
        <v>1411</v>
      </c>
      <c r="B36" s="375"/>
    </row>
    <row r="37" spans="1:2" ht="34.5" customHeight="1">
      <c r="A37" s="317" t="s">
        <v>1412</v>
      </c>
      <c r="B37" s="316">
        <v>100</v>
      </c>
    </row>
    <row r="38" spans="1:2" ht="34.5" customHeight="1">
      <c r="A38" s="375" t="s">
        <v>1413</v>
      </c>
      <c r="B38" s="375"/>
    </row>
    <row r="39" spans="1:2" ht="34.5" customHeight="1">
      <c r="A39" s="317" t="s">
        <v>1414</v>
      </c>
      <c r="B39" s="316">
        <v>100</v>
      </c>
    </row>
    <row r="40" spans="1:2" ht="28.5" customHeight="1">
      <c r="A40" s="375" t="s">
        <v>1415</v>
      </c>
      <c r="B40" s="375"/>
    </row>
    <row r="41" spans="1:2" ht="52.5" customHeight="1">
      <c r="A41" s="317" t="s">
        <v>1416</v>
      </c>
      <c r="B41" s="316">
        <v>100</v>
      </c>
    </row>
    <row r="42" spans="1:2" s="321" customFormat="1" ht="39" customHeight="1">
      <c r="A42" s="319" t="s">
        <v>1361</v>
      </c>
      <c r="B42" s="320">
        <v>100</v>
      </c>
    </row>
    <row r="43" spans="1:2" ht="30" customHeight="1">
      <c r="A43" s="317" t="s">
        <v>1363</v>
      </c>
      <c r="B43" s="316">
        <v>100</v>
      </c>
    </row>
    <row r="44" spans="1:2" ht="60" customHeight="1">
      <c r="A44" s="370" t="s">
        <v>1417</v>
      </c>
      <c r="B44" s="370"/>
    </row>
    <row r="45" spans="1:2" ht="59.25" customHeight="1">
      <c r="A45" s="317" t="s">
        <v>1256</v>
      </c>
      <c r="B45" s="316">
        <v>100</v>
      </c>
    </row>
    <row r="46" spans="1:2" ht="57.75" customHeight="1">
      <c r="A46" s="367" t="s">
        <v>1418</v>
      </c>
      <c r="B46" s="368"/>
    </row>
    <row r="47" spans="1:2" ht="45.75" customHeight="1">
      <c r="A47" s="318" t="s">
        <v>1419</v>
      </c>
      <c r="B47" s="316">
        <v>100</v>
      </c>
    </row>
    <row r="48" spans="1:2" ht="32.25" customHeight="1">
      <c r="A48" s="317" t="s">
        <v>1420</v>
      </c>
      <c r="B48" s="316">
        <v>100</v>
      </c>
    </row>
    <row r="49" spans="1:2" ht="36.75" customHeight="1">
      <c r="A49" s="367" t="s">
        <v>1421</v>
      </c>
      <c r="B49" s="368"/>
    </row>
    <row r="50" spans="1:2" ht="38.25" customHeight="1">
      <c r="A50" s="317" t="s">
        <v>1373</v>
      </c>
      <c r="B50" s="316">
        <v>100</v>
      </c>
    </row>
  </sheetData>
  <mergeCells count="13">
    <mergeCell ref="A49:B49"/>
    <mergeCell ref="A30:B30"/>
    <mergeCell ref="A36:B36"/>
    <mergeCell ref="A38:B38"/>
    <mergeCell ref="A40:B40"/>
    <mergeCell ref="A44:B44"/>
    <mergeCell ref="A46:B46"/>
    <mergeCell ref="A24:B24"/>
    <mergeCell ref="A5:B5"/>
    <mergeCell ref="A8:B8"/>
    <mergeCell ref="A14:B14"/>
    <mergeCell ref="A19:B19"/>
    <mergeCell ref="A21:B21"/>
  </mergeCells>
  <pageMargins left="1.1023622047244095" right="0.31496062992125984" top="0.35433070866141736" bottom="0.15748031496062992" header="0.31496062992125984" footer="0.31496062992125984"/>
  <pageSetup paperSize="9" scale="9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2"/>
  <sheetViews>
    <sheetView workbookViewId="0">
      <selection activeCell="A5" sqref="A5:C5"/>
    </sheetView>
  </sheetViews>
  <sheetFormatPr defaultRowHeight="12.75"/>
  <cols>
    <col min="1" max="1" width="9.7109375" style="360" customWidth="1"/>
    <col min="2" max="2" width="21.140625" style="360" customWidth="1"/>
    <col min="3" max="3" width="73.140625" style="361" customWidth="1"/>
  </cols>
  <sheetData>
    <row r="1" spans="1:3">
      <c r="A1" s="333"/>
      <c r="B1" s="333"/>
      <c r="C1" s="334" t="s">
        <v>1485</v>
      </c>
    </row>
    <row r="2" spans="1:3">
      <c r="A2" s="333"/>
      <c r="B2" s="333"/>
      <c r="C2" s="334" t="s">
        <v>1487</v>
      </c>
    </row>
    <row r="3" spans="1:3">
      <c r="A3" s="333"/>
      <c r="B3" s="333"/>
      <c r="C3" s="334"/>
    </row>
    <row r="4" spans="1:3">
      <c r="A4" s="333"/>
      <c r="B4" s="333"/>
      <c r="C4" s="335"/>
    </row>
    <row r="5" spans="1:3" ht="39" customHeight="1">
      <c r="A5" s="378" t="s">
        <v>1136</v>
      </c>
      <c r="B5" s="378"/>
      <c r="C5" s="378"/>
    </row>
    <row r="6" spans="1:3">
      <c r="A6" s="379"/>
      <c r="B6" s="379"/>
      <c r="C6" s="336"/>
    </row>
    <row r="7" spans="1:3">
      <c r="A7" s="380" t="s">
        <v>1137</v>
      </c>
      <c r="B7" s="380"/>
      <c r="C7" s="380" t="s">
        <v>1138</v>
      </c>
    </row>
    <row r="8" spans="1:3" ht="51">
      <c r="A8" s="337" t="s">
        <v>1139</v>
      </c>
      <c r="B8" s="337" t="s">
        <v>1140</v>
      </c>
      <c r="C8" s="380"/>
    </row>
    <row r="9" spans="1:3" ht="18">
      <c r="A9" s="381" t="s">
        <v>1141</v>
      </c>
      <c r="B9" s="382"/>
      <c r="C9" s="338" t="s">
        <v>1142</v>
      </c>
    </row>
    <row r="10" spans="1:3" ht="25.5">
      <c r="A10" s="339" t="s">
        <v>1141</v>
      </c>
      <c r="B10" s="340" t="s">
        <v>1143</v>
      </c>
      <c r="C10" s="341" t="s">
        <v>1144</v>
      </c>
    </row>
    <row r="11" spans="1:3" ht="18">
      <c r="A11" s="381" t="s">
        <v>1145</v>
      </c>
      <c r="B11" s="382"/>
      <c r="C11" s="338" t="s">
        <v>1146</v>
      </c>
    </row>
    <row r="12" spans="1:3" ht="25.5">
      <c r="A12" s="339" t="s">
        <v>1145</v>
      </c>
      <c r="B12" s="340" t="s">
        <v>1147</v>
      </c>
      <c r="C12" s="341" t="s">
        <v>1148</v>
      </c>
    </row>
    <row r="13" spans="1:3" ht="30.75">
      <c r="A13" s="381" t="s">
        <v>1149</v>
      </c>
      <c r="B13" s="382"/>
      <c r="C13" s="338" t="s">
        <v>1150</v>
      </c>
    </row>
    <row r="14" spans="1:3" ht="25.5">
      <c r="A14" s="339" t="s">
        <v>1149</v>
      </c>
      <c r="B14" s="340" t="s">
        <v>1151</v>
      </c>
      <c r="C14" s="342" t="s">
        <v>1152</v>
      </c>
    </row>
    <row r="15" spans="1:3" ht="25.5">
      <c r="A15" s="339" t="s">
        <v>1149</v>
      </c>
      <c r="B15" s="340" t="s">
        <v>1153</v>
      </c>
      <c r="C15" s="342" t="s">
        <v>1154</v>
      </c>
    </row>
    <row r="16" spans="1:3" ht="25.5">
      <c r="A16" s="339" t="s">
        <v>1149</v>
      </c>
      <c r="B16" s="340" t="s">
        <v>1155</v>
      </c>
      <c r="C16" s="342" t="s">
        <v>1156</v>
      </c>
    </row>
    <row r="17" spans="1:3" ht="25.5">
      <c r="A17" s="339" t="s">
        <v>1149</v>
      </c>
      <c r="B17" s="340" t="s">
        <v>1157</v>
      </c>
      <c r="C17" s="342" t="s">
        <v>1158</v>
      </c>
    </row>
    <row r="18" spans="1:3" ht="25.5">
      <c r="A18" s="339" t="s">
        <v>1149</v>
      </c>
      <c r="B18" s="340" t="s">
        <v>1159</v>
      </c>
      <c r="C18" s="342" t="s">
        <v>1160</v>
      </c>
    </row>
    <row r="19" spans="1:3" ht="30.75">
      <c r="A19" s="381" t="s">
        <v>1161</v>
      </c>
      <c r="B19" s="382"/>
      <c r="C19" s="338" t="s">
        <v>1162</v>
      </c>
    </row>
    <row r="20" spans="1:3" ht="25.5">
      <c r="A20" s="339" t="s">
        <v>1161</v>
      </c>
      <c r="B20" s="340" t="s">
        <v>1147</v>
      </c>
      <c r="C20" s="341" t="s">
        <v>1148</v>
      </c>
    </row>
    <row r="21" spans="1:3" ht="18">
      <c r="A21" s="381" t="s">
        <v>1163</v>
      </c>
      <c r="B21" s="382"/>
      <c r="C21" s="343" t="s">
        <v>1164</v>
      </c>
    </row>
    <row r="22" spans="1:3" ht="25.5">
      <c r="A22" s="339" t="s">
        <v>1163</v>
      </c>
      <c r="B22" s="340" t="s">
        <v>1147</v>
      </c>
      <c r="C22" s="341" t="s">
        <v>1148</v>
      </c>
    </row>
    <row r="23" spans="1:3" ht="30.75">
      <c r="A23" s="381" t="s">
        <v>1165</v>
      </c>
      <c r="B23" s="382"/>
      <c r="C23" s="338" t="s">
        <v>1166</v>
      </c>
    </row>
    <row r="24" spans="1:3" ht="25.5">
      <c r="A24" s="339" t="s">
        <v>1165</v>
      </c>
      <c r="B24" s="340" t="s">
        <v>1167</v>
      </c>
      <c r="C24" s="342" t="s">
        <v>1168</v>
      </c>
    </row>
    <row r="25" spans="1:3" ht="18">
      <c r="A25" s="381" t="s">
        <v>1169</v>
      </c>
      <c r="B25" s="382"/>
      <c r="C25" s="338" t="s">
        <v>1170</v>
      </c>
    </row>
    <row r="26" spans="1:3" ht="25.5">
      <c r="A26" s="339" t="s">
        <v>1169</v>
      </c>
      <c r="B26" s="340" t="s">
        <v>1143</v>
      </c>
      <c r="C26" s="341" t="s">
        <v>1144</v>
      </c>
    </row>
    <row r="27" spans="1:3" ht="38.25">
      <c r="A27" s="339" t="s">
        <v>1169</v>
      </c>
      <c r="B27" s="340" t="s">
        <v>1171</v>
      </c>
      <c r="C27" s="342" t="s">
        <v>1172</v>
      </c>
    </row>
    <row r="28" spans="1:3" ht="25.5">
      <c r="A28" s="339" t="s">
        <v>1169</v>
      </c>
      <c r="B28" s="340" t="s">
        <v>1147</v>
      </c>
      <c r="C28" s="341" t="s">
        <v>1148</v>
      </c>
    </row>
    <row r="29" spans="1:3" ht="51">
      <c r="A29" s="376">
        <v>188</v>
      </c>
      <c r="B29" s="377"/>
      <c r="C29" s="343" t="s">
        <v>1173</v>
      </c>
    </row>
    <row r="30" spans="1:3">
      <c r="A30" s="376">
        <v>283</v>
      </c>
      <c r="B30" s="377"/>
      <c r="C30" s="343" t="s">
        <v>353</v>
      </c>
    </row>
    <row r="31" spans="1:3" ht="51">
      <c r="A31" s="337">
        <v>283</v>
      </c>
      <c r="B31" s="340" t="s">
        <v>1174</v>
      </c>
      <c r="C31" s="341" t="s">
        <v>1175</v>
      </c>
    </row>
    <row r="32" spans="1:3" ht="25.5">
      <c r="A32" s="337">
        <v>283</v>
      </c>
      <c r="B32" s="340" t="s">
        <v>1176</v>
      </c>
      <c r="C32" s="341" t="s">
        <v>1177</v>
      </c>
    </row>
    <row r="33" spans="1:3" ht="63.75">
      <c r="A33" s="337">
        <v>283</v>
      </c>
      <c r="B33" s="340" t="s">
        <v>1178</v>
      </c>
      <c r="C33" s="341" t="s">
        <v>1179</v>
      </c>
    </row>
    <row r="34" spans="1:3" ht="38.25">
      <c r="A34" s="337">
        <v>283</v>
      </c>
      <c r="B34" s="340" t="s">
        <v>1180</v>
      </c>
      <c r="C34" s="341" t="s">
        <v>1181</v>
      </c>
    </row>
    <row r="35" spans="1:3" ht="25.5">
      <c r="A35" s="337">
        <v>283</v>
      </c>
      <c r="B35" s="340" t="s">
        <v>1182</v>
      </c>
      <c r="C35" s="341" t="s">
        <v>1183</v>
      </c>
    </row>
    <row r="36" spans="1:3" ht="51">
      <c r="A36" s="337">
        <v>283</v>
      </c>
      <c r="B36" s="340" t="s">
        <v>1184</v>
      </c>
      <c r="C36" s="344" t="s">
        <v>1185</v>
      </c>
    </row>
    <row r="37" spans="1:3" ht="51">
      <c r="A37" s="337">
        <v>283</v>
      </c>
      <c r="B37" s="340" t="s">
        <v>1186</v>
      </c>
      <c r="C37" s="344" t="s">
        <v>1187</v>
      </c>
    </row>
    <row r="38" spans="1:3" ht="51">
      <c r="A38" s="337">
        <v>283</v>
      </c>
      <c r="B38" s="340" t="s">
        <v>1188</v>
      </c>
      <c r="C38" s="344" t="s">
        <v>1189</v>
      </c>
    </row>
    <row r="39" spans="1:3" ht="25.5">
      <c r="A39" s="345">
        <v>283</v>
      </c>
      <c r="B39" s="346" t="s">
        <v>1190</v>
      </c>
      <c r="C39" s="347" t="s">
        <v>1191</v>
      </c>
    </row>
    <row r="40" spans="1:3" ht="38.25">
      <c r="A40" s="337">
        <v>283</v>
      </c>
      <c r="B40" s="340" t="s">
        <v>1192</v>
      </c>
      <c r="C40" s="341" t="s">
        <v>1193</v>
      </c>
    </row>
    <row r="41" spans="1:3" ht="51">
      <c r="A41" s="337">
        <v>283</v>
      </c>
      <c r="B41" s="340" t="s">
        <v>1194</v>
      </c>
      <c r="C41" s="341" t="s">
        <v>1195</v>
      </c>
    </row>
    <row r="42" spans="1:3" ht="51">
      <c r="A42" s="337">
        <v>283</v>
      </c>
      <c r="B42" s="340" t="s">
        <v>1196</v>
      </c>
      <c r="C42" s="341" t="s">
        <v>1197</v>
      </c>
    </row>
    <row r="43" spans="1:3">
      <c r="A43" s="337">
        <v>283</v>
      </c>
      <c r="B43" s="340" t="s">
        <v>1198</v>
      </c>
      <c r="C43" s="341" t="s">
        <v>1199</v>
      </c>
    </row>
    <row r="44" spans="1:3" ht="63.75">
      <c r="A44" s="337">
        <v>283</v>
      </c>
      <c r="B44" s="340" t="s">
        <v>1200</v>
      </c>
      <c r="C44" s="344" t="s">
        <v>1201</v>
      </c>
    </row>
    <row r="45" spans="1:3" ht="63.75">
      <c r="A45" s="337">
        <v>283</v>
      </c>
      <c r="B45" s="340" t="s">
        <v>1202</v>
      </c>
      <c r="C45" s="344" t="s">
        <v>1203</v>
      </c>
    </row>
    <row r="46" spans="1:3" ht="25.5">
      <c r="A46" s="337">
        <v>283</v>
      </c>
      <c r="B46" s="340" t="s">
        <v>1204</v>
      </c>
      <c r="C46" s="341" t="s">
        <v>1205</v>
      </c>
    </row>
    <row r="47" spans="1:3" ht="25.5">
      <c r="A47" s="337">
        <v>283</v>
      </c>
      <c r="B47" s="340" t="s">
        <v>1206</v>
      </c>
      <c r="C47" s="341" t="s">
        <v>1207</v>
      </c>
    </row>
    <row r="48" spans="1:3" ht="38.25">
      <c r="A48" s="337">
        <v>283</v>
      </c>
      <c r="B48" s="340" t="s">
        <v>1208</v>
      </c>
      <c r="C48" s="341" t="s">
        <v>1209</v>
      </c>
    </row>
    <row r="49" spans="1:3" ht="38.25">
      <c r="A49" s="348">
        <v>283</v>
      </c>
      <c r="B49" s="349" t="s">
        <v>1210</v>
      </c>
      <c r="C49" s="350" t="s">
        <v>1211</v>
      </c>
    </row>
    <row r="50" spans="1:3">
      <c r="A50" s="337">
        <v>283</v>
      </c>
      <c r="B50" s="351" t="s">
        <v>1212</v>
      </c>
      <c r="C50" s="352" t="s">
        <v>1213</v>
      </c>
    </row>
    <row r="51" spans="1:3" ht="38.25">
      <c r="A51" s="337">
        <v>283</v>
      </c>
      <c r="B51" s="351" t="s">
        <v>1214</v>
      </c>
      <c r="C51" s="352" t="s">
        <v>1215</v>
      </c>
    </row>
    <row r="52" spans="1:3" ht="51">
      <c r="A52" s="337">
        <v>283</v>
      </c>
      <c r="B52" s="351" t="s">
        <v>1216</v>
      </c>
      <c r="C52" s="341" t="s">
        <v>1217</v>
      </c>
    </row>
    <row r="53" spans="1:3" ht="25.5">
      <c r="A53" s="337">
        <v>283</v>
      </c>
      <c r="B53" s="351" t="s">
        <v>1218</v>
      </c>
      <c r="C53" s="352" t="s">
        <v>1219</v>
      </c>
    </row>
    <row r="54" spans="1:3" ht="25.5">
      <c r="A54" s="337">
        <v>283</v>
      </c>
      <c r="B54" s="351" t="s">
        <v>1220</v>
      </c>
      <c r="C54" s="352" t="s">
        <v>1221</v>
      </c>
    </row>
    <row r="55" spans="1:3" ht="51">
      <c r="A55" s="337">
        <v>283</v>
      </c>
      <c r="B55" s="340" t="s">
        <v>1222</v>
      </c>
      <c r="C55" s="341" t="s">
        <v>1223</v>
      </c>
    </row>
    <row r="56" spans="1:3" ht="51">
      <c r="A56" s="337">
        <v>283</v>
      </c>
      <c r="B56" s="340" t="s">
        <v>1224</v>
      </c>
      <c r="C56" s="341" t="s">
        <v>1225</v>
      </c>
    </row>
    <row r="57" spans="1:3" ht="63.75">
      <c r="A57" s="337">
        <v>283</v>
      </c>
      <c r="B57" s="340" t="s">
        <v>1226</v>
      </c>
      <c r="C57" s="341" t="s">
        <v>1227</v>
      </c>
    </row>
    <row r="58" spans="1:3" ht="25.5">
      <c r="A58" s="337">
        <v>283</v>
      </c>
      <c r="B58" s="340" t="s">
        <v>1228</v>
      </c>
      <c r="C58" s="341" t="s">
        <v>1229</v>
      </c>
    </row>
    <row r="59" spans="1:3" ht="38.25">
      <c r="A59" s="337">
        <v>283</v>
      </c>
      <c r="B59" s="340" t="s">
        <v>1230</v>
      </c>
      <c r="C59" s="341" t="s">
        <v>1231</v>
      </c>
    </row>
    <row r="60" spans="1:3" ht="51">
      <c r="A60" s="337">
        <v>283</v>
      </c>
      <c r="B60" s="340" t="s">
        <v>1232</v>
      </c>
      <c r="C60" s="341" t="s">
        <v>1233</v>
      </c>
    </row>
    <row r="61" spans="1:3" ht="25.5">
      <c r="A61" s="337">
        <v>283</v>
      </c>
      <c r="B61" s="351" t="s">
        <v>1234</v>
      </c>
      <c r="C61" s="341" t="s">
        <v>1235</v>
      </c>
    </row>
    <row r="62" spans="1:3" ht="25.5">
      <c r="A62" s="337">
        <v>283</v>
      </c>
      <c r="B62" s="340" t="s">
        <v>1236</v>
      </c>
      <c r="C62" s="341" t="s">
        <v>1237</v>
      </c>
    </row>
    <row r="63" spans="1:3" ht="38.25">
      <c r="A63" s="337">
        <v>283</v>
      </c>
      <c r="B63" s="340" t="s">
        <v>1238</v>
      </c>
      <c r="C63" s="341" t="s">
        <v>1239</v>
      </c>
    </row>
    <row r="64" spans="1:3" ht="51">
      <c r="A64" s="337">
        <v>283</v>
      </c>
      <c r="B64" s="340" t="s">
        <v>1240</v>
      </c>
      <c r="C64" s="341" t="s">
        <v>1241</v>
      </c>
    </row>
    <row r="65" spans="1:3" ht="25.5">
      <c r="A65" s="337">
        <v>283</v>
      </c>
      <c r="B65" s="340" t="s">
        <v>1242</v>
      </c>
      <c r="C65" s="341" t="s">
        <v>1243</v>
      </c>
    </row>
    <row r="66" spans="1:3" ht="38.25">
      <c r="A66" s="348">
        <v>283</v>
      </c>
      <c r="B66" s="349" t="s">
        <v>1244</v>
      </c>
      <c r="C66" s="350" t="s">
        <v>1245</v>
      </c>
    </row>
    <row r="67" spans="1:3" ht="38.25">
      <c r="A67" s="376">
        <v>284</v>
      </c>
      <c r="B67" s="377"/>
      <c r="C67" s="338" t="s">
        <v>1246</v>
      </c>
    </row>
    <row r="68" spans="1:3" ht="25.5">
      <c r="A68" s="337">
        <v>284</v>
      </c>
      <c r="B68" s="340" t="s">
        <v>1247</v>
      </c>
      <c r="C68" s="341" t="s">
        <v>1248</v>
      </c>
    </row>
    <row r="69" spans="1:3" ht="25.5">
      <c r="A69" s="337">
        <v>284</v>
      </c>
      <c r="B69" s="340" t="s">
        <v>1249</v>
      </c>
      <c r="C69" s="341" t="s">
        <v>1250</v>
      </c>
    </row>
    <row r="70" spans="1:3" ht="25.5">
      <c r="A70" s="337">
        <v>284</v>
      </c>
      <c r="B70" s="340" t="s">
        <v>1251</v>
      </c>
      <c r="C70" s="353" t="s">
        <v>1252</v>
      </c>
    </row>
    <row r="71" spans="1:3" ht="25.5">
      <c r="A71" s="337">
        <v>284</v>
      </c>
      <c r="B71" s="340" t="s">
        <v>1253</v>
      </c>
      <c r="C71" s="341" t="s">
        <v>1254</v>
      </c>
    </row>
    <row r="72" spans="1:3" ht="63.75">
      <c r="A72" s="337">
        <v>284</v>
      </c>
      <c r="B72" s="340" t="s">
        <v>1255</v>
      </c>
      <c r="C72" s="341" t="s">
        <v>1256</v>
      </c>
    </row>
    <row r="73" spans="1:3" ht="25.5">
      <c r="A73" s="381" t="s">
        <v>518</v>
      </c>
      <c r="B73" s="382"/>
      <c r="C73" s="338" t="s">
        <v>1257</v>
      </c>
    </row>
    <row r="74" spans="1:3" ht="25.5">
      <c r="A74" s="337">
        <v>285</v>
      </c>
      <c r="B74" s="340" t="s">
        <v>1258</v>
      </c>
      <c r="C74" s="341" t="s">
        <v>1259</v>
      </c>
    </row>
    <row r="75" spans="1:3" ht="38.25">
      <c r="A75" s="337">
        <v>285</v>
      </c>
      <c r="B75" s="340" t="s">
        <v>1260</v>
      </c>
      <c r="C75" s="341" t="s">
        <v>1261</v>
      </c>
    </row>
    <row r="76" spans="1:3" ht="38.25">
      <c r="A76" s="337">
        <v>285</v>
      </c>
      <c r="B76" s="340" t="s">
        <v>1262</v>
      </c>
      <c r="C76" s="341" t="s">
        <v>1263</v>
      </c>
    </row>
    <row r="77" spans="1:3" ht="38.25">
      <c r="A77" s="337">
        <v>285</v>
      </c>
      <c r="B77" s="340" t="s">
        <v>1264</v>
      </c>
      <c r="C77" s="341" t="s">
        <v>1265</v>
      </c>
    </row>
    <row r="78" spans="1:3" ht="25.5">
      <c r="A78" s="337">
        <v>285</v>
      </c>
      <c r="B78" s="340" t="s">
        <v>1266</v>
      </c>
      <c r="C78" s="341" t="s">
        <v>1267</v>
      </c>
    </row>
    <row r="79" spans="1:3" ht="38.25">
      <c r="A79" s="337">
        <v>285</v>
      </c>
      <c r="B79" s="340" t="s">
        <v>1268</v>
      </c>
      <c r="C79" s="341" t="s">
        <v>1269</v>
      </c>
    </row>
    <row r="80" spans="1:3" ht="25.5">
      <c r="A80" s="376">
        <v>287</v>
      </c>
      <c r="B80" s="377"/>
      <c r="C80" s="343" t="s">
        <v>906</v>
      </c>
    </row>
    <row r="81" spans="1:3" ht="25.5">
      <c r="A81" s="376">
        <v>288</v>
      </c>
      <c r="B81" s="377"/>
      <c r="C81" s="343" t="s">
        <v>1270</v>
      </c>
    </row>
    <row r="82" spans="1:3" ht="38.25">
      <c r="A82" s="337">
        <v>288</v>
      </c>
      <c r="B82" s="340" t="s">
        <v>1271</v>
      </c>
      <c r="C82" s="352" t="s">
        <v>1272</v>
      </c>
    </row>
    <row r="83" spans="1:3" ht="38.25">
      <c r="A83" s="337">
        <v>288</v>
      </c>
      <c r="B83" s="340" t="s">
        <v>1273</v>
      </c>
      <c r="C83" s="341" t="s">
        <v>1274</v>
      </c>
    </row>
    <row r="84" spans="1:3" ht="25.5">
      <c r="A84" s="337">
        <v>288</v>
      </c>
      <c r="B84" s="340" t="s">
        <v>1275</v>
      </c>
      <c r="C84" s="341" t="s">
        <v>1276</v>
      </c>
    </row>
    <row r="85" spans="1:3" ht="25.5">
      <c r="A85" s="337">
        <v>288</v>
      </c>
      <c r="B85" s="340" t="s">
        <v>1277</v>
      </c>
      <c r="C85" s="341" t="s">
        <v>1278</v>
      </c>
    </row>
    <row r="86" spans="1:3" ht="51">
      <c r="A86" s="337">
        <v>288</v>
      </c>
      <c r="B86" s="340" t="s">
        <v>1279</v>
      </c>
      <c r="C86" s="341" t="s">
        <v>1280</v>
      </c>
    </row>
    <row r="87" spans="1:3" ht="25.5">
      <c r="A87" s="376">
        <v>289</v>
      </c>
      <c r="B87" s="377"/>
      <c r="C87" s="343" t="s">
        <v>1281</v>
      </c>
    </row>
    <row r="88" spans="1:3" ht="25.5">
      <c r="A88" s="337">
        <v>289</v>
      </c>
      <c r="B88" s="354" t="s">
        <v>1282</v>
      </c>
      <c r="C88" s="341" t="s">
        <v>1283</v>
      </c>
    </row>
    <row r="89" spans="1:3" ht="51">
      <c r="A89" s="348">
        <v>289</v>
      </c>
      <c r="B89" s="355" t="s">
        <v>1284</v>
      </c>
      <c r="C89" s="350" t="s">
        <v>1285</v>
      </c>
    </row>
    <row r="90" spans="1:3" ht="25.5">
      <c r="A90" s="381" t="s">
        <v>531</v>
      </c>
      <c r="B90" s="382"/>
      <c r="C90" s="343" t="s">
        <v>1286</v>
      </c>
    </row>
    <row r="91" spans="1:3" ht="38.25">
      <c r="A91" s="337">
        <v>290</v>
      </c>
      <c r="B91" s="340" t="s">
        <v>1287</v>
      </c>
      <c r="C91" s="341" t="s">
        <v>1288</v>
      </c>
    </row>
    <row r="92" spans="1:3" ht="51">
      <c r="A92" s="337">
        <v>290</v>
      </c>
      <c r="B92" s="340" t="s">
        <v>1289</v>
      </c>
      <c r="C92" s="341" t="s">
        <v>1290</v>
      </c>
    </row>
    <row r="93" spans="1:3" ht="25.5">
      <c r="A93" s="337">
        <v>290</v>
      </c>
      <c r="B93" s="340" t="s">
        <v>1291</v>
      </c>
      <c r="C93" s="341" t="s">
        <v>1292</v>
      </c>
    </row>
    <row r="94" spans="1:3">
      <c r="A94" s="376">
        <v>291</v>
      </c>
      <c r="B94" s="377"/>
      <c r="C94" s="343" t="s">
        <v>1293</v>
      </c>
    </row>
    <row r="95" spans="1:3">
      <c r="A95" s="376">
        <v>292</v>
      </c>
      <c r="B95" s="377"/>
      <c r="C95" s="338" t="s">
        <v>1294</v>
      </c>
    </row>
    <row r="96" spans="1:3" ht="51">
      <c r="A96" s="385"/>
      <c r="B96" s="386"/>
      <c r="C96" s="356" t="s">
        <v>1295</v>
      </c>
    </row>
    <row r="97" spans="1:3" ht="51">
      <c r="A97" s="337"/>
      <c r="B97" s="340" t="s">
        <v>1188</v>
      </c>
      <c r="C97" s="344" t="s">
        <v>1189</v>
      </c>
    </row>
    <row r="98" spans="1:3" ht="25.5">
      <c r="A98" s="357"/>
      <c r="B98" s="340" t="s">
        <v>1296</v>
      </c>
      <c r="C98" s="352" t="s">
        <v>1297</v>
      </c>
    </row>
    <row r="99" spans="1:3" ht="38.25">
      <c r="A99" s="357"/>
      <c r="B99" s="340" t="s">
        <v>1298</v>
      </c>
      <c r="C99" s="352" t="s">
        <v>1299</v>
      </c>
    </row>
    <row r="100" spans="1:3" ht="25.5">
      <c r="A100" s="357"/>
      <c r="B100" s="340" t="s">
        <v>1300</v>
      </c>
      <c r="C100" s="352" t="s">
        <v>1301</v>
      </c>
    </row>
    <row r="101" spans="1:3" ht="25.5">
      <c r="A101" s="357"/>
      <c r="B101" s="340" t="s">
        <v>1302</v>
      </c>
      <c r="C101" s="352" t="s">
        <v>1303</v>
      </c>
    </row>
    <row r="102" spans="1:3">
      <c r="A102" s="357"/>
      <c r="B102" s="340" t="s">
        <v>1304</v>
      </c>
      <c r="C102" s="341" t="s">
        <v>1305</v>
      </c>
    </row>
    <row r="103" spans="1:3" ht="51">
      <c r="A103" s="357"/>
      <c r="B103" s="340" t="s">
        <v>1306</v>
      </c>
      <c r="C103" s="344" t="s">
        <v>1307</v>
      </c>
    </row>
    <row r="104" spans="1:3" ht="63.75">
      <c r="A104" s="357"/>
      <c r="B104" s="340" t="s">
        <v>1308</v>
      </c>
      <c r="C104" s="344" t="s">
        <v>1309</v>
      </c>
    </row>
    <row r="105" spans="1:3" ht="38.25">
      <c r="A105" s="337"/>
      <c r="B105" s="340" t="s">
        <v>1310</v>
      </c>
      <c r="C105" s="341" t="s">
        <v>1311</v>
      </c>
    </row>
    <row r="106" spans="1:3" ht="38.25">
      <c r="A106" s="337"/>
      <c r="B106" s="340" t="s">
        <v>1312</v>
      </c>
      <c r="C106" s="341" t="s">
        <v>1313</v>
      </c>
    </row>
    <row r="107" spans="1:3" ht="25.5">
      <c r="A107" s="337"/>
      <c r="B107" s="340" t="s">
        <v>1314</v>
      </c>
      <c r="C107" s="341" t="s">
        <v>1315</v>
      </c>
    </row>
    <row r="108" spans="1:3" ht="51">
      <c r="A108" s="357"/>
      <c r="B108" s="340" t="s">
        <v>1316</v>
      </c>
      <c r="C108" s="341" t="s">
        <v>1317</v>
      </c>
    </row>
    <row r="109" spans="1:3" ht="38.25">
      <c r="A109" s="357"/>
      <c r="B109" s="340" t="s">
        <v>1318</v>
      </c>
      <c r="C109" s="341" t="s">
        <v>1319</v>
      </c>
    </row>
    <row r="110" spans="1:3" ht="38.25">
      <c r="A110" s="357"/>
      <c r="B110" s="340" t="s">
        <v>1320</v>
      </c>
      <c r="C110" s="341" t="s">
        <v>1321</v>
      </c>
    </row>
    <row r="111" spans="1:3" ht="38.25">
      <c r="A111" s="357"/>
      <c r="B111" s="340" t="s">
        <v>1171</v>
      </c>
      <c r="C111" s="341" t="s">
        <v>1172</v>
      </c>
    </row>
    <row r="112" spans="1:3" ht="51">
      <c r="A112" s="357"/>
      <c r="B112" s="340" t="s">
        <v>1322</v>
      </c>
      <c r="C112" s="341" t="s">
        <v>1323</v>
      </c>
    </row>
    <row r="113" spans="1:3" ht="25.5">
      <c r="A113" s="357"/>
      <c r="B113" s="340" t="s">
        <v>1147</v>
      </c>
      <c r="C113" s="341" t="s">
        <v>1148</v>
      </c>
    </row>
    <row r="114" spans="1:3">
      <c r="A114" s="357"/>
      <c r="B114" s="340" t="s">
        <v>1324</v>
      </c>
      <c r="C114" s="341" t="s">
        <v>1325</v>
      </c>
    </row>
    <row r="115" spans="1:3" ht="38.25">
      <c r="A115" s="357"/>
      <c r="B115" s="340" t="s">
        <v>1326</v>
      </c>
      <c r="C115" s="341" t="s">
        <v>1327</v>
      </c>
    </row>
    <row r="116" spans="1:3">
      <c r="A116" s="357"/>
      <c r="B116" s="340" t="s">
        <v>1328</v>
      </c>
      <c r="C116" s="341" t="s">
        <v>1329</v>
      </c>
    </row>
    <row r="117" spans="1:3">
      <c r="A117" s="357"/>
      <c r="B117" s="340" t="s">
        <v>1330</v>
      </c>
      <c r="C117" s="341" t="s">
        <v>1331</v>
      </c>
    </row>
    <row r="118" spans="1:3">
      <c r="A118" s="358"/>
      <c r="B118" s="349" t="s">
        <v>1332</v>
      </c>
      <c r="C118" s="350" t="s">
        <v>1333</v>
      </c>
    </row>
    <row r="119" spans="1:3" ht="25.5">
      <c r="A119" s="357"/>
      <c r="B119" s="351" t="s">
        <v>1218</v>
      </c>
      <c r="C119" s="352" t="s">
        <v>1219</v>
      </c>
    </row>
    <row r="120" spans="1:3" ht="38.25">
      <c r="A120" s="337"/>
      <c r="B120" s="351" t="s">
        <v>1334</v>
      </c>
      <c r="C120" s="341" t="s">
        <v>1335</v>
      </c>
    </row>
    <row r="121" spans="1:3" ht="38.25">
      <c r="A121" s="357"/>
      <c r="B121" s="351" t="s">
        <v>1336</v>
      </c>
      <c r="C121" s="341" t="s">
        <v>1337</v>
      </c>
    </row>
    <row r="122" spans="1:3">
      <c r="A122" s="357"/>
      <c r="B122" s="340" t="s">
        <v>1338</v>
      </c>
      <c r="C122" s="341" t="s">
        <v>1339</v>
      </c>
    </row>
    <row r="123" spans="1:3" ht="25.5">
      <c r="A123" s="357"/>
      <c r="B123" s="340" t="s">
        <v>1340</v>
      </c>
      <c r="C123" s="341" t="s">
        <v>1341</v>
      </c>
    </row>
    <row r="124" spans="1:3">
      <c r="A124" s="357"/>
      <c r="B124" s="340" t="s">
        <v>1342</v>
      </c>
      <c r="C124" s="341" t="s">
        <v>1343</v>
      </c>
    </row>
    <row r="125" spans="1:3" ht="25.5">
      <c r="A125" s="357"/>
      <c r="B125" s="340" t="s">
        <v>1344</v>
      </c>
      <c r="C125" s="341" t="s">
        <v>1345</v>
      </c>
    </row>
    <row r="126" spans="1:3" ht="25.5">
      <c r="A126" s="357"/>
      <c r="B126" s="340" t="s">
        <v>1291</v>
      </c>
      <c r="C126" s="341" t="s">
        <v>1292</v>
      </c>
    </row>
    <row r="127" spans="1:3" ht="25.5">
      <c r="A127" s="357"/>
      <c r="B127" s="340" t="s">
        <v>1346</v>
      </c>
      <c r="C127" s="341" t="s">
        <v>1347</v>
      </c>
    </row>
    <row r="128" spans="1:3" ht="38.25">
      <c r="A128" s="357"/>
      <c r="B128" s="340" t="s">
        <v>1348</v>
      </c>
      <c r="C128" s="341" t="s">
        <v>1349</v>
      </c>
    </row>
    <row r="129" spans="1:3" ht="25.5">
      <c r="A129" s="357"/>
      <c r="B129" s="340" t="s">
        <v>1350</v>
      </c>
      <c r="C129" s="341" t="s">
        <v>1351</v>
      </c>
    </row>
    <row r="130" spans="1:3" ht="25.5">
      <c r="A130" s="357"/>
      <c r="B130" s="340" t="s">
        <v>1352</v>
      </c>
      <c r="C130" s="341" t="s">
        <v>1353</v>
      </c>
    </row>
    <row r="131" spans="1:3" ht="38.25">
      <c r="A131" s="357"/>
      <c r="B131" s="340" t="s">
        <v>1354</v>
      </c>
      <c r="C131" s="341" t="s">
        <v>1355</v>
      </c>
    </row>
    <row r="132" spans="1:3" ht="25.5">
      <c r="A132" s="357"/>
      <c r="B132" s="340" t="s">
        <v>1356</v>
      </c>
      <c r="C132" s="341" t="s">
        <v>1357</v>
      </c>
    </row>
    <row r="133" spans="1:3" ht="51">
      <c r="A133" s="357"/>
      <c r="B133" s="340" t="s">
        <v>1358</v>
      </c>
      <c r="C133" s="341" t="s">
        <v>1359</v>
      </c>
    </row>
    <row r="134" spans="1:3" ht="25.5">
      <c r="A134" s="359"/>
      <c r="B134" s="349" t="s">
        <v>1360</v>
      </c>
      <c r="C134" s="350" t="s">
        <v>1361</v>
      </c>
    </row>
    <row r="135" spans="1:3">
      <c r="A135" s="359"/>
      <c r="B135" s="349" t="s">
        <v>1362</v>
      </c>
      <c r="C135" s="350" t="s">
        <v>1363</v>
      </c>
    </row>
    <row r="136" spans="1:3" ht="38.25">
      <c r="A136" s="357"/>
      <c r="B136" s="340" t="s">
        <v>1364</v>
      </c>
      <c r="C136" s="341" t="s">
        <v>1365</v>
      </c>
    </row>
    <row r="137" spans="1:3" ht="25.5">
      <c r="A137" s="357"/>
      <c r="B137" s="340" t="s">
        <v>1366</v>
      </c>
      <c r="C137" s="341" t="s">
        <v>1367</v>
      </c>
    </row>
    <row r="138" spans="1:3" ht="25.5">
      <c r="A138" s="357"/>
      <c r="B138" s="340" t="s">
        <v>1368</v>
      </c>
      <c r="C138" s="341" t="s">
        <v>1369</v>
      </c>
    </row>
    <row r="139" spans="1:3" ht="25.5">
      <c r="A139" s="357"/>
      <c r="B139" s="340" t="s">
        <v>1370</v>
      </c>
      <c r="C139" s="341" t="s">
        <v>1371</v>
      </c>
    </row>
    <row r="140" spans="1:3" ht="25.5">
      <c r="A140" s="357"/>
      <c r="B140" s="340" t="s">
        <v>1372</v>
      </c>
      <c r="C140" s="341" t="s">
        <v>1373</v>
      </c>
    </row>
    <row r="141" spans="1:3">
      <c r="A141" s="387" t="s">
        <v>1374</v>
      </c>
      <c r="B141" s="387"/>
      <c r="C141" s="387"/>
    </row>
    <row r="142" spans="1:3" ht="77.25" customHeight="1">
      <c r="A142" s="383" t="s">
        <v>1375</v>
      </c>
      <c r="B142" s="384"/>
      <c r="C142" s="384"/>
    </row>
  </sheetData>
  <mergeCells count="24">
    <mergeCell ref="A142:C142"/>
    <mergeCell ref="A30:B30"/>
    <mergeCell ref="A67:B67"/>
    <mergeCell ref="A73:B73"/>
    <mergeCell ref="A80:B80"/>
    <mergeCell ref="A81:B81"/>
    <mergeCell ref="A87:B87"/>
    <mergeCell ref="A90:B90"/>
    <mergeCell ref="A94:B94"/>
    <mergeCell ref="A95:B95"/>
    <mergeCell ref="A96:B96"/>
    <mergeCell ref="A141:C141"/>
    <mergeCell ref="A29:B29"/>
    <mergeCell ref="A5:C5"/>
    <mergeCell ref="A6:B6"/>
    <mergeCell ref="A7:B7"/>
    <mergeCell ref="C7:C8"/>
    <mergeCell ref="A9:B9"/>
    <mergeCell ref="A11:B11"/>
    <mergeCell ref="A13:B13"/>
    <mergeCell ref="A19:B19"/>
    <mergeCell ref="A21:B21"/>
    <mergeCell ref="A23:B23"/>
    <mergeCell ref="A25:B25"/>
  </mergeCells>
  <pageMargins left="1.1023622047244095" right="0.31496062992125984" top="0.35433070866141736" bottom="0.35433070866141736" header="0.31496062992125984" footer="0.31496062992125984"/>
  <pageSetup paperSize="9" scale="85" fitToHeight="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0"/>
  <sheetViews>
    <sheetView workbookViewId="0">
      <selection activeCell="E5" sqref="E5"/>
    </sheetView>
  </sheetViews>
  <sheetFormatPr defaultRowHeight="12.75"/>
  <cols>
    <col min="1" max="1" width="11.140625" customWidth="1"/>
    <col min="2" max="2" width="33.140625" customWidth="1"/>
    <col min="3" max="3" width="60.85546875" customWidth="1"/>
  </cols>
  <sheetData>
    <row r="1" spans="1:3">
      <c r="A1" s="322"/>
      <c r="B1" s="322"/>
      <c r="C1" s="283" t="s">
        <v>1132</v>
      </c>
    </row>
    <row r="2" spans="1:3">
      <c r="A2" s="322"/>
      <c r="B2" s="322"/>
      <c r="C2" s="286" t="s">
        <v>1487</v>
      </c>
    </row>
    <row r="3" spans="1:3">
      <c r="A3" s="322"/>
      <c r="B3" s="322"/>
      <c r="C3" s="323"/>
    </row>
    <row r="4" spans="1:3">
      <c r="A4" s="322"/>
      <c r="B4" s="322"/>
      <c r="C4" s="324"/>
    </row>
    <row r="5" spans="1:3" ht="75.75" customHeight="1">
      <c r="A5" s="388" t="s">
        <v>1422</v>
      </c>
      <c r="B5" s="388"/>
      <c r="C5" s="388"/>
    </row>
    <row r="6" spans="1:3" ht="15.75">
      <c r="A6" s="325"/>
      <c r="B6" s="325"/>
      <c r="C6" s="325"/>
    </row>
    <row r="7" spans="1:3">
      <c r="A7" s="389" t="s">
        <v>1137</v>
      </c>
      <c r="B7" s="389"/>
      <c r="C7" s="389" t="s">
        <v>1423</v>
      </c>
    </row>
    <row r="8" spans="1:3" ht="89.25">
      <c r="A8" s="326" t="s">
        <v>1424</v>
      </c>
      <c r="B8" s="326" t="s">
        <v>1425</v>
      </c>
      <c r="C8" s="389"/>
    </row>
    <row r="9" spans="1:3">
      <c r="A9" s="390">
        <v>283</v>
      </c>
      <c r="B9" s="390"/>
      <c r="C9" s="327" t="s">
        <v>1426</v>
      </c>
    </row>
    <row r="10" spans="1:3" ht="25.5">
      <c r="A10" s="326">
        <v>283</v>
      </c>
      <c r="B10" s="328" t="s">
        <v>1427</v>
      </c>
      <c r="C10" s="329" t="s">
        <v>1428</v>
      </c>
    </row>
    <row r="11" spans="1:3" ht="38.25">
      <c r="A11" s="390">
        <v>284</v>
      </c>
      <c r="B11" s="390"/>
      <c r="C11" s="330" t="s">
        <v>1246</v>
      </c>
    </row>
    <row r="12" spans="1:3" ht="38.25">
      <c r="A12" s="326">
        <v>284</v>
      </c>
      <c r="B12" s="328" t="s">
        <v>1429</v>
      </c>
      <c r="C12" s="329" t="s">
        <v>1430</v>
      </c>
    </row>
    <row r="13" spans="1:3" ht="38.25">
      <c r="A13" s="326">
        <v>284</v>
      </c>
      <c r="B13" s="328" t="s">
        <v>1431</v>
      </c>
      <c r="C13" s="329" t="s">
        <v>1432</v>
      </c>
    </row>
    <row r="14" spans="1:3" ht="25.5">
      <c r="A14" s="326">
        <v>284</v>
      </c>
      <c r="B14" s="328" t="s">
        <v>1433</v>
      </c>
      <c r="C14" s="329" t="s">
        <v>1434</v>
      </c>
    </row>
    <row r="15" spans="1:3" ht="25.5">
      <c r="A15" s="326">
        <v>284</v>
      </c>
      <c r="B15" s="328" t="s">
        <v>1435</v>
      </c>
      <c r="C15" s="329" t="s">
        <v>1436</v>
      </c>
    </row>
    <row r="16" spans="1:3" ht="38.25">
      <c r="A16" s="326">
        <v>284</v>
      </c>
      <c r="B16" s="328" t="s">
        <v>1437</v>
      </c>
      <c r="C16" s="329" t="s">
        <v>1438</v>
      </c>
    </row>
    <row r="17" spans="1:3" ht="38.25">
      <c r="A17" s="326">
        <v>284</v>
      </c>
      <c r="B17" s="328" t="s">
        <v>1439</v>
      </c>
      <c r="C17" s="329" t="s">
        <v>1440</v>
      </c>
    </row>
    <row r="18" spans="1:3" ht="25.5">
      <c r="A18" s="326">
        <v>284</v>
      </c>
      <c r="B18" s="328" t="s">
        <v>1441</v>
      </c>
      <c r="C18" s="329" t="s">
        <v>1442</v>
      </c>
    </row>
    <row r="19" spans="1:3" ht="25.5">
      <c r="A19" s="326">
        <v>284</v>
      </c>
      <c r="B19" s="328" t="s">
        <v>1443</v>
      </c>
      <c r="C19" s="329" t="s">
        <v>1444</v>
      </c>
    </row>
    <row r="20" spans="1:3" ht="25.5">
      <c r="A20" s="326">
        <v>284</v>
      </c>
      <c r="B20" s="328" t="s">
        <v>1445</v>
      </c>
      <c r="C20" s="329" t="s">
        <v>1446</v>
      </c>
    </row>
    <row r="21" spans="1:3" ht="25.5">
      <c r="A21" s="326">
        <v>284</v>
      </c>
      <c r="B21" s="328" t="s">
        <v>1447</v>
      </c>
      <c r="C21" s="329" t="s">
        <v>1448</v>
      </c>
    </row>
    <row r="22" spans="1:3" ht="25.5">
      <c r="A22" s="326">
        <v>284</v>
      </c>
      <c r="B22" s="328" t="s">
        <v>1449</v>
      </c>
      <c r="C22" s="329" t="s">
        <v>1384</v>
      </c>
    </row>
    <row r="23" spans="1:3" ht="25.5">
      <c r="A23" s="326">
        <v>284</v>
      </c>
      <c r="B23" s="328" t="s">
        <v>1450</v>
      </c>
      <c r="C23" s="329" t="s">
        <v>1451</v>
      </c>
    </row>
    <row r="24" spans="1:3" ht="25.5">
      <c r="A24" s="326">
        <v>284</v>
      </c>
      <c r="B24" s="328" t="s">
        <v>1452</v>
      </c>
      <c r="C24" s="329" t="s">
        <v>1453</v>
      </c>
    </row>
    <row r="25" spans="1:3" ht="25.5">
      <c r="A25" s="326">
        <v>284</v>
      </c>
      <c r="B25" s="328" t="s">
        <v>1454</v>
      </c>
      <c r="C25" s="329" t="s">
        <v>1455</v>
      </c>
    </row>
    <row r="26" spans="1:3">
      <c r="A26" s="326">
        <v>284</v>
      </c>
      <c r="B26" s="328" t="s">
        <v>1456</v>
      </c>
      <c r="C26" s="329" t="s">
        <v>1457</v>
      </c>
    </row>
    <row r="27" spans="1:3" ht="63.75">
      <c r="A27" s="326">
        <v>284</v>
      </c>
      <c r="B27" s="328" t="s">
        <v>1458</v>
      </c>
      <c r="C27" s="329" t="s">
        <v>1459</v>
      </c>
    </row>
    <row r="28" spans="1:3" ht="25.5">
      <c r="A28" s="326">
        <v>284</v>
      </c>
      <c r="B28" s="328" t="s">
        <v>1460</v>
      </c>
      <c r="C28" s="329" t="s">
        <v>1461</v>
      </c>
    </row>
    <row r="29" spans="1:3" ht="38.25">
      <c r="A29" s="326">
        <v>284</v>
      </c>
      <c r="B29" s="328" t="s">
        <v>1462</v>
      </c>
      <c r="C29" s="329" t="s">
        <v>1463</v>
      </c>
    </row>
    <row r="30" spans="1:3" ht="38.25">
      <c r="A30" s="326">
        <v>284</v>
      </c>
      <c r="B30" s="328" t="s">
        <v>1464</v>
      </c>
      <c r="C30" s="329" t="s">
        <v>1465</v>
      </c>
    </row>
    <row r="31" spans="1:3" ht="38.25">
      <c r="A31" s="326">
        <v>284</v>
      </c>
      <c r="B31" s="328" t="s">
        <v>1466</v>
      </c>
      <c r="C31" s="329" t="s">
        <v>1467</v>
      </c>
    </row>
    <row r="32" spans="1:3" ht="25.5">
      <c r="A32" s="326">
        <v>284</v>
      </c>
      <c r="B32" s="328" t="s">
        <v>1468</v>
      </c>
      <c r="C32" s="329" t="s">
        <v>1469</v>
      </c>
    </row>
    <row r="33" spans="1:3" ht="25.5">
      <c r="A33" s="326">
        <v>284</v>
      </c>
      <c r="B33" s="328" t="s">
        <v>1470</v>
      </c>
      <c r="C33" s="329" t="s">
        <v>1471</v>
      </c>
    </row>
    <row r="34" spans="1:3" ht="25.5">
      <c r="A34" s="326">
        <v>284</v>
      </c>
      <c r="B34" s="328" t="s">
        <v>1472</v>
      </c>
      <c r="C34" s="329" t="s">
        <v>1473</v>
      </c>
    </row>
    <row r="35" spans="1:3" ht="25.5">
      <c r="A35" s="326">
        <v>284</v>
      </c>
      <c r="B35" s="328" t="s">
        <v>1474</v>
      </c>
      <c r="C35" s="329" t="s">
        <v>1475</v>
      </c>
    </row>
    <row r="36" spans="1:3" ht="25.5">
      <c r="A36" s="326">
        <v>284</v>
      </c>
      <c r="B36" s="328" t="s">
        <v>1476</v>
      </c>
      <c r="C36" s="329" t="s">
        <v>1477</v>
      </c>
    </row>
    <row r="37" spans="1:3" ht="25.5">
      <c r="A37" s="326">
        <v>284</v>
      </c>
      <c r="B37" s="328" t="s">
        <v>1478</v>
      </c>
      <c r="C37" s="329" t="s">
        <v>1479</v>
      </c>
    </row>
    <row r="38" spans="1:3" ht="63.75">
      <c r="A38" s="326">
        <v>284</v>
      </c>
      <c r="B38" s="328" t="s">
        <v>1480</v>
      </c>
      <c r="C38" s="329" t="s">
        <v>1481</v>
      </c>
    </row>
    <row r="39" spans="1:3" ht="25.5">
      <c r="A39" s="326">
        <v>284</v>
      </c>
      <c r="B39" s="328" t="s">
        <v>1482</v>
      </c>
      <c r="C39" s="329" t="s">
        <v>1483</v>
      </c>
    </row>
    <row r="40" spans="1:3" ht="25.5">
      <c r="A40" s="331">
        <v>284</v>
      </c>
      <c r="B40" s="332" t="s">
        <v>1484</v>
      </c>
      <c r="C40" s="362" t="s">
        <v>1486</v>
      </c>
    </row>
  </sheetData>
  <mergeCells count="5">
    <mergeCell ref="A5:C5"/>
    <mergeCell ref="A7:B7"/>
    <mergeCell ref="C7:C8"/>
    <mergeCell ref="A9:B9"/>
    <mergeCell ref="A11:B11"/>
  </mergeCells>
  <pageMargins left="1.1023622047244095" right="0.31496062992125984" top="0.35433070866141736" bottom="0.35433070866141736" header="0.31496062992125984" footer="0.31496062992125984"/>
  <pageSetup paperSize="9" scale="84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33"/>
  <sheetViews>
    <sheetView workbookViewId="0">
      <selection activeCell="A18" sqref="A18"/>
    </sheetView>
  </sheetViews>
  <sheetFormatPr defaultColWidth="9.140625" defaultRowHeight="12.75"/>
  <cols>
    <col min="1" max="1" width="71.5703125" style="85" customWidth="1"/>
    <col min="2" max="2" width="6.140625" style="1" customWidth="1"/>
    <col min="3" max="3" width="7.7109375" customWidth="1"/>
    <col min="4" max="4" width="6.85546875" customWidth="1"/>
    <col min="5" max="5" width="12.28515625" customWidth="1"/>
    <col min="6" max="6" width="8.140625" customWidth="1"/>
    <col min="7" max="7" width="13.42578125" style="3" customWidth="1"/>
    <col min="8" max="8" width="16.140625" style="3" customWidth="1"/>
    <col min="9" max="9" width="13.140625" style="3" customWidth="1"/>
    <col min="10" max="10" width="13.28515625" style="225" hidden="1" customWidth="1"/>
    <col min="11" max="11" width="13" hidden="1" customWidth="1"/>
    <col min="12" max="12" width="11" hidden="1" customWidth="1"/>
    <col min="13" max="13" width="11.5703125" hidden="1" customWidth="1"/>
    <col min="14" max="15" width="12.28515625" hidden="1" customWidth="1"/>
    <col min="16" max="16" width="10.5703125" hidden="1" customWidth="1"/>
    <col min="17" max="17" width="10.140625" hidden="1" customWidth="1"/>
    <col min="18" max="18" width="9.140625" hidden="1" customWidth="1"/>
    <col min="19" max="19" width="14" hidden="1" customWidth="1"/>
    <col min="20" max="21" width="9.140625" hidden="1" customWidth="1"/>
    <col min="22" max="23" width="9.140625" customWidth="1"/>
  </cols>
  <sheetData>
    <row r="1" spans="1:19">
      <c r="G1" s="79"/>
      <c r="H1" s="25" t="s">
        <v>1068</v>
      </c>
    </row>
    <row r="2" spans="1:19">
      <c r="G2" s="79"/>
      <c r="H2" s="4" t="s">
        <v>1487</v>
      </c>
    </row>
    <row r="3" spans="1:19" ht="12" customHeight="1">
      <c r="F3" s="4"/>
      <c r="G3" s="79"/>
      <c r="H3" s="79"/>
    </row>
    <row r="4" spans="1:19" ht="12" customHeight="1">
      <c r="F4" s="4"/>
      <c r="G4" s="79"/>
      <c r="H4" s="79"/>
    </row>
    <row r="5" spans="1:19" ht="15" customHeight="1">
      <c r="F5" s="391"/>
      <c r="G5" s="391"/>
      <c r="H5" s="5"/>
      <c r="I5" s="5"/>
    </row>
    <row r="6" spans="1:19" ht="20.25" customHeight="1">
      <c r="B6" s="6" t="s">
        <v>854</v>
      </c>
      <c r="F6" s="4"/>
    </row>
    <row r="7" spans="1:19">
      <c r="B7" s="6" t="s">
        <v>534</v>
      </c>
      <c r="F7" s="7"/>
    </row>
    <row r="8" spans="1:19">
      <c r="B8" s="6" t="s">
        <v>535</v>
      </c>
      <c r="F8" s="7"/>
    </row>
    <row r="9" spans="1:19">
      <c r="B9" s="8" t="s">
        <v>536</v>
      </c>
    </row>
    <row r="10" spans="1:19" ht="15.75" customHeight="1" thickBot="1">
      <c r="B10" s="9"/>
      <c r="G10" s="5"/>
      <c r="H10" s="5"/>
      <c r="I10" s="5"/>
    </row>
    <row r="11" spans="1:19" ht="15" thickBot="1">
      <c r="A11" s="86" t="s">
        <v>537</v>
      </c>
      <c r="B11" s="10" t="s">
        <v>538</v>
      </c>
      <c r="C11" s="11"/>
      <c r="D11" s="12"/>
      <c r="E11" s="12"/>
      <c r="F11" s="12"/>
      <c r="G11" s="13" t="s">
        <v>539</v>
      </c>
      <c r="H11" s="13" t="s">
        <v>1133</v>
      </c>
      <c r="I11" s="13" t="s">
        <v>540</v>
      </c>
      <c r="O11" s="84"/>
    </row>
    <row r="12" spans="1:19" ht="27.75" customHeight="1" thickBot="1">
      <c r="A12" s="87"/>
      <c r="B12" s="14" t="s">
        <v>541</v>
      </c>
      <c r="C12" s="15" t="s">
        <v>542</v>
      </c>
      <c r="D12" s="15" t="s">
        <v>543</v>
      </c>
      <c r="E12" s="15" t="s">
        <v>544</v>
      </c>
      <c r="F12" s="16" t="s">
        <v>833</v>
      </c>
      <c r="G12" s="17" t="s">
        <v>855</v>
      </c>
      <c r="H12" s="17" t="s">
        <v>1134</v>
      </c>
      <c r="I12" s="17" t="s">
        <v>834</v>
      </c>
    </row>
    <row r="13" spans="1:19" s="19" customFormat="1" ht="15.75">
      <c r="A13" s="212" t="s">
        <v>835</v>
      </c>
      <c r="B13" s="191"/>
      <c r="C13" s="191" t="s">
        <v>836</v>
      </c>
      <c r="D13" s="191"/>
      <c r="E13" s="191"/>
      <c r="F13" s="192"/>
      <c r="G13" s="202">
        <f>SUM(G14+G18+G51+G72+G75+G93+G97+G89+G83)</f>
        <v>195978.7</v>
      </c>
      <c r="H13" s="202">
        <f>SUM(H14+H18+H51+H72+H75+H93+H97+H89+H83)</f>
        <v>192805.7</v>
      </c>
      <c r="I13" s="18">
        <f>SUM(H13/G13*100)</f>
        <v>98.380946500818709</v>
      </c>
      <c r="J13" s="226"/>
      <c r="K13" s="100">
        <f>SUM(J14:J142)</f>
        <v>195978.69999999998</v>
      </c>
      <c r="L13" s="19">
        <f>SUM(ведомствен.2013!G12+ведомствен.2013!G42+ведомствен.2013!G236+ведомствен.2013!G707+ведомствен.2013!G744+ведомствен.2013!G1038)</f>
        <v>195978.69999999998</v>
      </c>
      <c r="S13" s="100">
        <f>192805.7-H13</f>
        <v>0</v>
      </c>
    </row>
    <row r="14" spans="1:19" ht="28.5">
      <c r="A14" s="117" t="s">
        <v>837</v>
      </c>
      <c r="B14" s="138"/>
      <c r="C14" s="138" t="s">
        <v>836</v>
      </c>
      <c r="D14" s="138" t="s">
        <v>838</v>
      </c>
      <c r="E14" s="138"/>
      <c r="F14" s="139"/>
      <c r="G14" s="30">
        <f>SUM(G15)</f>
        <v>1532.1</v>
      </c>
      <c r="H14" s="30">
        <f>SUM(H15)</f>
        <v>1532.1</v>
      </c>
      <c r="I14" s="20">
        <f>SUM(H14/G14*100)</f>
        <v>100</v>
      </c>
      <c r="M14" s="84">
        <f>SUM(K13-L13)</f>
        <v>0</v>
      </c>
      <c r="O14" s="84">
        <f>SUM(G14+G18+G51+G75+G168)</f>
        <v>134524.19999999998</v>
      </c>
      <c r="S14" s="84">
        <f>SUM(H17+H21+H54+H56+H58+H60+H62+H64+H78+H80+H82+H88+H96+H113+H115+H117+H120+H131+H135+H137+H139)</f>
        <v>192805.69999999998</v>
      </c>
    </row>
    <row r="15" spans="1:19" ht="41.25" customHeight="1">
      <c r="A15" s="117" t="s">
        <v>160</v>
      </c>
      <c r="B15" s="138"/>
      <c r="C15" s="138" t="s">
        <v>836</v>
      </c>
      <c r="D15" s="138" t="s">
        <v>838</v>
      </c>
      <c r="E15" s="138" t="s">
        <v>161</v>
      </c>
      <c r="F15" s="139"/>
      <c r="G15" s="30">
        <f>SUM(G17:G17)</f>
        <v>1532.1</v>
      </c>
      <c r="H15" s="30">
        <f>SUM(H17:H17)</f>
        <v>1532.1</v>
      </c>
      <c r="I15" s="20">
        <f t="shared" ref="I15:I57" si="0">SUM(H15/G15*100)</f>
        <v>100</v>
      </c>
    </row>
    <row r="16" spans="1:19" ht="16.5" customHeight="1">
      <c r="A16" s="117" t="s">
        <v>162</v>
      </c>
      <c r="B16" s="138"/>
      <c r="C16" s="138" t="s">
        <v>836</v>
      </c>
      <c r="D16" s="138" t="s">
        <v>838</v>
      </c>
      <c r="E16" s="138" t="s">
        <v>163</v>
      </c>
      <c r="F16" s="139"/>
      <c r="G16" s="30">
        <f>SUM(G17)</f>
        <v>1532.1</v>
      </c>
      <c r="H16" s="30">
        <f>SUM(H17)</f>
        <v>1532.1</v>
      </c>
      <c r="I16" s="20">
        <f t="shared" si="0"/>
        <v>100</v>
      </c>
    </row>
    <row r="17" spans="1:19" ht="19.5" customHeight="1">
      <c r="A17" s="117" t="s">
        <v>164</v>
      </c>
      <c r="B17" s="138"/>
      <c r="C17" s="138" t="s">
        <v>836</v>
      </c>
      <c r="D17" s="138" t="s">
        <v>838</v>
      </c>
      <c r="E17" s="138" t="s">
        <v>163</v>
      </c>
      <c r="F17" s="139" t="s">
        <v>165</v>
      </c>
      <c r="G17" s="30">
        <v>1532.1</v>
      </c>
      <c r="H17" s="30">
        <v>1532.1</v>
      </c>
      <c r="I17" s="20">
        <f t="shared" si="0"/>
        <v>100</v>
      </c>
      <c r="J17" s="225">
        <f>SUM(ведомствен.2013!G16)</f>
        <v>1532.1</v>
      </c>
      <c r="S17">
        <v>1532.1</v>
      </c>
    </row>
    <row r="18" spans="1:19" ht="44.25" customHeight="1">
      <c r="A18" s="117" t="s">
        <v>166</v>
      </c>
      <c r="B18" s="138"/>
      <c r="C18" s="138" t="s">
        <v>836</v>
      </c>
      <c r="D18" s="138" t="s">
        <v>167</v>
      </c>
      <c r="E18" s="138"/>
      <c r="F18" s="139"/>
      <c r="G18" s="30">
        <f>SUM(G19)</f>
        <v>10870.7</v>
      </c>
      <c r="H18" s="30">
        <f>SUM(H19)</f>
        <v>10768.5</v>
      </c>
      <c r="I18" s="20">
        <f t="shared" si="0"/>
        <v>99.059858150809049</v>
      </c>
    </row>
    <row r="19" spans="1:19" ht="42.75" customHeight="1">
      <c r="A19" s="117" t="s">
        <v>160</v>
      </c>
      <c r="B19" s="138"/>
      <c r="C19" s="138" t="s">
        <v>836</v>
      </c>
      <c r="D19" s="138" t="s">
        <v>167</v>
      </c>
      <c r="E19" s="138" t="s">
        <v>161</v>
      </c>
      <c r="F19" s="140"/>
      <c r="G19" s="30">
        <f>SUM(G20+G22)</f>
        <v>10870.7</v>
      </c>
      <c r="H19" s="30">
        <f>SUM(H20+H22)</f>
        <v>10768.5</v>
      </c>
      <c r="I19" s="20">
        <f t="shared" si="0"/>
        <v>99.059858150809049</v>
      </c>
    </row>
    <row r="20" spans="1:19" ht="15">
      <c r="A20" s="95" t="s">
        <v>168</v>
      </c>
      <c r="B20" s="138"/>
      <c r="C20" s="138" t="s">
        <v>169</v>
      </c>
      <c r="D20" s="138" t="s">
        <v>167</v>
      </c>
      <c r="E20" s="138" t="s">
        <v>170</v>
      </c>
      <c r="F20" s="140"/>
      <c r="G20" s="30">
        <f>SUM(G21)</f>
        <v>10870.7</v>
      </c>
      <c r="H20" s="30">
        <f>SUM(H21)</f>
        <v>10768.5</v>
      </c>
      <c r="I20" s="20">
        <f t="shared" si="0"/>
        <v>99.059858150809049</v>
      </c>
    </row>
    <row r="21" spans="1:19" ht="18" customHeight="1">
      <c r="A21" s="95" t="s">
        <v>164</v>
      </c>
      <c r="B21" s="138"/>
      <c r="C21" s="138" t="s">
        <v>836</v>
      </c>
      <c r="D21" s="138" t="s">
        <v>167</v>
      </c>
      <c r="E21" s="138" t="s">
        <v>170</v>
      </c>
      <c r="F21" s="139" t="s">
        <v>165</v>
      </c>
      <c r="G21" s="30">
        <v>10870.7</v>
      </c>
      <c r="H21" s="30">
        <v>10768.5</v>
      </c>
      <c r="I21" s="20">
        <f t="shared" si="0"/>
        <v>99.059858150809049</v>
      </c>
      <c r="J21" s="225">
        <f>SUM(ведомствен.2013!G20)+ведомствен.2013!G748</f>
        <v>10870.7</v>
      </c>
      <c r="S21">
        <v>10768.5</v>
      </c>
    </row>
    <row r="22" spans="1:19" ht="15" hidden="1" customHeight="1">
      <c r="A22" s="95" t="s">
        <v>171</v>
      </c>
      <c r="B22" s="138"/>
      <c r="C22" s="138" t="s">
        <v>169</v>
      </c>
      <c r="D22" s="138" t="s">
        <v>167</v>
      </c>
      <c r="E22" s="138" t="s">
        <v>172</v>
      </c>
      <c r="F22" s="139"/>
      <c r="G22" s="30">
        <f>SUM(G23)</f>
        <v>0</v>
      </c>
      <c r="H22" s="30">
        <f>SUM(H23)</f>
        <v>0</v>
      </c>
      <c r="I22" s="20" t="e">
        <f t="shared" si="0"/>
        <v>#DIV/0!</v>
      </c>
    </row>
    <row r="23" spans="1:19" ht="15" hidden="1" customHeight="1">
      <c r="A23" s="95" t="s">
        <v>164</v>
      </c>
      <c r="B23" s="138"/>
      <c r="C23" s="138" t="s">
        <v>169</v>
      </c>
      <c r="D23" s="138" t="s">
        <v>167</v>
      </c>
      <c r="E23" s="138" t="s">
        <v>172</v>
      </c>
      <c r="F23" s="139" t="s">
        <v>165</v>
      </c>
      <c r="G23" s="30"/>
      <c r="H23" s="30"/>
      <c r="I23" s="20" t="e">
        <f t="shared" si="0"/>
        <v>#DIV/0!</v>
      </c>
    </row>
    <row r="24" spans="1:19" ht="15" hidden="1" customHeight="1">
      <c r="A24" s="95" t="s">
        <v>173</v>
      </c>
      <c r="B24" s="138"/>
      <c r="C24" s="138" t="s">
        <v>836</v>
      </c>
      <c r="D24" s="138" t="s">
        <v>174</v>
      </c>
      <c r="E24" s="138"/>
      <c r="F24" s="140"/>
      <c r="G24" s="30">
        <f>SUM(G25)</f>
        <v>0</v>
      </c>
      <c r="H24" s="30">
        <f>SUM(H25)</f>
        <v>0</v>
      </c>
      <c r="I24" s="20" t="e">
        <f t="shared" si="0"/>
        <v>#DIV/0!</v>
      </c>
    </row>
    <row r="25" spans="1:19" ht="28.5" hidden="1" customHeight="1">
      <c r="A25" s="95" t="s">
        <v>175</v>
      </c>
      <c r="B25" s="138"/>
      <c r="C25" s="138" t="s">
        <v>836</v>
      </c>
      <c r="D25" s="138" t="s">
        <v>174</v>
      </c>
      <c r="E25" s="138" t="s">
        <v>176</v>
      </c>
      <c r="F25" s="141"/>
      <c r="G25" s="30">
        <f>SUM(G26)</f>
        <v>0</v>
      </c>
      <c r="H25" s="30">
        <f>SUM(H26)</f>
        <v>0</v>
      </c>
      <c r="I25" s="20" t="e">
        <f t="shared" si="0"/>
        <v>#DIV/0!</v>
      </c>
    </row>
    <row r="26" spans="1:19" ht="15" hidden="1" customHeight="1">
      <c r="A26" s="95" t="s">
        <v>177</v>
      </c>
      <c r="B26" s="138"/>
      <c r="C26" s="138" t="s">
        <v>836</v>
      </c>
      <c r="D26" s="138" t="s">
        <v>174</v>
      </c>
      <c r="E26" s="138" t="s">
        <v>176</v>
      </c>
      <c r="F26" s="141" t="s">
        <v>178</v>
      </c>
      <c r="G26" s="30"/>
      <c r="H26" s="30"/>
      <c r="I26" s="20" t="e">
        <f t="shared" si="0"/>
        <v>#DIV/0!</v>
      </c>
    </row>
    <row r="27" spans="1:19" s="22" customFormat="1" ht="15" hidden="1" customHeight="1">
      <c r="A27" s="95" t="s">
        <v>179</v>
      </c>
      <c r="B27" s="138"/>
      <c r="C27" s="138" t="s">
        <v>180</v>
      </c>
      <c r="D27" s="138"/>
      <c r="E27" s="138"/>
      <c r="F27" s="139"/>
      <c r="G27" s="30">
        <f t="shared" ref="G27:H29" si="1">SUM(G28)</f>
        <v>0</v>
      </c>
      <c r="H27" s="30">
        <f t="shared" si="1"/>
        <v>0</v>
      </c>
      <c r="I27" s="20" t="e">
        <f t="shared" si="0"/>
        <v>#DIV/0!</v>
      </c>
      <c r="J27" s="227"/>
    </row>
    <row r="28" spans="1:19" s="22" customFormat="1" ht="15" hidden="1" customHeight="1">
      <c r="A28" s="95" t="s">
        <v>181</v>
      </c>
      <c r="B28" s="138"/>
      <c r="C28" s="138" t="s">
        <v>180</v>
      </c>
      <c r="D28" s="138" t="s">
        <v>180</v>
      </c>
      <c r="E28" s="138"/>
      <c r="F28" s="139"/>
      <c r="G28" s="30">
        <f t="shared" si="1"/>
        <v>0</v>
      </c>
      <c r="H28" s="30">
        <f t="shared" si="1"/>
        <v>0</v>
      </c>
      <c r="I28" s="20" t="e">
        <f t="shared" si="0"/>
        <v>#DIV/0!</v>
      </c>
      <c r="J28" s="227"/>
    </row>
    <row r="29" spans="1:19" s="22" customFormat="1" ht="28.5" hidden="1" customHeight="1">
      <c r="A29" s="95" t="s">
        <v>182</v>
      </c>
      <c r="B29" s="138"/>
      <c r="C29" s="138" t="s">
        <v>180</v>
      </c>
      <c r="D29" s="138" t="s">
        <v>180</v>
      </c>
      <c r="E29" s="138" t="s">
        <v>183</v>
      </c>
      <c r="F29" s="139"/>
      <c r="G29" s="30">
        <f t="shared" si="1"/>
        <v>0</v>
      </c>
      <c r="H29" s="30">
        <f t="shared" si="1"/>
        <v>0</v>
      </c>
      <c r="I29" s="20" t="e">
        <f t="shared" si="0"/>
        <v>#DIV/0!</v>
      </c>
      <c r="J29" s="227"/>
    </row>
    <row r="30" spans="1:19" s="22" customFormat="1" ht="15" hidden="1" customHeight="1">
      <c r="A30" s="95" t="s">
        <v>184</v>
      </c>
      <c r="B30" s="138"/>
      <c r="C30" s="138" t="s">
        <v>180</v>
      </c>
      <c r="D30" s="138" t="s">
        <v>180</v>
      </c>
      <c r="E30" s="138" t="s">
        <v>183</v>
      </c>
      <c r="F30" s="139" t="s">
        <v>185</v>
      </c>
      <c r="G30" s="30"/>
      <c r="H30" s="30"/>
      <c r="I30" s="20" t="e">
        <f t="shared" si="0"/>
        <v>#DIV/0!</v>
      </c>
      <c r="J30" s="227"/>
    </row>
    <row r="31" spans="1:19" s="22" customFormat="1" ht="15" hidden="1" customHeight="1">
      <c r="A31" s="115" t="s">
        <v>179</v>
      </c>
      <c r="B31" s="163"/>
      <c r="C31" s="154" t="s">
        <v>180</v>
      </c>
      <c r="D31" s="138"/>
      <c r="E31" s="138"/>
      <c r="F31" s="139"/>
      <c r="G31" s="30">
        <f t="shared" ref="G31:H33" si="2">SUM(G32)</f>
        <v>0</v>
      </c>
      <c r="H31" s="30">
        <f t="shared" si="2"/>
        <v>0</v>
      </c>
      <c r="I31" s="20" t="e">
        <f t="shared" si="0"/>
        <v>#DIV/0!</v>
      </c>
      <c r="J31" s="227"/>
    </row>
    <row r="32" spans="1:19" s="22" customFormat="1" ht="15" hidden="1" customHeight="1">
      <c r="A32" s="95" t="s">
        <v>181</v>
      </c>
      <c r="B32" s="138"/>
      <c r="C32" s="138" t="s">
        <v>180</v>
      </c>
      <c r="D32" s="138" t="s">
        <v>180</v>
      </c>
      <c r="E32" s="138"/>
      <c r="F32" s="139"/>
      <c r="G32" s="30">
        <f t="shared" si="2"/>
        <v>0</v>
      </c>
      <c r="H32" s="30">
        <f t="shared" si="2"/>
        <v>0</v>
      </c>
      <c r="I32" s="20" t="e">
        <f t="shared" si="0"/>
        <v>#DIV/0!</v>
      </c>
      <c r="J32" s="227"/>
    </row>
    <row r="33" spans="1:10" s="22" customFormat="1" ht="28.5" hidden="1" customHeight="1">
      <c r="A33" s="95" t="s">
        <v>182</v>
      </c>
      <c r="B33" s="138"/>
      <c r="C33" s="138" t="s">
        <v>180</v>
      </c>
      <c r="D33" s="138" t="s">
        <v>180</v>
      </c>
      <c r="E33" s="138" t="s">
        <v>183</v>
      </c>
      <c r="F33" s="139"/>
      <c r="G33" s="30">
        <f t="shared" si="2"/>
        <v>0</v>
      </c>
      <c r="H33" s="30">
        <f t="shared" si="2"/>
        <v>0</v>
      </c>
      <c r="I33" s="20" t="e">
        <f t="shared" si="0"/>
        <v>#DIV/0!</v>
      </c>
      <c r="J33" s="227"/>
    </row>
    <row r="34" spans="1:10" s="22" customFormat="1" ht="15" hidden="1" customHeight="1">
      <c r="A34" s="95" t="s">
        <v>184</v>
      </c>
      <c r="B34" s="138"/>
      <c r="C34" s="138" t="s">
        <v>180</v>
      </c>
      <c r="D34" s="138" t="s">
        <v>180</v>
      </c>
      <c r="E34" s="138" t="s">
        <v>183</v>
      </c>
      <c r="F34" s="139" t="s">
        <v>185</v>
      </c>
      <c r="G34" s="30"/>
      <c r="H34" s="30"/>
      <c r="I34" s="20" t="e">
        <f t="shared" si="0"/>
        <v>#DIV/0!</v>
      </c>
      <c r="J34" s="227"/>
    </row>
    <row r="35" spans="1:10" s="23" customFormat="1" ht="15" hidden="1" customHeight="1">
      <c r="A35" s="95"/>
      <c r="B35" s="138"/>
      <c r="C35" s="138"/>
      <c r="D35" s="138"/>
      <c r="E35" s="138"/>
      <c r="F35" s="139"/>
      <c r="G35" s="30"/>
      <c r="H35" s="30"/>
      <c r="I35" s="20" t="e">
        <f t="shared" si="0"/>
        <v>#DIV/0!</v>
      </c>
      <c r="J35" s="228"/>
    </row>
    <row r="36" spans="1:10" ht="28.5" hidden="1" customHeight="1">
      <c r="A36" s="95" t="s">
        <v>186</v>
      </c>
      <c r="B36" s="138"/>
      <c r="C36" s="138" t="s">
        <v>836</v>
      </c>
      <c r="D36" s="138" t="s">
        <v>174</v>
      </c>
      <c r="E36" s="138" t="s">
        <v>187</v>
      </c>
      <c r="F36" s="139"/>
      <c r="G36" s="30">
        <f>SUM(G37)</f>
        <v>0</v>
      </c>
      <c r="H36" s="30">
        <f>SUM(H37)</f>
        <v>0</v>
      </c>
      <c r="I36" s="20" t="e">
        <f t="shared" si="0"/>
        <v>#DIV/0!</v>
      </c>
    </row>
    <row r="37" spans="1:10" ht="28.5" hidden="1" customHeight="1">
      <c r="A37" s="95" t="s">
        <v>188</v>
      </c>
      <c r="B37" s="138"/>
      <c r="C37" s="138" t="s">
        <v>836</v>
      </c>
      <c r="D37" s="138" t="s">
        <v>174</v>
      </c>
      <c r="E37" s="138" t="s">
        <v>187</v>
      </c>
      <c r="F37" s="139" t="s">
        <v>189</v>
      </c>
      <c r="G37" s="30"/>
      <c r="H37" s="30"/>
      <c r="I37" s="20" t="e">
        <f t="shared" si="0"/>
        <v>#DIV/0!</v>
      </c>
    </row>
    <row r="38" spans="1:10" ht="15" hidden="1" customHeight="1">
      <c r="A38" s="95" t="s">
        <v>190</v>
      </c>
      <c r="B38" s="138"/>
      <c r="C38" s="138" t="s">
        <v>191</v>
      </c>
      <c r="D38" s="138"/>
      <c r="E38" s="138"/>
      <c r="F38" s="140"/>
      <c r="G38" s="30">
        <f>SUM(G42+G39)</f>
        <v>0</v>
      </c>
      <c r="H38" s="30">
        <f>SUM(H42+H39)</f>
        <v>0</v>
      </c>
      <c r="I38" s="20" t="e">
        <f t="shared" si="0"/>
        <v>#DIV/0!</v>
      </c>
    </row>
    <row r="39" spans="1:10" ht="15" hidden="1" customHeight="1">
      <c r="A39" s="95" t="s">
        <v>192</v>
      </c>
      <c r="B39" s="138"/>
      <c r="C39" s="138" t="s">
        <v>191</v>
      </c>
      <c r="D39" s="138" t="s">
        <v>193</v>
      </c>
      <c r="E39" s="138"/>
      <c r="F39" s="140"/>
      <c r="G39" s="30">
        <f>SUM(G40)</f>
        <v>0</v>
      </c>
      <c r="H39" s="30">
        <f>SUM(H40)</f>
        <v>0</v>
      </c>
      <c r="I39" s="20" t="e">
        <f t="shared" si="0"/>
        <v>#DIV/0!</v>
      </c>
    </row>
    <row r="40" spans="1:10" ht="15" hidden="1" customHeight="1">
      <c r="A40" s="95" t="s">
        <v>194</v>
      </c>
      <c r="B40" s="138"/>
      <c r="C40" s="138" t="s">
        <v>191</v>
      </c>
      <c r="D40" s="138" t="s">
        <v>193</v>
      </c>
      <c r="E40" s="138" t="s">
        <v>762</v>
      </c>
      <c r="F40" s="139"/>
      <c r="G40" s="30">
        <f>SUM(G41)</f>
        <v>0</v>
      </c>
      <c r="H40" s="30">
        <f>SUM(H41)</f>
        <v>0</v>
      </c>
      <c r="I40" s="20" t="e">
        <f t="shared" si="0"/>
        <v>#DIV/0!</v>
      </c>
    </row>
    <row r="41" spans="1:10" ht="15" hidden="1" customHeight="1">
      <c r="A41" s="95" t="s">
        <v>763</v>
      </c>
      <c r="B41" s="138"/>
      <c r="C41" s="138" t="s">
        <v>191</v>
      </c>
      <c r="D41" s="138" t="s">
        <v>193</v>
      </c>
      <c r="E41" s="138" t="s">
        <v>762</v>
      </c>
      <c r="F41" s="139" t="s">
        <v>764</v>
      </c>
      <c r="G41" s="30"/>
      <c r="H41" s="30"/>
      <c r="I41" s="20" t="e">
        <f t="shared" si="0"/>
        <v>#DIV/0!</v>
      </c>
    </row>
    <row r="42" spans="1:10" ht="15" hidden="1" customHeight="1">
      <c r="A42" s="94" t="s">
        <v>765</v>
      </c>
      <c r="B42" s="142"/>
      <c r="C42" s="142" t="s">
        <v>191</v>
      </c>
      <c r="D42" s="142" t="s">
        <v>766</v>
      </c>
      <c r="E42" s="142"/>
      <c r="F42" s="140"/>
      <c r="G42" s="30">
        <f>SUM(G43+G45)</f>
        <v>0</v>
      </c>
      <c r="H42" s="30">
        <f>SUM(H43+H45)</f>
        <v>0</v>
      </c>
      <c r="I42" s="20" t="e">
        <f t="shared" si="0"/>
        <v>#DIV/0!</v>
      </c>
    </row>
    <row r="43" spans="1:10" ht="28.5" hidden="1" customHeight="1">
      <c r="A43" s="95" t="s">
        <v>767</v>
      </c>
      <c r="B43" s="138"/>
      <c r="C43" s="138" t="s">
        <v>191</v>
      </c>
      <c r="D43" s="138" t="s">
        <v>766</v>
      </c>
      <c r="E43" s="138" t="s">
        <v>768</v>
      </c>
      <c r="F43" s="140"/>
      <c r="G43" s="30">
        <f>SUM(G44)</f>
        <v>0</v>
      </c>
      <c r="H43" s="30">
        <f>SUM(H44)</f>
        <v>0</v>
      </c>
      <c r="I43" s="20" t="e">
        <f t="shared" si="0"/>
        <v>#DIV/0!</v>
      </c>
    </row>
    <row r="44" spans="1:10" ht="15" hidden="1" customHeight="1">
      <c r="A44" s="95" t="s">
        <v>793</v>
      </c>
      <c r="B44" s="138"/>
      <c r="C44" s="138" t="s">
        <v>191</v>
      </c>
      <c r="D44" s="138" t="s">
        <v>766</v>
      </c>
      <c r="E44" s="138" t="s">
        <v>768</v>
      </c>
      <c r="F44" s="140" t="s">
        <v>781</v>
      </c>
      <c r="G44" s="30"/>
      <c r="H44" s="30"/>
      <c r="I44" s="20" t="e">
        <f t="shared" si="0"/>
        <v>#DIV/0!</v>
      </c>
    </row>
    <row r="45" spans="1:10" ht="15" hidden="1" customHeight="1">
      <c r="A45" s="94" t="s">
        <v>782</v>
      </c>
      <c r="B45" s="142"/>
      <c r="C45" s="142" t="s">
        <v>191</v>
      </c>
      <c r="D45" s="142" t="s">
        <v>766</v>
      </c>
      <c r="E45" s="142" t="s">
        <v>783</v>
      </c>
      <c r="F45" s="140"/>
      <c r="G45" s="30">
        <f>SUM(G46)</f>
        <v>0</v>
      </c>
      <c r="H45" s="30">
        <f>SUM(H46)</f>
        <v>0</v>
      </c>
      <c r="I45" s="20" t="e">
        <f t="shared" si="0"/>
        <v>#DIV/0!</v>
      </c>
    </row>
    <row r="46" spans="1:10" ht="15" hidden="1" customHeight="1">
      <c r="A46" s="94" t="s">
        <v>784</v>
      </c>
      <c r="B46" s="142"/>
      <c r="C46" s="142" t="s">
        <v>191</v>
      </c>
      <c r="D46" s="142" t="s">
        <v>766</v>
      </c>
      <c r="E46" s="142" t="s">
        <v>783</v>
      </c>
      <c r="F46" s="140" t="s">
        <v>785</v>
      </c>
      <c r="G46" s="30"/>
      <c r="H46" s="30"/>
      <c r="I46" s="20" t="e">
        <f t="shared" si="0"/>
        <v>#DIV/0!</v>
      </c>
    </row>
    <row r="47" spans="1:10" ht="15" hidden="1" customHeight="1">
      <c r="A47" s="115" t="s">
        <v>179</v>
      </c>
      <c r="B47" s="163"/>
      <c r="C47" s="154" t="s">
        <v>180</v>
      </c>
      <c r="D47" s="138"/>
      <c r="E47" s="138"/>
      <c r="F47" s="139"/>
      <c r="G47" s="30">
        <f t="shared" ref="G47:H49" si="3">SUM(G48)</f>
        <v>0</v>
      </c>
      <c r="H47" s="30">
        <f t="shared" si="3"/>
        <v>0</v>
      </c>
      <c r="I47" s="20" t="e">
        <f t="shared" si="0"/>
        <v>#DIV/0!</v>
      </c>
    </row>
    <row r="48" spans="1:10" ht="15" hidden="1" customHeight="1">
      <c r="A48" s="95" t="s">
        <v>181</v>
      </c>
      <c r="B48" s="138"/>
      <c r="C48" s="138" t="s">
        <v>180</v>
      </c>
      <c r="D48" s="138" t="s">
        <v>180</v>
      </c>
      <c r="E48" s="138"/>
      <c r="F48" s="139"/>
      <c r="G48" s="30">
        <f t="shared" si="3"/>
        <v>0</v>
      </c>
      <c r="H48" s="30">
        <f t="shared" si="3"/>
        <v>0</v>
      </c>
      <c r="I48" s="20" t="e">
        <f t="shared" si="0"/>
        <v>#DIV/0!</v>
      </c>
    </row>
    <row r="49" spans="1:19" ht="28.5" hidden="1" customHeight="1">
      <c r="A49" s="95" t="s">
        <v>182</v>
      </c>
      <c r="B49" s="138"/>
      <c r="C49" s="138" t="s">
        <v>180</v>
      </c>
      <c r="D49" s="138" t="s">
        <v>180</v>
      </c>
      <c r="E49" s="138" t="s">
        <v>183</v>
      </c>
      <c r="F49" s="139"/>
      <c r="G49" s="30">
        <f t="shared" si="3"/>
        <v>0</v>
      </c>
      <c r="H49" s="30">
        <f t="shared" si="3"/>
        <v>0</v>
      </c>
      <c r="I49" s="20" t="e">
        <f t="shared" si="0"/>
        <v>#DIV/0!</v>
      </c>
    </row>
    <row r="50" spans="1:19" ht="15" hidden="1" customHeight="1">
      <c r="A50" s="95" t="s">
        <v>184</v>
      </c>
      <c r="B50" s="138"/>
      <c r="C50" s="138" t="s">
        <v>180</v>
      </c>
      <c r="D50" s="138" t="s">
        <v>180</v>
      </c>
      <c r="E50" s="138" t="s">
        <v>183</v>
      </c>
      <c r="F50" s="139" t="s">
        <v>185</v>
      </c>
      <c r="G50" s="30"/>
      <c r="H50" s="30"/>
      <c r="I50" s="20" t="e">
        <f t="shared" si="0"/>
        <v>#DIV/0!</v>
      </c>
    </row>
    <row r="51" spans="1:19" ht="44.25" customHeight="1">
      <c r="A51" s="95" t="s">
        <v>1003</v>
      </c>
      <c r="B51" s="138"/>
      <c r="C51" s="138" t="s">
        <v>836</v>
      </c>
      <c r="D51" s="138" t="s">
        <v>191</v>
      </c>
      <c r="E51" s="138"/>
      <c r="F51" s="139"/>
      <c r="G51" s="30">
        <f>SUM(G52)+G67+G65</f>
        <v>92796.999999999985</v>
      </c>
      <c r="H51" s="30">
        <f>SUM(H52)+H67+H65</f>
        <v>92730.9</v>
      </c>
      <c r="I51" s="20">
        <f t="shared" si="0"/>
        <v>99.928769249005896</v>
      </c>
    </row>
    <row r="52" spans="1:19" ht="45.75" customHeight="1">
      <c r="A52" s="95" t="s">
        <v>160</v>
      </c>
      <c r="B52" s="138"/>
      <c r="C52" s="138" t="s">
        <v>836</v>
      </c>
      <c r="D52" s="138" t="s">
        <v>191</v>
      </c>
      <c r="E52" s="138" t="s">
        <v>161</v>
      </c>
      <c r="F52" s="140"/>
      <c r="G52" s="30">
        <f>SUM(G53+G63)</f>
        <v>92796.999999999985</v>
      </c>
      <c r="H52" s="30">
        <f>SUM(H53+H63)</f>
        <v>92730.9</v>
      </c>
      <c r="I52" s="20">
        <f t="shared" si="0"/>
        <v>99.928769249005896</v>
      </c>
    </row>
    <row r="53" spans="1:19" ht="15">
      <c r="A53" s="95" t="s">
        <v>168</v>
      </c>
      <c r="B53" s="138"/>
      <c r="C53" s="138" t="s">
        <v>836</v>
      </c>
      <c r="D53" s="138" t="s">
        <v>191</v>
      </c>
      <c r="E53" s="138" t="s">
        <v>170</v>
      </c>
      <c r="F53" s="140"/>
      <c r="G53" s="30">
        <f>SUM(G54+G55+G57+G59++G61)</f>
        <v>91444.599999999991</v>
      </c>
      <c r="H53" s="30">
        <f>SUM(H54+H55+H57+H59++H61)</f>
        <v>91378.5</v>
      </c>
      <c r="I53" s="20">
        <f t="shared" si="0"/>
        <v>99.927715797324296</v>
      </c>
    </row>
    <row r="54" spans="1:19" ht="15">
      <c r="A54" s="95" t="s">
        <v>164</v>
      </c>
      <c r="B54" s="138"/>
      <c r="C54" s="138" t="s">
        <v>836</v>
      </c>
      <c r="D54" s="138" t="s">
        <v>191</v>
      </c>
      <c r="E54" s="138" t="s">
        <v>170</v>
      </c>
      <c r="F54" s="139" t="s">
        <v>165</v>
      </c>
      <c r="G54" s="30">
        <v>89457.9</v>
      </c>
      <c r="H54" s="30">
        <v>89391.8</v>
      </c>
      <c r="I54" s="20">
        <f t="shared" si="0"/>
        <v>99.926110494433701</v>
      </c>
      <c r="J54" s="225">
        <f>SUM(ведомствен.2013!G240+ведомствен.2013!G1041)+ведомствен.2013!G752</f>
        <v>89457.9</v>
      </c>
      <c r="S54">
        <v>89391.8</v>
      </c>
    </row>
    <row r="55" spans="1:19" ht="28.5">
      <c r="A55" s="95" t="s">
        <v>196</v>
      </c>
      <c r="B55" s="138"/>
      <c r="C55" s="138" t="s">
        <v>836</v>
      </c>
      <c r="D55" s="138" t="s">
        <v>191</v>
      </c>
      <c r="E55" s="138" t="s">
        <v>197</v>
      </c>
      <c r="F55" s="139"/>
      <c r="G55" s="30">
        <f>SUM(G56)</f>
        <v>1362.2</v>
      </c>
      <c r="H55" s="30">
        <f>SUM(H56)</f>
        <v>1362.2</v>
      </c>
      <c r="I55" s="20">
        <f t="shared" si="0"/>
        <v>100</v>
      </c>
    </row>
    <row r="56" spans="1:19" ht="23.25" customHeight="1">
      <c r="A56" s="95" t="s">
        <v>164</v>
      </c>
      <c r="B56" s="138"/>
      <c r="C56" s="138" t="s">
        <v>836</v>
      </c>
      <c r="D56" s="138" t="s">
        <v>191</v>
      </c>
      <c r="E56" s="138" t="s">
        <v>197</v>
      </c>
      <c r="F56" s="139" t="s">
        <v>165</v>
      </c>
      <c r="G56" s="30">
        <v>1362.2</v>
      </c>
      <c r="H56" s="30">
        <v>1362.2</v>
      </c>
      <c r="I56" s="20">
        <f t="shared" si="0"/>
        <v>100</v>
      </c>
      <c r="J56" s="225">
        <f>SUM(ведомствен.2013!G242)</f>
        <v>1362.2</v>
      </c>
      <c r="S56">
        <v>1362.2</v>
      </c>
    </row>
    <row r="57" spans="1:19" ht="53.25" customHeight="1">
      <c r="A57" s="95" t="s">
        <v>724</v>
      </c>
      <c r="B57" s="138"/>
      <c r="C57" s="138" t="s">
        <v>836</v>
      </c>
      <c r="D57" s="138" t="s">
        <v>191</v>
      </c>
      <c r="E57" s="138" t="s">
        <v>725</v>
      </c>
      <c r="F57" s="139"/>
      <c r="G57" s="30">
        <f>SUM(G58)</f>
        <v>92.5</v>
      </c>
      <c r="H57" s="30">
        <f>SUM(H58)</f>
        <v>92.5</v>
      </c>
      <c r="I57" s="20">
        <f t="shared" si="0"/>
        <v>100</v>
      </c>
    </row>
    <row r="58" spans="1:19" ht="20.25" customHeight="1">
      <c r="A58" s="95" t="s">
        <v>164</v>
      </c>
      <c r="B58" s="138"/>
      <c r="C58" s="138" t="s">
        <v>836</v>
      </c>
      <c r="D58" s="138" t="s">
        <v>191</v>
      </c>
      <c r="E58" s="138" t="s">
        <v>725</v>
      </c>
      <c r="F58" s="139" t="s">
        <v>165</v>
      </c>
      <c r="G58" s="30">
        <v>92.5</v>
      </c>
      <c r="H58" s="30">
        <v>92.5</v>
      </c>
      <c r="I58" s="20">
        <f>SUM(H58/G58*100)</f>
        <v>100</v>
      </c>
      <c r="J58" s="225">
        <f>SUM(ведомствен.2013!G245)</f>
        <v>92.5</v>
      </c>
      <c r="S58">
        <v>92.5</v>
      </c>
    </row>
    <row r="59" spans="1:19" ht="38.25" customHeight="1">
      <c r="A59" s="94" t="s">
        <v>55</v>
      </c>
      <c r="B59" s="142"/>
      <c r="C59" s="142" t="s">
        <v>836</v>
      </c>
      <c r="D59" s="142" t="s">
        <v>191</v>
      </c>
      <c r="E59" s="142" t="s">
        <v>56</v>
      </c>
      <c r="F59" s="139"/>
      <c r="G59" s="30">
        <f>SUM(G60)</f>
        <v>179.5</v>
      </c>
      <c r="H59" s="30">
        <f>SUM(H60)</f>
        <v>179.5</v>
      </c>
      <c r="I59" s="20">
        <f t="shared" ref="I59:I122" si="4">SUM(H59/G59*100)</f>
        <v>100</v>
      </c>
    </row>
    <row r="60" spans="1:19" ht="20.25" customHeight="1">
      <c r="A60" s="95" t="s">
        <v>164</v>
      </c>
      <c r="B60" s="142"/>
      <c r="C60" s="142" t="s">
        <v>836</v>
      </c>
      <c r="D60" s="142" t="s">
        <v>191</v>
      </c>
      <c r="E60" s="142" t="s">
        <v>56</v>
      </c>
      <c r="F60" s="139" t="s">
        <v>165</v>
      </c>
      <c r="G60" s="30">
        <v>179.5</v>
      </c>
      <c r="H60" s="30">
        <v>179.5</v>
      </c>
      <c r="I60" s="20">
        <f t="shared" si="4"/>
        <v>100</v>
      </c>
      <c r="J60" s="225">
        <f>SUM(ведомствен.2013!G247)</f>
        <v>179.5</v>
      </c>
      <c r="S60">
        <v>179.5</v>
      </c>
    </row>
    <row r="61" spans="1:19" ht="34.5" customHeight="1">
      <c r="A61" s="94" t="s">
        <v>241</v>
      </c>
      <c r="B61" s="142"/>
      <c r="C61" s="142" t="s">
        <v>836</v>
      </c>
      <c r="D61" s="142" t="s">
        <v>191</v>
      </c>
      <c r="E61" s="142" t="s">
        <v>242</v>
      </c>
      <c r="F61" s="140"/>
      <c r="G61" s="30">
        <f>SUM(G62)</f>
        <v>352.5</v>
      </c>
      <c r="H61" s="30">
        <f>SUM(H62)</f>
        <v>352.5</v>
      </c>
      <c r="I61" s="20">
        <f t="shared" si="4"/>
        <v>100</v>
      </c>
    </row>
    <row r="62" spans="1:19" ht="20.25" customHeight="1">
      <c r="A62" s="95" t="s">
        <v>164</v>
      </c>
      <c r="B62" s="142"/>
      <c r="C62" s="142" t="s">
        <v>836</v>
      </c>
      <c r="D62" s="142" t="s">
        <v>191</v>
      </c>
      <c r="E62" s="142" t="s">
        <v>242</v>
      </c>
      <c r="F62" s="140" t="s">
        <v>165</v>
      </c>
      <c r="G62" s="30">
        <v>352.5</v>
      </c>
      <c r="H62" s="30">
        <v>352.5</v>
      </c>
      <c r="I62" s="20">
        <f t="shared" si="4"/>
        <v>100</v>
      </c>
      <c r="J62" s="225">
        <f>SUM(ведомствен.2013!G250)</f>
        <v>352.5</v>
      </c>
      <c r="S62">
        <v>352.5</v>
      </c>
    </row>
    <row r="63" spans="1:19" ht="27.75" customHeight="1">
      <c r="A63" s="95" t="s">
        <v>726</v>
      </c>
      <c r="B63" s="138"/>
      <c r="C63" s="138" t="s">
        <v>169</v>
      </c>
      <c r="D63" s="138" t="s">
        <v>191</v>
      </c>
      <c r="E63" s="138" t="s">
        <v>727</v>
      </c>
      <c r="F63" s="140"/>
      <c r="G63" s="30">
        <f>SUM(G64)</f>
        <v>1352.4</v>
      </c>
      <c r="H63" s="30">
        <f>SUM(H64)</f>
        <v>1352.4</v>
      </c>
      <c r="I63" s="20">
        <f t="shared" si="4"/>
        <v>100</v>
      </c>
    </row>
    <row r="64" spans="1:19" ht="15" customHeight="1">
      <c r="A64" s="95" t="s">
        <v>164</v>
      </c>
      <c r="B64" s="138"/>
      <c r="C64" s="138" t="s">
        <v>836</v>
      </c>
      <c r="D64" s="138" t="s">
        <v>191</v>
      </c>
      <c r="E64" s="138" t="s">
        <v>727</v>
      </c>
      <c r="F64" s="139" t="s">
        <v>165</v>
      </c>
      <c r="G64" s="30">
        <v>1352.4</v>
      </c>
      <c r="H64" s="30">
        <v>1352.4</v>
      </c>
      <c r="I64" s="20">
        <f t="shared" si="4"/>
        <v>100</v>
      </c>
      <c r="J64" s="225">
        <f>SUM(ведомствен.2013!G252)</f>
        <v>1352.4</v>
      </c>
      <c r="S64">
        <v>1352.4</v>
      </c>
    </row>
    <row r="65" spans="1:19" ht="15" hidden="1" customHeight="1">
      <c r="A65" s="95" t="s">
        <v>728</v>
      </c>
      <c r="B65" s="138"/>
      <c r="C65" s="138" t="s">
        <v>836</v>
      </c>
      <c r="D65" s="138" t="s">
        <v>191</v>
      </c>
      <c r="E65" s="138" t="s">
        <v>729</v>
      </c>
      <c r="F65" s="139"/>
      <c r="G65" s="30">
        <f>SUM(G66)</f>
        <v>0</v>
      </c>
      <c r="H65" s="30">
        <f>SUM(H66)</f>
        <v>0</v>
      </c>
      <c r="I65" s="20" t="e">
        <f t="shared" si="4"/>
        <v>#DIV/0!</v>
      </c>
    </row>
    <row r="66" spans="1:19" ht="15" hidden="1" customHeight="1">
      <c r="A66" s="95" t="s">
        <v>164</v>
      </c>
      <c r="B66" s="138"/>
      <c r="C66" s="138" t="s">
        <v>836</v>
      </c>
      <c r="D66" s="138" t="s">
        <v>191</v>
      </c>
      <c r="E66" s="138" t="s">
        <v>729</v>
      </c>
      <c r="F66" s="139" t="s">
        <v>165</v>
      </c>
      <c r="G66" s="30"/>
      <c r="H66" s="30"/>
      <c r="I66" s="20" t="e">
        <f t="shared" si="4"/>
        <v>#DIV/0!</v>
      </c>
    </row>
    <row r="67" spans="1:19" ht="15" hidden="1" customHeight="1">
      <c r="A67" s="95" t="s">
        <v>200</v>
      </c>
      <c r="B67" s="138"/>
      <c r="C67" s="138" t="s">
        <v>836</v>
      </c>
      <c r="D67" s="138" t="s">
        <v>191</v>
      </c>
      <c r="E67" s="138" t="s">
        <v>201</v>
      </c>
      <c r="F67" s="140"/>
      <c r="G67" s="30">
        <f>SUM(G68)</f>
        <v>0</v>
      </c>
      <c r="H67" s="30">
        <f>SUM(H68)</f>
        <v>0</v>
      </c>
      <c r="I67" s="20" t="e">
        <f t="shared" si="4"/>
        <v>#DIV/0!</v>
      </c>
    </row>
    <row r="68" spans="1:19" ht="15" hidden="1" customHeight="1">
      <c r="A68" s="95" t="s">
        <v>164</v>
      </c>
      <c r="B68" s="138"/>
      <c r="C68" s="138" t="s">
        <v>836</v>
      </c>
      <c r="D68" s="138" t="s">
        <v>191</v>
      </c>
      <c r="E68" s="138" t="s">
        <v>201</v>
      </c>
      <c r="F68" s="139" t="s">
        <v>165</v>
      </c>
      <c r="G68" s="30">
        <f>SUM(G69:G70)</f>
        <v>0</v>
      </c>
      <c r="H68" s="30">
        <f>SUM(H69:H70)</f>
        <v>0</v>
      </c>
      <c r="I68" s="20" t="e">
        <f t="shared" si="4"/>
        <v>#DIV/0!</v>
      </c>
    </row>
    <row r="69" spans="1:19" ht="15" hidden="1" customHeight="1">
      <c r="A69" s="95" t="s">
        <v>124</v>
      </c>
      <c r="B69" s="138"/>
      <c r="C69" s="138" t="s">
        <v>836</v>
      </c>
      <c r="D69" s="138" t="s">
        <v>191</v>
      </c>
      <c r="E69" s="138" t="s">
        <v>202</v>
      </c>
      <c r="F69" s="139" t="s">
        <v>165</v>
      </c>
      <c r="G69" s="30"/>
      <c r="H69" s="30"/>
      <c r="I69" s="20" t="e">
        <f t="shared" si="4"/>
        <v>#DIV/0!</v>
      </c>
      <c r="J69" s="225">
        <f>SUM(ведомствен.2013!G257)</f>
        <v>0</v>
      </c>
    </row>
    <row r="70" spans="1:19" ht="15" hidden="1" customHeight="1">
      <c r="A70" s="95"/>
      <c r="B70" s="138"/>
      <c r="C70" s="138"/>
      <c r="D70" s="138"/>
      <c r="E70" s="138"/>
      <c r="F70" s="139"/>
      <c r="G70" s="30"/>
      <c r="H70" s="30"/>
      <c r="I70" s="20" t="e">
        <f t="shared" si="4"/>
        <v>#DIV/0!</v>
      </c>
    </row>
    <row r="71" spans="1:19" ht="15" hidden="1" customHeight="1">
      <c r="A71" s="95"/>
      <c r="B71" s="138"/>
      <c r="C71" s="138"/>
      <c r="D71" s="138"/>
      <c r="E71" s="138"/>
      <c r="F71" s="139"/>
      <c r="G71" s="30"/>
      <c r="H71" s="30"/>
      <c r="I71" s="20" t="e">
        <f t="shared" si="4"/>
        <v>#DIV/0!</v>
      </c>
    </row>
    <row r="72" spans="1:19" ht="15" hidden="1" customHeight="1">
      <c r="A72" s="95" t="s">
        <v>203</v>
      </c>
      <c r="B72" s="138"/>
      <c r="C72" s="138" t="s">
        <v>836</v>
      </c>
      <c r="D72" s="138" t="s">
        <v>204</v>
      </c>
      <c r="E72" s="138"/>
      <c r="F72" s="140"/>
      <c r="G72" s="30">
        <f>SUM(G73)</f>
        <v>0</v>
      </c>
      <c r="H72" s="30">
        <f>SUM(H73)</f>
        <v>0</v>
      </c>
      <c r="I72" s="20" t="e">
        <f t="shared" si="4"/>
        <v>#DIV/0!</v>
      </c>
    </row>
    <row r="73" spans="1:19" ht="42.75" hidden="1" customHeight="1">
      <c r="A73" s="119" t="s">
        <v>510</v>
      </c>
      <c r="B73" s="138"/>
      <c r="C73" s="138" t="s">
        <v>836</v>
      </c>
      <c r="D73" s="138" t="s">
        <v>204</v>
      </c>
      <c r="E73" s="138" t="s">
        <v>730</v>
      </c>
      <c r="F73" s="140"/>
      <c r="G73" s="30">
        <f>SUM(G74)</f>
        <v>0</v>
      </c>
      <c r="H73" s="30">
        <f>SUM(H74)</f>
        <v>0</v>
      </c>
      <c r="I73" s="20" t="e">
        <f t="shared" si="4"/>
        <v>#DIV/0!</v>
      </c>
    </row>
    <row r="74" spans="1:19" ht="15" hidden="1" customHeight="1">
      <c r="A74" s="95" t="s">
        <v>164</v>
      </c>
      <c r="B74" s="138"/>
      <c r="C74" s="138" t="s">
        <v>836</v>
      </c>
      <c r="D74" s="138" t="s">
        <v>204</v>
      </c>
      <c r="E74" s="138" t="s">
        <v>730</v>
      </c>
      <c r="F74" s="139" t="s">
        <v>165</v>
      </c>
      <c r="G74" s="30"/>
      <c r="H74" s="30"/>
      <c r="I74" s="20" t="e">
        <f t="shared" si="4"/>
        <v>#DIV/0!</v>
      </c>
      <c r="J74" s="225">
        <f>SUM(ведомствен.2013!G260)</f>
        <v>0</v>
      </c>
    </row>
    <row r="75" spans="1:19" s="22" customFormat="1" ht="28.5">
      <c r="A75" s="95" t="s">
        <v>731</v>
      </c>
      <c r="B75" s="138"/>
      <c r="C75" s="138" t="s">
        <v>836</v>
      </c>
      <c r="D75" s="138" t="s">
        <v>732</v>
      </c>
      <c r="E75" s="138"/>
      <c r="F75" s="139"/>
      <c r="G75" s="30">
        <f>SUM(G76)</f>
        <v>23947.1</v>
      </c>
      <c r="H75" s="30">
        <f>SUM(H76)</f>
        <v>23909</v>
      </c>
      <c r="I75" s="20">
        <f t="shared" si="4"/>
        <v>99.840899315574745</v>
      </c>
      <c r="J75" s="227"/>
    </row>
    <row r="76" spans="1:19" s="22" customFormat="1" ht="46.5" customHeight="1">
      <c r="A76" s="95" t="s">
        <v>160</v>
      </c>
      <c r="B76" s="138"/>
      <c r="C76" s="138" t="s">
        <v>836</v>
      </c>
      <c r="D76" s="138" t="s">
        <v>732</v>
      </c>
      <c r="E76" s="138" t="s">
        <v>161</v>
      </c>
      <c r="F76" s="139"/>
      <c r="G76" s="30">
        <f>SUM(G77+G81)</f>
        <v>23947.1</v>
      </c>
      <c r="H76" s="30">
        <f>SUM(H77+H81)</f>
        <v>23909</v>
      </c>
      <c r="I76" s="20">
        <f t="shared" si="4"/>
        <v>99.840899315574745</v>
      </c>
      <c r="J76" s="227"/>
    </row>
    <row r="77" spans="1:19" s="22" customFormat="1" ht="15" customHeight="1">
      <c r="A77" s="95" t="s">
        <v>168</v>
      </c>
      <c r="B77" s="138"/>
      <c r="C77" s="138" t="s">
        <v>836</v>
      </c>
      <c r="D77" s="138" t="s">
        <v>732</v>
      </c>
      <c r="E77" s="138" t="s">
        <v>170</v>
      </c>
      <c r="F77" s="139"/>
      <c r="G77" s="30">
        <f>SUM(G78+G79)</f>
        <v>22493.1</v>
      </c>
      <c r="H77" s="30">
        <f>SUM(H78+H79)</f>
        <v>22455</v>
      </c>
      <c r="I77" s="20">
        <f t="shared" si="4"/>
        <v>99.830614721848036</v>
      </c>
      <c r="J77" s="227"/>
    </row>
    <row r="78" spans="1:19" s="22" customFormat="1" ht="14.25" customHeight="1">
      <c r="A78" s="95" t="s">
        <v>164</v>
      </c>
      <c r="B78" s="138"/>
      <c r="C78" s="138" t="s">
        <v>169</v>
      </c>
      <c r="D78" s="138" t="s">
        <v>732</v>
      </c>
      <c r="E78" s="138" t="s">
        <v>170</v>
      </c>
      <c r="F78" s="141" t="s">
        <v>165</v>
      </c>
      <c r="G78" s="30">
        <v>5996.4</v>
      </c>
      <c r="H78" s="30">
        <v>5958.3</v>
      </c>
      <c r="I78" s="20">
        <f t="shared" si="4"/>
        <v>99.364618771262769</v>
      </c>
      <c r="J78" s="227">
        <f>SUM(ведомствен.2013!G46+ведомствен.2013!G711)+ведомствен.2013!G756</f>
        <v>5996.4</v>
      </c>
      <c r="S78" s="22">
        <v>5958.2</v>
      </c>
    </row>
    <row r="79" spans="1:19" ht="28.5">
      <c r="A79" s="95" t="s">
        <v>733</v>
      </c>
      <c r="B79" s="138"/>
      <c r="C79" s="138" t="s">
        <v>169</v>
      </c>
      <c r="D79" s="138" t="s">
        <v>732</v>
      </c>
      <c r="E79" s="138" t="s">
        <v>734</v>
      </c>
      <c r="F79" s="139"/>
      <c r="G79" s="30">
        <f>SUM(G80)</f>
        <v>16496.7</v>
      </c>
      <c r="H79" s="30">
        <f>SUM(H80)</f>
        <v>16496.7</v>
      </c>
      <c r="I79" s="20">
        <f t="shared" si="4"/>
        <v>100</v>
      </c>
    </row>
    <row r="80" spans="1:19" s="25" customFormat="1" ht="15">
      <c r="A80" s="95" t="s">
        <v>164</v>
      </c>
      <c r="B80" s="138"/>
      <c r="C80" s="138" t="s">
        <v>169</v>
      </c>
      <c r="D80" s="138" t="s">
        <v>732</v>
      </c>
      <c r="E80" s="138" t="s">
        <v>734</v>
      </c>
      <c r="F80" s="141" t="s">
        <v>165</v>
      </c>
      <c r="G80" s="30">
        <v>16496.7</v>
      </c>
      <c r="H80" s="30">
        <v>16496.7</v>
      </c>
      <c r="I80" s="20">
        <f t="shared" si="4"/>
        <v>100</v>
      </c>
      <c r="J80" s="227">
        <f>SUM(ведомствен.2013!G713)</f>
        <v>16496.7</v>
      </c>
      <c r="S80" s="25">
        <v>16496.7</v>
      </c>
    </row>
    <row r="81" spans="1:19" ht="28.5">
      <c r="A81" s="95" t="s">
        <v>735</v>
      </c>
      <c r="B81" s="138"/>
      <c r="C81" s="138" t="s">
        <v>169</v>
      </c>
      <c r="D81" s="138" t="s">
        <v>732</v>
      </c>
      <c r="E81" s="138" t="s">
        <v>736</v>
      </c>
      <c r="F81" s="141"/>
      <c r="G81" s="30">
        <f>SUM(G82)</f>
        <v>1454</v>
      </c>
      <c r="H81" s="30">
        <f>SUM(H82)</f>
        <v>1454</v>
      </c>
      <c r="I81" s="20">
        <f t="shared" si="4"/>
        <v>100</v>
      </c>
    </row>
    <row r="82" spans="1:19" ht="14.25" customHeight="1">
      <c r="A82" s="95" t="s">
        <v>164</v>
      </c>
      <c r="B82" s="138"/>
      <c r="C82" s="138" t="s">
        <v>169</v>
      </c>
      <c r="D82" s="138" t="s">
        <v>732</v>
      </c>
      <c r="E82" s="138" t="s">
        <v>736</v>
      </c>
      <c r="F82" s="139" t="s">
        <v>165</v>
      </c>
      <c r="G82" s="30">
        <v>1454</v>
      </c>
      <c r="H82" s="30">
        <v>1454</v>
      </c>
      <c r="I82" s="20">
        <f t="shared" si="4"/>
        <v>100</v>
      </c>
      <c r="J82" s="225">
        <f>SUM(ведомствен.2013!G48)</f>
        <v>1454</v>
      </c>
      <c r="S82">
        <v>1454</v>
      </c>
    </row>
    <row r="83" spans="1:19" ht="14.25" customHeight="1">
      <c r="A83" s="94" t="s">
        <v>737</v>
      </c>
      <c r="B83" s="142"/>
      <c r="C83" s="142" t="s">
        <v>836</v>
      </c>
      <c r="D83" s="142" t="s">
        <v>180</v>
      </c>
      <c r="E83" s="142"/>
      <c r="F83" s="140"/>
      <c r="G83" s="30">
        <f>SUM(G84)</f>
        <v>340</v>
      </c>
      <c r="H83" s="30">
        <f>SUM(H84)</f>
        <v>340</v>
      </c>
      <c r="I83" s="20">
        <f t="shared" si="4"/>
        <v>100</v>
      </c>
    </row>
    <row r="84" spans="1:19" ht="14.25" customHeight="1">
      <c r="A84" s="94" t="s">
        <v>737</v>
      </c>
      <c r="B84" s="142"/>
      <c r="C84" s="142" t="s">
        <v>836</v>
      </c>
      <c r="D84" s="142" t="s">
        <v>180</v>
      </c>
      <c r="E84" s="142" t="s">
        <v>738</v>
      </c>
      <c r="F84" s="140"/>
      <c r="G84" s="30">
        <f>SUM(G85+G87)</f>
        <v>340</v>
      </c>
      <c r="H84" s="30">
        <f>SUM(H85+H87)</f>
        <v>340</v>
      </c>
      <c r="I84" s="20">
        <f t="shared" si="4"/>
        <v>100</v>
      </c>
    </row>
    <row r="85" spans="1:19" ht="28.5" hidden="1" customHeight="1">
      <c r="A85" s="95" t="s">
        <v>739</v>
      </c>
      <c r="B85" s="142"/>
      <c r="C85" s="142" t="s">
        <v>836</v>
      </c>
      <c r="D85" s="142" t="s">
        <v>180</v>
      </c>
      <c r="E85" s="142" t="s">
        <v>740</v>
      </c>
      <c r="F85" s="140"/>
      <c r="G85" s="30">
        <f>SUM(G86:G86)</f>
        <v>0</v>
      </c>
      <c r="H85" s="30">
        <f>SUM(H86:H86)</f>
        <v>0</v>
      </c>
      <c r="I85" s="20" t="e">
        <f t="shared" si="4"/>
        <v>#DIV/0!</v>
      </c>
    </row>
    <row r="86" spans="1:19" ht="15" hidden="1" customHeight="1">
      <c r="A86" s="95" t="s">
        <v>164</v>
      </c>
      <c r="B86" s="142"/>
      <c r="C86" s="142" t="s">
        <v>836</v>
      </c>
      <c r="D86" s="142" t="s">
        <v>180</v>
      </c>
      <c r="E86" s="142" t="s">
        <v>740</v>
      </c>
      <c r="F86" s="140" t="s">
        <v>165</v>
      </c>
      <c r="G86" s="30"/>
      <c r="H86" s="30"/>
      <c r="I86" s="20" t="e">
        <f t="shared" si="4"/>
        <v>#DIV/0!</v>
      </c>
      <c r="J86" s="225">
        <f>SUM(ведомствен.2013!G268)</f>
        <v>0</v>
      </c>
    </row>
    <row r="87" spans="1:19" ht="15">
      <c r="A87" s="95" t="s">
        <v>728</v>
      </c>
      <c r="B87" s="138"/>
      <c r="C87" s="138" t="s">
        <v>836</v>
      </c>
      <c r="D87" s="142" t="s">
        <v>180</v>
      </c>
      <c r="E87" s="138" t="s">
        <v>729</v>
      </c>
      <c r="F87" s="139"/>
      <c r="G87" s="81">
        <f>SUM(G88)</f>
        <v>340</v>
      </c>
      <c r="H87" s="81">
        <f>SUM(H88)</f>
        <v>340</v>
      </c>
      <c r="I87" s="20">
        <f t="shared" si="4"/>
        <v>100</v>
      </c>
    </row>
    <row r="88" spans="1:19" ht="15">
      <c r="A88" s="95" t="s">
        <v>164</v>
      </c>
      <c r="B88" s="142"/>
      <c r="C88" s="142" t="s">
        <v>836</v>
      </c>
      <c r="D88" s="142" t="s">
        <v>180</v>
      </c>
      <c r="E88" s="138" t="s">
        <v>729</v>
      </c>
      <c r="F88" s="140" t="s">
        <v>165</v>
      </c>
      <c r="G88" s="81">
        <v>340</v>
      </c>
      <c r="H88" s="81">
        <v>340</v>
      </c>
      <c r="I88" s="20">
        <f t="shared" si="4"/>
        <v>100</v>
      </c>
      <c r="J88" s="225">
        <f>SUM(ведомствен.2013!G270)</f>
        <v>340</v>
      </c>
      <c r="S88">
        <v>340</v>
      </c>
    </row>
    <row r="89" spans="1:19" ht="15" hidden="1">
      <c r="A89" s="95" t="s">
        <v>741</v>
      </c>
      <c r="B89" s="138"/>
      <c r="C89" s="138" t="s">
        <v>836</v>
      </c>
      <c r="D89" s="138" t="s">
        <v>766</v>
      </c>
      <c r="E89" s="138"/>
      <c r="F89" s="141"/>
      <c r="G89" s="30">
        <f>SUM(G90)</f>
        <v>0</v>
      </c>
      <c r="H89" s="30">
        <f>SUM(H90)</f>
        <v>0</v>
      </c>
      <c r="I89" s="20" t="e">
        <f t="shared" si="4"/>
        <v>#DIV/0!</v>
      </c>
    </row>
    <row r="90" spans="1:19" ht="15" hidden="1">
      <c r="A90" s="95" t="s">
        <v>742</v>
      </c>
      <c r="B90" s="138"/>
      <c r="C90" s="138" t="s">
        <v>836</v>
      </c>
      <c r="D90" s="138" t="s">
        <v>766</v>
      </c>
      <c r="E90" s="138" t="s">
        <v>743</v>
      </c>
      <c r="F90" s="141"/>
      <c r="G90" s="30">
        <f>SUM(G92)</f>
        <v>0</v>
      </c>
      <c r="H90" s="30">
        <f>SUM(H92)</f>
        <v>0</v>
      </c>
      <c r="I90" s="20" t="e">
        <f t="shared" si="4"/>
        <v>#DIV/0!</v>
      </c>
    </row>
    <row r="91" spans="1:19" ht="15" hidden="1">
      <c r="A91" s="95" t="s">
        <v>744</v>
      </c>
      <c r="B91" s="138"/>
      <c r="C91" s="138" t="s">
        <v>836</v>
      </c>
      <c r="D91" s="138" t="s">
        <v>766</v>
      </c>
      <c r="E91" s="138" t="s">
        <v>745</v>
      </c>
      <c r="F91" s="141"/>
      <c r="G91" s="30">
        <f>SUM(G92)</f>
        <v>0</v>
      </c>
      <c r="H91" s="30">
        <f>SUM(H92)</f>
        <v>0</v>
      </c>
      <c r="I91" s="20" t="e">
        <f t="shared" si="4"/>
        <v>#DIV/0!</v>
      </c>
    </row>
    <row r="92" spans="1:19" ht="15" hidden="1">
      <c r="A92" s="95" t="s">
        <v>746</v>
      </c>
      <c r="B92" s="138"/>
      <c r="C92" s="138" t="s">
        <v>836</v>
      </c>
      <c r="D92" s="138" t="s">
        <v>766</v>
      </c>
      <c r="E92" s="138" t="s">
        <v>745</v>
      </c>
      <c r="F92" s="141" t="s">
        <v>747</v>
      </c>
      <c r="G92" s="30"/>
      <c r="H92" s="30"/>
      <c r="I92" s="20" t="e">
        <f t="shared" si="4"/>
        <v>#DIV/0!</v>
      </c>
    </row>
    <row r="93" spans="1:19" s="22" customFormat="1" ht="15">
      <c r="A93" s="95" t="s">
        <v>748</v>
      </c>
      <c r="B93" s="138"/>
      <c r="C93" s="138" t="s">
        <v>836</v>
      </c>
      <c r="D93" s="138" t="s">
        <v>766</v>
      </c>
      <c r="E93" s="138"/>
      <c r="F93" s="139"/>
      <c r="G93" s="30">
        <f>SUM(G94)</f>
        <v>310</v>
      </c>
      <c r="H93" s="30">
        <f>SUM(H94)</f>
        <v>0</v>
      </c>
      <c r="I93" s="20">
        <f t="shared" si="4"/>
        <v>0</v>
      </c>
      <c r="J93" s="227"/>
    </row>
    <row r="94" spans="1:19" s="22" customFormat="1" ht="15">
      <c r="A94" s="95" t="s">
        <v>748</v>
      </c>
      <c r="B94" s="138"/>
      <c r="C94" s="138" t="s">
        <v>836</v>
      </c>
      <c r="D94" s="138" t="s">
        <v>766</v>
      </c>
      <c r="E94" s="138" t="s">
        <v>750</v>
      </c>
      <c r="F94" s="139"/>
      <c r="G94" s="30">
        <f>SUM(G96)</f>
        <v>310</v>
      </c>
      <c r="H94" s="30">
        <f>SUM(H96)</f>
        <v>0</v>
      </c>
      <c r="I94" s="20">
        <f t="shared" si="4"/>
        <v>0</v>
      </c>
      <c r="J94" s="227"/>
    </row>
    <row r="95" spans="1:19" s="22" customFormat="1" ht="15">
      <c r="A95" s="95" t="s">
        <v>728</v>
      </c>
      <c r="B95" s="138"/>
      <c r="C95" s="138" t="s">
        <v>836</v>
      </c>
      <c r="D95" s="138" t="s">
        <v>766</v>
      </c>
      <c r="E95" s="138" t="s">
        <v>729</v>
      </c>
      <c r="F95" s="139"/>
      <c r="G95" s="30">
        <f>SUM(G96)</f>
        <v>310</v>
      </c>
      <c r="H95" s="30">
        <f>SUM(H96)</f>
        <v>0</v>
      </c>
      <c r="I95" s="20">
        <f t="shared" si="4"/>
        <v>0</v>
      </c>
      <c r="J95" s="227"/>
    </row>
    <row r="96" spans="1:19" s="22" customFormat="1" ht="15.75" customHeight="1">
      <c r="A96" s="94" t="s">
        <v>751</v>
      </c>
      <c r="B96" s="142"/>
      <c r="C96" s="138" t="s">
        <v>836</v>
      </c>
      <c r="D96" s="138" t="s">
        <v>766</v>
      </c>
      <c r="E96" s="138" t="s">
        <v>729</v>
      </c>
      <c r="F96" s="140" t="s">
        <v>747</v>
      </c>
      <c r="G96" s="30">
        <v>310</v>
      </c>
      <c r="H96" s="30"/>
      <c r="I96" s="20">
        <f t="shared" si="4"/>
        <v>0</v>
      </c>
      <c r="J96" s="225">
        <f>SUM(ведомствен.2013!G720)</f>
        <v>310</v>
      </c>
    </row>
    <row r="97" spans="1:9" ht="14.25" customHeight="1">
      <c r="A97" s="95" t="s">
        <v>173</v>
      </c>
      <c r="B97" s="138"/>
      <c r="C97" s="138" t="s">
        <v>836</v>
      </c>
      <c r="D97" s="138" t="s">
        <v>469</v>
      </c>
      <c r="E97" s="138"/>
      <c r="F97" s="140"/>
      <c r="G97" s="30">
        <f>SUM(G98+G111+G118+G121+G124+G140+G103+G108)+G114+G116</f>
        <v>66181.8</v>
      </c>
      <c r="H97" s="30">
        <f>SUM(H98+H111+H118+H121+H124+H140+H103+H108)+H114+H116</f>
        <v>63525.200000000004</v>
      </c>
      <c r="I97" s="20">
        <f t="shared" si="4"/>
        <v>95.985905490633385</v>
      </c>
    </row>
    <row r="98" spans="1:9" ht="15" hidden="1" customHeight="1">
      <c r="A98" s="95" t="s">
        <v>753</v>
      </c>
      <c r="B98" s="138"/>
      <c r="C98" s="138" t="s">
        <v>836</v>
      </c>
      <c r="D98" s="138" t="s">
        <v>469</v>
      </c>
      <c r="E98" s="138" t="s">
        <v>754</v>
      </c>
      <c r="F98" s="139"/>
      <c r="G98" s="30">
        <f>SUM(G99+G101)</f>
        <v>0</v>
      </c>
      <c r="H98" s="30">
        <f>SUM(H99+H101)</f>
        <v>0</v>
      </c>
      <c r="I98" s="20" t="e">
        <f t="shared" si="4"/>
        <v>#DIV/0!</v>
      </c>
    </row>
    <row r="99" spans="1:9" ht="15" hidden="1" customHeight="1">
      <c r="A99" s="95" t="s">
        <v>491</v>
      </c>
      <c r="B99" s="138"/>
      <c r="C99" s="138" t="s">
        <v>836</v>
      </c>
      <c r="D99" s="138" t="s">
        <v>469</v>
      </c>
      <c r="E99" s="138" t="s">
        <v>492</v>
      </c>
      <c r="F99" s="139"/>
      <c r="G99" s="30">
        <f>SUM(G100)</f>
        <v>0</v>
      </c>
      <c r="H99" s="30">
        <f>SUM(H100)</f>
        <v>0</v>
      </c>
      <c r="I99" s="20" t="e">
        <f t="shared" si="4"/>
        <v>#DIV/0!</v>
      </c>
    </row>
    <row r="100" spans="1:9" ht="15" hidden="1" customHeight="1">
      <c r="A100" s="95" t="s">
        <v>164</v>
      </c>
      <c r="B100" s="138"/>
      <c r="C100" s="138" t="s">
        <v>836</v>
      </c>
      <c r="D100" s="138" t="s">
        <v>469</v>
      </c>
      <c r="E100" s="138" t="s">
        <v>492</v>
      </c>
      <c r="F100" s="139" t="s">
        <v>165</v>
      </c>
      <c r="G100" s="30"/>
      <c r="H100" s="30"/>
      <c r="I100" s="20" t="e">
        <f t="shared" si="4"/>
        <v>#DIV/0!</v>
      </c>
    </row>
    <row r="101" spans="1:9" ht="28.5" hidden="1" customHeight="1">
      <c r="A101" s="95" t="s">
        <v>493</v>
      </c>
      <c r="B101" s="138"/>
      <c r="C101" s="138" t="s">
        <v>836</v>
      </c>
      <c r="D101" s="138" t="s">
        <v>469</v>
      </c>
      <c r="E101" s="138" t="s">
        <v>494</v>
      </c>
      <c r="F101" s="139"/>
      <c r="G101" s="30">
        <f>SUM(G102)</f>
        <v>0</v>
      </c>
      <c r="H101" s="30">
        <f>SUM(H102)</f>
        <v>0</v>
      </c>
      <c r="I101" s="20" t="e">
        <f t="shared" si="4"/>
        <v>#DIV/0!</v>
      </c>
    </row>
    <row r="102" spans="1:9" ht="15" hidden="1" customHeight="1">
      <c r="A102" s="95" t="s">
        <v>164</v>
      </c>
      <c r="B102" s="138"/>
      <c r="C102" s="138" t="s">
        <v>836</v>
      </c>
      <c r="D102" s="138" t="s">
        <v>469</v>
      </c>
      <c r="E102" s="138" t="s">
        <v>494</v>
      </c>
      <c r="F102" s="139" t="s">
        <v>165</v>
      </c>
      <c r="G102" s="30"/>
      <c r="H102" s="30"/>
      <c r="I102" s="20" t="e">
        <f t="shared" si="4"/>
        <v>#DIV/0!</v>
      </c>
    </row>
    <row r="103" spans="1:9" ht="42.75" hidden="1" customHeight="1">
      <c r="A103" s="95" t="s">
        <v>160</v>
      </c>
      <c r="B103" s="138"/>
      <c r="C103" s="138" t="s">
        <v>836</v>
      </c>
      <c r="D103" s="138" t="s">
        <v>469</v>
      </c>
      <c r="E103" s="138" t="s">
        <v>161</v>
      </c>
      <c r="F103" s="139"/>
      <c r="G103" s="30">
        <f>SUM(G106+G105)</f>
        <v>0</v>
      </c>
      <c r="H103" s="30">
        <f>SUM(H106+H105)</f>
        <v>0</v>
      </c>
      <c r="I103" s="20" t="e">
        <f t="shared" si="4"/>
        <v>#DIV/0!</v>
      </c>
    </row>
    <row r="104" spans="1:9" ht="15" hidden="1" customHeight="1">
      <c r="A104" s="95" t="s">
        <v>168</v>
      </c>
      <c r="B104" s="138"/>
      <c r="C104" s="138" t="s">
        <v>836</v>
      </c>
      <c r="D104" s="138" t="s">
        <v>469</v>
      </c>
      <c r="E104" s="138" t="s">
        <v>170</v>
      </c>
      <c r="F104" s="139"/>
      <c r="G104" s="30">
        <f>SUM(G105)</f>
        <v>0</v>
      </c>
      <c r="H104" s="30">
        <f>SUM(H105)</f>
        <v>0</v>
      </c>
      <c r="I104" s="20" t="e">
        <f t="shared" si="4"/>
        <v>#DIV/0!</v>
      </c>
    </row>
    <row r="105" spans="1:9" ht="15" hidden="1" customHeight="1">
      <c r="A105" s="95" t="s">
        <v>164</v>
      </c>
      <c r="B105" s="138"/>
      <c r="C105" s="138" t="s">
        <v>836</v>
      </c>
      <c r="D105" s="138" t="s">
        <v>469</v>
      </c>
      <c r="E105" s="138" t="s">
        <v>170</v>
      </c>
      <c r="F105" s="141" t="s">
        <v>165</v>
      </c>
      <c r="G105" s="30"/>
      <c r="H105" s="30"/>
      <c r="I105" s="20" t="e">
        <f t="shared" si="4"/>
        <v>#DIV/0!</v>
      </c>
    </row>
    <row r="106" spans="1:9" ht="15" hidden="1" customHeight="1">
      <c r="A106" s="95" t="s">
        <v>495</v>
      </c>
      <c r="B106" s="138"/>
      <c r="C106" s="138" t="s">
        <v>836</v>
      </c>
      <c r="D106" s="138" t="s">
        <v>469</v>
      </c>
      <c r="E106" s="138" t="s">
        <v>496</v>
      </c>
      <c r="F106" s="140"/>
      <c r="G106" s="30">
        <f>SUM(G107)</f>
        <v>0</v>
      </c>
      <c r="H106" s="30">
        <f>SUM(H107)</f>
        <v>0</v>
      </c>
      <c r="I106" s="20" t="e">
        <f t="shared" si="4"/>
        <v>#DIV/0!</v>
      </c>
    </row>
    <row r="107" spans="1:9" ht="15" hidden="1" customHeight="1">
      <c r="A107" s="97" t="s">
        <v>497</v>
      </c>
      <c r="B107" s="138"/>
      <c r="C107" s="138" t="s">
        <v>836</v>
      </c>
      <c r="D107" s="138" t="s">
        <v>469</v>
      </c>
      <c r="E107" s="138" t="s">
        <v>496</v>
      </c>
      <c r="F107" s="140" t="s">
        <v>498</v>
      </c>
      <c r="G107" s="30"/>
      <c r="H107" s="30"/>
      <c r="I107" s="20" t="e">
        <f t="shared" si="4"/>
        <v>#DIV/0!</v>
      </c>
    </row>
    <row r="108" spans="1:9" ht="15" hidden="1" customHeight="1">
      <c r="A108" s="95" t="s">
        <v>748</v>
      </c>
      <c r="B108" s="138"/>
      <c r="C108" s="138" t="s">
        <v>836</v>
      </c>
      <c r="D108" s="138" t="s">
        <v>469</v>
      </c>
      <c r="E108" s="138" t="s">
        <v>750</v>
      </c>
      <c r="F108" s="139"/>
      <c r="G108" s="30">
        <f>SUM(G110)</f>
        <v>0</v>
      </c>
      <c r="H108" s="30">
        <f>SUM(H110)</f>
        <v>0</v>
      </c>
      <c r="I108" s="20" t="e">
        <f t="shared" si="4"/>
        <v>#DIV/0!</v>
      </c>
    </row>
    <row r="109" spans="1:9" ht="15" hidden="1" customHeight="1">
      <c r="A109" s="95" t="s">
        <v>728</v>
      </c>
      <c r="B109" s="138"/>
      <c r="C109" s="138" t="s">
        <v>836</v>
      </c>
      <c r="D109" s="138" t="s">
        <v>469</v>
      </c>
      <c r="E109" s="138" t="s">
        <v>729</v>
      </c>
      <c r="F109" s="139"/>
      <c r="G109" s="30">
        <f>SUM(G110)</f>
        <v>0</v>
      </c>
      <c r="H109" s="30">
        <f>SUM(H110)</f>
        <v>0</v>
      </c>
      <c r="I109" s="20" t="e">
        <f t="shared" si="4"/>
        <v>#DIV/0!</v>
      </c>
    </row>
    <row r="110" spans="1:9" ht="15" hidden="1" customHeight="1">
      <c r="A110" s="95" t="s">
        <v>164</v>
      </c>
      <c r="B110" s="138"/>
      <c r="C110" s="138" t="s">
        <v>836</v>
      </c>
      <c r="D110" s="138" t="s">
        <v>469</v>
      </c>
      <c r="E110" s="138" t="s">
        <v>729</v>
      </c>
      <c r="F110" s="139" t="s">
        <v>165</v>
      </c>
      <c r="G110" s="30"/>
      <c r="H110" s="30"/>
      <c r="I110" s="20" t="e">
        <f t="shared" si="4"/>
        <v>#DIV/0!</v>
      </c>
    </row>
    <row r="111" spans="1:9" ht="28.5">
      <c r="A111" s="119" t="s">
        <v>499</v>
      </c>
      <c r="B111" s="138"/>
      <c r="C111" s="138" t="s">
        <v>836</v>
      </c>
      <c r="D111" s="138" t="s">
        <v>469</v>
      </c>
      <c r="E111" s="138" t="s">
        <v>187</v>
      </c>
      <c r="F111" s="139"/>
      <c r="G111" s="30">
        <f>SUM(G112)</f>
        <v>4802.3</v>
      </c>
      <c r="H111" s="30">
        <f>SUM(H112)</f>
        <v>4468.2</v>
      </c>
      <c r="I111" s="20">
        <f t="shared" si="4"/>
        <v>93.042916935635006</v>
      </c>
    </row>
    <row r="112" spans="1:9" ht="33.75" customHeight="1">
      <c r="A112" s="119" t="s">
        <v>188</v>
      </c>
      <c r="B112" s="138"/>
      <c r="C112" s="138" t="s">
        <v>836</v>
      </c>
      <c r="D112" s="138" t="s">
        <v>469</v>
      </c>
      <c r="E112" s="138" t="s">
        <v>500</v>
      </c>
      <c r="F112" s="139"/>
      <c r="G112" s="30">
        <f>SUM(G113)</f>
        <v>4802.3</v>
      </c>
      <c r="H112" s="30">
        <f>SUM(H113)</f>
        <v>4468.2</v>
      </c>
      <c r="I112" s="20">
        <f t="shared" si="4"/>
        <v>93.042916935635006</v>
      </c>
    </row>
    <row r="113" spans="1:10" ht="15">
      <c r="A113" s="95" t="s">
        <v>164</v>
      </c>
      <c r="B113" s="138"/>
      <c r="C113" s="138" t="s">
        <v>836</v>
      </c>
      <c r="D113" s="138" t="s">
        <v>469</v>
      </c>
      <c r="E113" s="138" t="s">
        <v>500</v>
      </c>
      <c r="F113" s="139" t="s">
        <v>165</v>
      </c>
      <c r="G113" s="30">
        <v>4802.3</v>
      </c>
      <c r="H113" s="30">
        <v>4468.2</v>
      </c>
      <c r="I113" s="20">
        <f t="shared" si="4"/>
        <v>93.042916935635006</v>
      </c>
      <c r="J113" s="225">
        <f>SUM(ведомствен.2013!G285)</f>
        <v>4802.3</v>
      </c>
    </row>
    <row r="114" spans="1:10" ht="15">
      <c r="A114" s="95" t="s">
        <v>902</v>
      </c>
      <c r="B114" s="138"/>
      <c r="C114" s="138" t="s">
        <v>836</v>
      </c>
      <c r="D114" s="138" t="s">
        <v>469</v>
      </c>
      <c r="E114" s="138" t="s">
        <v>903</v>
      </c>
      <c r="F114" s="139"/>
      <c r="G114" s="30">
        <f>SUM(G115)</f>
        <v>4912.6000000000004</v>
      </c>
      <c r="H114" s="30">
        <f>SUM(H115)</f>
        <v>4711.3</v>
      </c>
      <c r="I114" s="20">
        <f t="shared" si="4"/>
        <v>95.90237348858038</v>
      </c>
    </row>
    <row r="115" spans="1:10" ht="15">
      <c r="A115" s="95" t="s">
        <v>164</v>
      </c>
      <c r="B115" s="138"/>
      <c r="C115" s="138" t="s">
        <v>836</v>
      </c>
      <c r="D115" s="138" t="s">
        <v>469</v>
      </c>
      <c r="E115" s="138" t="s">
        <v>903</v>
      </c>
      <c r="F115" s="139" t="s">
        <v>165</v>
      </c>
      <c r="G115" s="30">
        <v>4912.6000000000004</v>
      </c>
      <c r="H115" s="30">
        <v>4711.3</v>
      </c>
      <c r="I115" s="20">
        <f t="shared" si="4"/>
        <v>95.90237348858038</v>
      </c>
      <c r="J115" s="225">
        <f>SUM(ведомствен.2013!G25+ведомствен.2013!G51+ведомствен.2013!G287+ведомствен.2013!G723)</f>
        <v>4912.6000000000004</v>
      </c>
    </row>
    <row r="116" spans="1:10" ht="28.5">
      <c r="A116" s="95" t="s">
        <v>904</v>
      </c>
      <c r="B116" s="138"/>
      <c r="C116" s="138" t="s">
        <v>836</v>
      </c>
      <c r="D116" s="138" t="s">
        <v>469</v>
      </c>
      <c r="E116" s="138" t="s">
        <v>905</v>
      </c>
      <c r="F116" s="139"/>
      <c r="G116" s="30">
        <f>SUM(G117)</f>
        <v>16979.2</v>
      </c>
      <c r="H116" s="30">
        <f>SUM(H117)</f>
        <v>16756.900000000001</v>
      </c>
      <c r="I116" s="20">
        <f t="shared" si="4"/>
        <v>98.690751036562389</v>
      </c>
    </row>
    <row r="117" spans="1:10" ht="15">
      <c r="A117" s="95" t="s">
        <v>164</v>
      </c>
      <c r="B117" s="138"/>
      <c r="C117" s="138" t="s">
        <v>836</v>
      </c>
      <c r="D117" s="138" t="s">
        <v>469</v>
      </c>
      <c r="E117" s="138" t="s">
        <v>905</v>
      </c>
      <c r="F117" s="139" t="s">
        <v>165</v>
      </c>
      <c r="G117" s="30">
        <v>16979.2</v>
      </c>
      <c r="H117" s="30">
        <v>16756.900000000001</v>
      </c>
      <c r="I117" s="20">
        <f t="shared" si="4"/>
        <v>98.690751036562389</v>
      </c>
      <c r="J117" s="225">
        <f>SUM(ведомствен.2013!G27+ведомствен.2013!G289+ведомствен.2013!G725)+ведомствен.2013!G53</f>
        <v>16979.2</v>
      </c>
    </row>
    <row r="118" spans="1:10" ht="28.5">
      <c r="A118" s="95" t="s">
        <v>175</v>
      </c>
      <c r="B118" s="138"/>
      <c r="C118" s="138" t="s">
        <v>836</v>
      </c>
      <c r="D118" s="138" t="s">
        <v>469</v>
      </c>
      <c r="E118" s="138" t="s">
        <v>176</v>
      </c>
      <c r="F118" s="141"/>
      <c r="G118" s="30">
        <f>SUM(G119)</f>
        <v>36716.300000000003</v>
      </c>
      <c r="H118" s="30">
        <f>SUM(H119)</f>
        <v>34817.4</v>
      </c>
      <c r="I118" s="20">
        <f t="shared" si="4"/>
        <v>94.828182578309907</v>
      </c>
    </row>
    <row r="119" spans="1:10" ht="15">
      <c r="A119" s="95" t="s">
        <v>177</v>
      </c>
      <c r="B119" s="138"/>
      <c r="C119" s="138" t="s">
        <v>836</v>
      </c>
      <c r="D119" s="138" t="s">
        <v>469</v>
      </c>
      <c r="E119" s="138" t="s">
        <v>501</v>
      </c>
      <c r="F119" s="141"/>
      <c r="G119" s="30">
        <f>SUM(G120)</f>
        <v>36716.300000000003</v>
      </c>
      <c r="H119" s="30">
        <f>SUM(H120)</f>
        <v>34817.4</v>
      </c>
      <c r="I119" s="20">
        <f t="shared" si="4"/>
        <v>94.828182578309907</v>
      </c>
    </row>
    <row r="120" spans="1:10" ht="15.75" customHeight="1">
      <c r="A120" s="95" t="s">
        <v>164</v>
      </c>
      <c r="B120" s="138"/>
      <c r="C120" s="138" t="s">
        <v>836</v>
      </c>
      <c r="D120" s="138" t="s">
        <v>469</v>
      </c>
      <c r="E120" s="138" t="s">
        <v>501</v>
      </c>
      <c r="F120" s="141" t="s">
        <v>165</v>
      </c>
      <c r="G120" s="30">
        <v>36716.300000000003</v>
      </c>
      <c r="H120" s="30">
        <v>34817.4</v>
      </c>
      <c r="I120" s="20">
        <f t="shared" si="4"/>
        <v>94.828182578309907</v>
      </c>
      <c r="J120" s="225">
        <f>SUM(ведомствен.2013!G292+ведомствен.2013!G30+ведомствен.2013!G1049)+ведомствен.2013!G728+ведомствен.2013!G56</f>
        <v>36716.300000000003</v>
      </c>
    </row>
    <row r="121" spans="1:10" ht="28.5" hidden="1" customHeight="1">
      <c r="A121" s="94" t="s">
        <v>502</v>
      </c>
      <c r="B121" s="138"/>
      <c r="C121" s="138" t="s">
        <v>836</v>
      </c>
      <c r="D121" s="138" t="s">
        <v>469</v>
      </c>
      <c r="E121" s="138" t="s">
        <v>783</v>
      </c>
      <c r="F121" s="139"/>
      <c r="G121" s="30">
        <f>SUM(G123)</f>
        <v>0</v>
      </c>
      <c r="H121" s="30">
        <f>SUM(H123)</f>
        <v>0</v>
      </c>
      <c r="I121" s="20" t="e">
        <f t="shared" si="4"/>
        <v>#DIV/0!</v>
      </c>
    </row>
    <row r="122" spans="1:10" ht="28.5" hidden="1" customHeight="1">
      <c r="A122" s="94" t="s">
        <v>205</v>
      </c>
      <c r="B122" s="138"/>
      <c r="C122" s="138" t="s">
        <v>836</v>
      </c>
      <c r="D122" s="138" t="s">
        <v>469</v>
      </c>
      <c r="E122" s="138" t="s">
        <v>206</v>
      </c>
      <c r="F122" s="139"/>
      <c r="G122" s="30">
        <f>SUM(G123)</f>
        <v>0</v>
      </c>
      <c r="H122" s="30">
        <f>SUM(H123)</f>
        <v>0</v>
      </c>
      <c r="I122" s="20" t="e">
        <f t="shared" si="4"/>
        <v>#DIV/0!</v>
      </c>
    </row>
    <row r="123" spans="1:10" ht="15" hidden="1" customHeight="1">
      <c r="A123" s="94" t="s">
        <v>207</v>
      </c>
      <c r="B123" s="138"/>
      <c r="C123" s="138" t="s">
        <v>836</v>
      </c>
      <c r="D123" s="138" t="s">
        <v>469</v>
      </c>
      <c r="E123" s="138" t="s">
        <v>206</v>
      </c>
      <c r="F123" s="139" t="s">
        <v>208</v>
      </c>
      <c r="G123" s="30"/>
      <c r="H123" s="30"/>
      <c r="I123" s="20" t="e">
        <f t="shared" ref="I123:I186" si="5">SUM(H123/G123*100)</f>
        <v>#DIV/0!</v>
      </c>
    </row>
    <row r="124" spans="1:10" ht="30.75" customHeight="1">
      <c r="A124" s="94" t="s">
        <v>195</v>
      </c>
      <c r="B124" s="138"/>
      <c r="C124" s="138" t="s">
        <v>836</v>
      </c>
      <c r="D124" s="138" t="s">
        <v>469</v>
      </c>
      <c r="E124" s="142" t="s">
        <v>209</v>
      </c>
      <c r="F124" s="140"/>
      <c r="G124" s="30">
        <f>SUM(G127)+G125</f>
        <v>2771.4</v>
      </c>
      <c r="H124" s="30">
        <f>SUM(H127)+H125</f>
        <v>2771.4</v>
      </c>
      <c r="I124" s="20">
        <f t="shared" si="5"/>
        <v>100</v>
      </c>
    </row>
    <row r="125" spans="1:10" ht="28.5" hidden="1" customHeight="1">
      <c r="A125" s="95" t="s">
        <v>48</v>
      </c>
      <c r="B125" s="138"/>
      <c r="C125" s="138" t="s">
        <v>836</v>
      </c>
      <c r="D125" s="138" t="s">
        <v>469</v>
      </c>
      <c r="E125" s="142" t="s">
        <v>210</v>
      </c>
      <c r="F125" s="140"/>
      <c r="G125" s="30">
        <f>SUM(G126)</f>
        <v>0</v>
      </c>
      <c r="H125" s="30">
        <f>SUM(H126)</f>
        <v>0</v>
      </c>
      <c r="I125" s="20" t="e">
        <f t="shared" si="5"/>
        <v>#DIV/0!</v>
      </c>
    </row>
    <row r="126" spans="1:10" ht="15" hidden="1" customHeight="1">
      <c r="A126" s="94" t="s">
        <v>49</v>
      </c>
      <c r="B126" s="138"/>
      <c r="C126" s="138" t="s">
        <v>836</v>
      </c>
      <c r="D126" s="138" t="s">
        <v>469</v>
      </c>
      <c r="E126" s="142" t="s">
        <v>210</v>
      </c>
      <c r="F126" s="140" t="s">
        <v>498</v>
      </c>
      <c r="G126" s="30"/>
      <c r="H126" s="30"/>
      <c r="I126" s="20" t="e">
        <f t="shared" si="5"/>
        <v>#DIV/0!</v>
      </c>
      <c r="J126" s="225">
        <f>SUM(ведомствен.2013!G760)</f>
        <v>0</v>
      </c>
    </row>
    <row r="127" spans="1:10" ht="30.75" customHeight="1">
      <c r="A127" s="95" t="s">
        <v>953</v>
      </c>
      <c r="B127" s="138"/>
      <c r="C127" s="138" t="s">
        <v>836</v>
      </c>
      <c r="D127" s="138" t="s">
        <v>469</v>
      </c>
      <c r="E127" s="142" t="s">
        <v>373</v>
      </c>
      <c r="F127" s="140"/>
      <c r="G127" s="30">
        <f>SUM(G131)+G129+G132</f>
        <v>2771.4</v>
      </c>
      <c r="H127" s="30">
        <f>SUM(H131)+H129+H132</f>
        <v>2771.4</v>
      </c>
      <c r="I127" s="20">
        <f t="shared" si="5"/>
        <v>100</v>
      </c>
    </row>
    <row r="128" spans="1:10" ht="57" hidden="1" customHeight="1">
      <c r="A128" s="95" t="s">
        <v>198</v>
      </c>
      <c r="B128" s="138"/>
      <c r="C128" s="138" t="s">
        <v>836</v>
      </c>
      <c r="D128" s="138" t="s">
        <v>469</v>
      </c>
      <c r="E128" s="138" t="s">
        <v>136</v>
      </c>
      <c r="F128" s="139"/>
      <c r="G128" s="30">
        <f>SUM(G129)</f>
        <v>0</v>
      </c>
      <c r="H128" s="30">
        <f>SUM(H129)</f>
        <v>0</v>
      </c>
      <c r="I128" s="20" t="e">
        <f t="shared" si="5"/>
        <v>#DIV/0!</v>
      </c>
    </row>
    <row r="129" spans="1:12" ht="42.75" hidden="1" customHeight="1">
      <c r="A129" s="95" t="s">
        <v>955</v>
      </c>
      <c r="B129" s="138"/>
      <c r="C129" s="138" t="s">
        <v>836</v>
      </c>
      <c r="D129" s="138" t="s">
        <v>469</v>
      </c>
      <c r="E129" s="142" t="s">
        <v>136</v>
      </c>
      <c r="F129" s="140" t="s">
        <v>440</v>
      </c>
      <c r="G129" s="30"/>
      <c r="H129" s="30"/>
      <c r="I129" s="20" t="e">
        <f t="shared" si="5"/>
        <v>#DIV/0!</v>
      </c>
      <c r="J129" s="225">
        <f>SUM(ведомствен.2013!G299)</f>
        <v>0</v>
      </c>
    </row>
    <row r="130" spans="1:12" ht="29.25" customHeight="1">
      <c r="A130" s="95" t="s">
        <v>374</v>
      </c>
      <c r="B130" s="138"/>
      <c r="C130" s="138" t="s">
        <v>836</v>
      </c>
      <c r="D130" s="138" t="s">
        <v>469</v>
      </c>
      <c r="E130" s="142" t="s">
        <v>375</v>
      </c>
      <c r="F130" s="140"/>
      <c r="G130" s="30">
        <f>SUM(G131)</f>
        <v>2690.8</v>
      </c>
      <c r="H130" s="30">
        <f>SUM(H131)</f>
        <v>2690.8</v>
      </c>
      <c r="I130" s="20">
        <f t="shared" si="5"/>
        <v>100</v>
      </c>
    </row>
    <row r="131" spans="1:12" ht="42" customHeight="1">
      <c r="A131" s="95" t="s">
        <v>954</v>
      </c>
      <c r="B131" s="138"/>
      <c r="C131" s="138" t="s">
        <v>836</v>
      </c>
      <c r="D131" s="138" t="s">
        <v>469</v>
      </c>
      <c r="E131" s="142" t="s">
        <v>375</v>
      </c>
      <c r="F131" s="140" t="s">
        <v>51</v>
      </c>
      <c r="G131" s="30">
        <v>2690.8</v>
      </c>
      <c r="H131" s="30">
        <v>2690.8</v>
      </c>
      <c r="I131" s="20">
        <f t="shared" si="5"/>
        <v>100</v>
      </c>
      <c r="J131" s="225">
        <f>SUM(ведомствен.2013!G301)</f>
        <v>2690.8</v>
      </c>
    </row>
    <row r="132" spans="1:12" ht="22.5" customHeight="1">
      <c r="A132" s="95" t="s">
        <v>276</v>
      </c>
      <c r="B132" s="138"/>
      <c r="C132" s="138" t="s">
        <v>836</v>
      </c>
      <c r="D132" s="138" t="s">
        <v>469</v>
      </c>
      <c r="E132" s="138" t="s">
        <v>760</v>
      </c>
      <c r="F132" s="139"/>
      <c r="G132" s="30">
        <f>SUM(G134+G136+G138)</f>
        <v>80.599999999999994</v>
      </c>
      <c r="H132" s="30">
        <f>SUM(H134+H136+H138)</f>
        <v>80.599999999999994</v>
      </c>
      <c r="I132" s="20">
        <f t="shared" si="5"/>
        <v>100</v>
      </c>
    </row>
    <row r="133" spans="1:12" ht="15" hidden="1" customHeight="1">
      <c r="A133" s="95" t="s">
        <v>276</v>
      </c>
      <c r="B133" s="138"/>
      <c r="C133" s="138" t="s">
        <v>836</v>
      </c>
      <c r="D133" s="138" t="s">
        <v>469</v>
      </c>
      <c r="E133" s="138" t="s">
        <v>760</v>
      </c>
      <c r="F133" s="139" t="s">
        <v>132</v>
      </c>
      <c r="G133" s="30"/>
      <c r="H133" s="30"/>
      <c r="I133" s="20" t="e">
        <f t="shared" si="5"/>
        <v>#DIV/0!</v>
      </c>
      <c r="J133" s="225">
        <f>SUM(ведомствен.2013!G303)</f>
        <v>0</v>
      </c>
    </row>
    <row r="134" spans="1:12" ht="38.25" customHeight="1">
      <c r="A134" s="95" t="s">
        <v>3</v>
      </c>
      <c r="B134" s="138"/>
      <c r="C134" s="138" t="s">
        <v>836</v>
      </c>
      <c r="D134" s="138" t="s">
        <v>469</v>
      </c>
      <c r="E134" s="138" t="s">
        <v>761</v>
      </c>
      <c r="F134" s="139"/>
      <c r="G134" s="30">
        <f>SUM(G135)</f>
        <v>47.2</v>
      </c>
      <c r="H134" s="30">
        <f>SUM(H135)</f>
        <v>47.2</v>
      </c>
      <c r="I134" s="20">
        <f t="shared" si="5"/>
        <v>100</v>
      </c>
    </row>
    <row r="135" spans="1:12" ht="24" customHeight="1">
      <c r="A135" s="95" t="s">
        <v>276</v>
      </c>
      <c r="B135" s="138"/>
      <c r="C135" s="138" t="s">
        <v>836</v>
      </c>
      <c r="D135" s="138" t="s">
        <v>469</v>
      </c>
      <c r="E135" s="138" t="s">
        <v>761</v>
      </c>
      <c r="F135" s="139" t="s">
        <v>132</v>
      </c>
      <c r="G135" s="30">
        <v>47.2</v>
      </c>
      <c r="H135" s="30">
        <v>47.2</v>
      </c>
      <c r="I135" s="20">
        <f t="shared" si="5"/>
        <v>100</v>
      </c>
      <c r="J135" s="225">
        <f>SUM(ведомствен.2013!G305)</f>
        <v>47.199999999999996</v>
      </c>
    </row>
    <row r="136" spans="1:12" ht="30.75" customHeight="1">
      <c r="A136" s="95" t="s">
        <v>759</v>
      </c>
      <c r="B136" s="138"/>
      <c r="C136" s="138" t="s">
        <v>836</v>
      </c>
      <c r="D136" s="138" t="s">
        <v>469</v>
      </c>
      <c r="E136" s="138" t="s">
        <v>758</v>
      </c>
      <c r="F136" s="139"/>
      <c r="G136" s="30">
        <f>SUM(G137)</f>
        <v>19.8</v>
      </c>
      <c r="H136" s="30">
        <f>SUM(H137)</f>
        <v>19.8</v>
      </c>
      <c r="I136" s="20">
        <f t="shared" si="5"/>
        <v>100</v>
      </c>
    </row>
    <row r="137" spans="1:12" ht="22.5" customHeight="1">
      <c r="A137" s="95" t="s">
        <v>276</v>
      </c>
      <c r="B137" s="138"/>
      <c r="C137" s="138" t="s">
        <v>836</v>
      </c>
      <c r="D137" s="138" t="s">
        <v>469</v>
      </c>
      <c r="E137" s="138" t="s">
        <v>758</v>
      </c>
      <c r="F137" s="139" t="s">
        <v>132</v>
      </c>
      <c r="G137" s="30">
        <v>19.8</v>
      </c>
      <c r="H137" s="30">
        <v>19.8</v>
      </c>
      <c r="I137" s="20">
        <f t="shared" si="5"/>
        <v>100</v>
      </c>
      <c r="J137" s="225">
        <f>SUM(ведомствен.2013!G307)</f>
        <v>19.799999999999997</v>
      </c>
    </row>
    <row r="138" spans="1:12" ht="29.25" customHeight="1">
      <c r="A138" s="95" t="s">
        <v>403</v>
      </c>
      <c r="B138" s="138"/>
      <c r="C138" s="138" t="s">
        <v>836</v>
      </c>
      <c r="D138" s="138" t="s">
        <v>469</v>
      </c>
      <c r="E138" s="138" t="s">
        <v>404</v>
      </c>
      <c r="F138" s="139"/>
      <c r="G138" s="30">
        <f>SUM(G139)</f>
        <v>13.6</v>
      </c>
      <c r="H138" s="30">
        <f>SUM(H139)</f>
        <v>13.6</v>
      </c>
      <c r="I138" s="20">
        <f t="shared" si="5"/>
        <v>100</v>
      </c>
    </row>
    <row r="139" spans="1:12" ht="22.5" customHeight="1">
      <c r="A139" s="95" t="s">
        <v>276</v>
      </c>
      <c r="B139" s="138"/>
      <c r="C139" s="138" t="s">
        <v>836</v>
      </c>
      <c r="D139" s="138" t="s">
        <v>469</v>
      </c>
      <c r="E139" s="138" t="s">
        <v>404</v>
      </c>
      <c r="F139" s="139" t="s">
        <v>132</v>
      </c>
      <c r="G139" s="30">
        <v>13.6</v>
      </c>
      <c r="H139" s="30">
        <v>13.6</v>
      </c>
      <c r="I139" s="20">
        <f t="shared" si="5"/>
        <v>100</v>
      </c>
      <c r="J139" s="225">
        <f>SUM(ведомствен.2013!G309)</f>
        <v>13.6</v>
      </c>
    </row>
    <row r="140" spans="1:12" ht="15" hidden="1" customHeight="1">
      <c r="A140" s="95" t="s">
        <v>200</v>
      </c>
      <c r="B140" s="138"/>
      <c r="C140" s="138" t="s">
        <v>836</v>
      </c>
      <c r="D140" s="138" t="s">
        <v>469</v>
      </c>
      <c r="E140" s="138" t="s">
        <v>201</v>
      </c>
      <c r="F140" s="141"/>
      <c r="G140" s="81">
        <f>SUM(G141)</f>
        <v>0</v>
      </c>
      <c r="H140" s="81">
        <f>SUM(H141)</f>
        <v>0</v>
      </c>
      <c r="I140" s="20" t="e">
        <f t="shared" si="5"/>
        <v>#DIV/0!</v>
      </c>
      <c r="L140" s="84"/>
    </row>
    <row r="141" spans="1:12" ht="28.5" hidden="1" customHeight="1">
      <c r="A141" s="95" t="s">
        <v>1022</v>
      </c>
      <c r="B141" s="138"/>
      <c r="C141" s="138" t="s">
        <v>836</v>
      </c>
      <c r="D141" s="138" t="s">
        <v>469</v>
      </c>
      <c r="E141" s="138" t="s">
        <v>1023</v>
      </c>
      <c r="F141" s="141"/>
      <c r="G141" s="81">
        <f>SUM(G142)</f>
        <v>0</v>
      </c>
      <c r="H141" s="81">
        <f>SUM(H142)</f>
        <v>0</v>
      </c>
      <c r="I141" s="20" t="e">
        <f t="shared" si="5"/>
        <v>#DIV/0!</v>
      </c>
    </row>
    <row r="142" spans="1:12" ht="15" hidden="1" customHeight="1">
      <c r="A142" s="95" t="s">
        <v>164</v>
      </c>
      <c r="B142" s="138"/>
      <c r="C142" s="138" t="s">
        <v>836</v>
      </c>
      <c r="D142" s="138" t="s">
        <v>469</v>
      </c>
      <c r="E142" s="138" t="s">
        <v>201</v>
      </c>
      <c r="F142" s="141" t="s">
        <v>165</v>
      </c>
      <c r="G142" s="81"/>
      <c r="H142" s="81"/>
      <c r="I142" s="20" t="e">
        <f t="shared" si="5"/>
        <v>#DIV/0!</v>
      </c>
      <c r="J142" s="225">
        <f>SUM(ведомствен.2013!G312)</f>
        <v>0</v>
      </c>
    </row>
    <row r="143" spans="1:12" ht="28.5" hidden="1" customHeight="1">
      <c r="A143" s="95" t="s">
        <v>212</v>
      </c>
      <c r="B143" s="138"/>
      <c r="C143" s="138" t="s">
        <v>836</v>
      </c>
      <c r="D143" s="138" t="s">
        <v>752</v>
      </c>
      <c r="E143" s="138" t="s">
        <v>213</v>
      </c>
      <c r="F143" s="141" t="s">
        <v>165</v>
      </c>
      <c r="G143" s="30"/>
      <c r="H143" s="30"/>
      <c r="I143" s="20" t="e">
        <f t="shared" si="5"/>
        <v>#DIV/0!</v>
      </c>
    </row>
    <row r="144" spans="1:12" s="19" customFormat="1" ht="30">
      <c r="A144" s="120" t="s">
        <v>214</v>
      </c>
      <c r="B144" s="169"/>
      <c r="C144" s="193" t="s">
        <v>167</v>
      </c>
      <c r="D144" s="193"/>
      <c r="E144" s="193"/>
      <c r="F144" s="194"/>
      <c r="G144" s="203">
        <f>SUM(G145+G172)+G195+G168</f>
        <v>28798.2</v>
      </c>
      <c r="H144" s="203">
        <f>SUM(H145+H172)+H195+H168</f>
        <v>27996.3</v>
      </c>
      <c r="I144" s="203">
        <f t="shared" si="5"/>
        <v>97.215450965685349</v>
      </c>
      <c r="J144" s="226"/>
      <c r="K144" s="19">
        <f>SUM(J168:J194)</f>
        <v>28798.199999999997</v>
      </c>
      <c r="L144" s="19">
        <f>SUM(ведомствен.2013!G314+ведомствен.2013!G761+ведомствен.2013!G1050)</f>
        <v>28798.2</v>
      </c>
    </row>
    <row r="145" spans="1:9" ht="15" hidden="1">
      <c r="A145" s="95" t="s">
        <v>215</v>
      </c>
      <c r="B145" s="138"/>
      <c r="C145" s="138" t="s">
        <v>167</v>
      </c>
      <c r="D145" s="138" t="s">
        <v>838</v>
      </c>
      <c r="E145" s="138"/>
      <c r="F145" s="140"/>
      <c r="G145" s="30">
        <f>SUM(G146)</f>
        <v>0</v>
      </c>
      <c r="H145" s="30">
        <f>SUM(H146)</f>
        <v>0</v>
      </c>
      <c r="I145" s="20" t="e">
        <f t="shared" si="5"/>
        <v>#DIV/0!</v>
      </c>
    </row>
    <row r="146" spans="1:9" ht="15" hidden="1">
      <c r="A146" s="95" t="s">
        <v>215</v>
      </c>
      <c r="B146" s="138"/>
      <c r="C146" s="138" t="s">
        <v>167</v>
      </c>
      <c r="D146" s="138" t="s">
        <v>838</v>
      </c>
      <c r="E146" s="138"/>
      <c r="F146" s="139"/>
      <c r="G146" s="30">
        <f>SUM(G147+G164)</f>
        <v>0</v>
      </c>
      <c r="H146" s="30">
        <f>SUM(H147+H164)</f>
        <v>0</v>
      </c>
      <c r="I146" s="20" t="e">
        <f t="shared" si="5"/>
        <v>#DIV/0!</v>
      </c>
    </row>
    <row r="147" spans="1:9" ht="15" hidden="1" customHeight="1">
      <c r="A147" s="119" t="s">
        <v>216</v>
      </c>
      <c r="B147" s="138"/>
      <c r="C147" s="138" t="s">
        <v>167</v>
      </c>
      <c r="D147" s="138" t="s">
        <v>838</v>
      </c>
      <c r="E147" s="158" t="s">
        <v>511</v>
      </c>
      <c r="F147" s="139"/>
      <c r="G147" s="30">
        <f>SUM(G148+G150+G152+G154+G157+G162)</f>
        <v>0</v>
      </c>
      <c r="H147" s="30">
        <f>SUM(H148+H150+H152+H154+H157+H162)</f>
        <v>0</v>
      </c>
      <c r="I147" s="20" t="e">
        <f t="shared" si="5"/>
        <v>#DIV/0!</v>
      </c>
    </row>
    <row r="148" spans="1:9" ht="57" hidden="1">
      <c r="A148" s="119" t="s">
        <v>512</v>
      </c>
      <c r="B148" s="138"/>
      <c r="C148" s="138" t="s">
        <v>167</v>
      </c>
      <c r="D148" s="138" t="s">
        <v>838</v>
      </c>
      <c r="E148" s="158" t="s">
        <v>513</v>
      </c>
      <c r="F148" s="139"/>
      <c r="G148" s="30">
        <f>SUM(G149)</f>
        <v>0</v>
      </c>
      <c r="H148" s="30">
        <f>SUM(H149)</f>
        <v>0</v>
      </c>
      <c r="I148" s="20" t="e">
        <f t="shared" si="5"/>
        <v>#DIV/0!</v>
      </c>
    </row>
    <row r="149" spans="1:9" ht="28.5" hidden="1">
      <c r="A149" s="119" t="s">
        <v>985</v>
      </c>
      <c r="B149" s="138"/>
      <c r="C149" s="138" t="s">
        <v>167</v>
      </c>
      <c r="D149" s="138" t="s">
        <v>838</v>
      </c>
      <c r="E149" s="158" t="s">
        <v>513</v>
      </c>
      <c r="F149" s="139" t="s">
        <v>986</v>
      </c>
      <c r="G149" s="30"/>
      <c r="H149" s="30"/>
      <c r="I149" s="20" t="e">
        <f t="shared" si="5"/>
        <v>#DIV/0!</v>
      </c>
    </row>
    <row r="150" spans="1:9" ht="15" hidden="1">
      <c r="A150" s="119" t="s">
        <v>987</v>
      </c>
      <c r="B150" s="138"/>
      <c r="C150" s="138" t="s">
        <v>167</v>
      </c>
      <c r="D150" s="138" t="s">
        <v>838</v>
      </c>
      <c r="E150" s="158" t="s">
        <v>988</v>
      </c>
      <c r="F150" s="139"/>
      <c r="G150" s="30">
        <f>SUM(G151)</f>
        <v>0</v>
      </c>
      <c r="H150" s="30">
        <f>SUM(H151)</f>
        <v>0</v>
      </c>
      <c r="I150" s="20" t="e">
        <f t="shared" si="5"/>
        <v>#DIV/0!</v>
      </c>
    </row>
    <row r="151" spans="1:9" ht="28.5" hidden="1" customHeight="1">
      <c r="A151" s="119" t="s">
        <v>985</v>
      </c>
      <c r="B151" s="138"/>
      <c r="C151" s="138" t="s">
        <v>167</v>
      </c>
      <c r="D151" s="138" t="s">
        <v>838</v>
      </c>
      <c r="E151" s="158" t="s">
        <v>988</v>
      </c>
      <c r="F151" s="139" t="s">
        <v>986</v>
      </c>
      <c r="G151" s="30"/>
      <c r="H151" s="30"/>
      <c r="I151" s="20" t="e">
        <f t="shared" si="5"/>
        <v>#DIV/0!</v>
      </c>
    </row>
    <row r="152" spans="1:9" ht="28.5" hidden="1" customHeight="1">
      <c r="A152" s="119" t="s">
        <v>989</v>
      </c>
      <c r="B152" s="138"/>
      <c r="C152" s="138" t="s">
        <v>167</v>
      </c>
      <c r="D152" s="138" t="s">
        <v>838</v>
      </c>
      <c r="E152" s="158" t="s">
        <v>990</v>
      </c>
      <c r="F152" s="139"/>
      <c r="G152" s="30">
        <f>SUM(G153)</f>
        <v>0</v>
      </c>
      <c r="H152" s="30">
        <f>SUM(H153)</f>
        <v>0</v>
      </c>
      <c r="I152" s="20" t="e">
        <f t="shared" si="5"/>
        <v>#DIV/0!</v>
      </c>
    </row>
    <row r="153" spans="1:9" ht="28.5" hidden="1">
      <c r="A153" s="119" t="s">
        <v>985</v>
      </c>
      <c r="B153" s="138"/>
      <c r="C153" s="138" t="s">
        <v>167</v>
      </c>
      <c r="D153" s="138" t="s">
        <v>838</v>
      </c>
      <c r="E153" s="158" t="s">
        <v>990</v>
      </c>
      <c r="F153" s="139" t="s">
        <v>986</v>
      </c>
      <c r="G153" s="30"/>
      <c r="H153" s="30"/>
      <c r="I153" s="20" t="e">
        <f t="shared" si="5"/>
        <v>#DIV/0!</v>
      </c>
    </row>
    <row r="154" spans="1:9" ht="15" hidden="1">
      <c r="A154" s="119" t="s">
        <v>991</v>
      </c>
      <c r="B154" s="138"/>
      <c r="C154" s="138" t="s">
        <v>167</v>
      </c>
      <c r="D154" s="138" t="s">
        <v>838</v>
      </c>
      <c r="E154" s="158" t="s">
        <v>992</v>
      </c>
      <c r="F154" s="139"/>
      <c r="G154" s="30">
        <f>SUM(G155)</f>
        <v>0</v>
      </c>
      <c r="H154" s="30">
        <f>SUM(H155)</f>
        <v>0</v>
      </c>
      <c r="I154" s="20" t="e">
        <f t="shared" si="5"/>
        <v>#DIV/0!</v>
      </c>
    </row>
    <row r="155" spans="1:9" ht="28.5" hidden="1" customHeight="1">
      <c r="A155" s="119" t="s">
        <v>581</v>
      </c>
      <c r="B155" s="138"/>
      <c r="C155" s="138" t="s">
        <v>167</v>
      </c>
      <c r="D155" s="138" t="s">
        <v>838</v>
      </c>
      <c r="E155" s="158" t="s">
        <v>582</v>
      </c>
      <c r="F155" s="139"/>
      <c r="G155" s="30">
        <f>SUM(G156)</f>
        <v>0</v>
      </c>
      <c r="H155" s="30">
        <f>SUM(H156)</f>
        <v>0</v>
      </c>
      <c r="I155" s="20" t="e">
        <f t="shared" si="5"/>
        <v>#DIV/0!</v>
      </c>
    </row>
    <row r="156" spans="1:9" ht="28.5" hidden="1">
      <c r="A156" s="119" t="s">
        <v>985</v>
      </c>
      <c r="B156" s="138"/>
      <c r="C156" s="138" t="s">
        <v>167</v>
      </c>
      <c r="D156" s="138" t="s">
        <v>838</v>
      </c>
      <c r="E156" s="158" t="s">
        <v>582</v>
      </c>
      <c r="F156" s="139" t="s">
        <v>986</v>
      </c>
      <c r="G156" s="30"/>
      <c r="H156" s="30"/>
      <c r="I156" s="20" t="e">
        <f t="shared" si="5"/>
        <v>#DIV/0!</v>
      </c>
    </row>
    <row r="157" spans="1:9" ht="15" hidden="1">
      <c r="A157" s="95" t="s">
        <v>583</v>
      </c>
      <c r="B157" s="138"/>
      <c r="C157" s="138" t="s">
        <v>584</v>
      </c>
      <c r="D157" s="138" t="s">
        <v>838</v>
      </c>
      <c r="E157" s="158" t="s">
        <v>585</v>
      </c>
      <c r="F157" s="139"/>
      <c r="G157" s="30">
        <f>SUM(G158+G160)</f>
        <v>0</v>
      </c>
      <c r="H157" s="30">
        <f>SUM(H158+H160)</f>
        <v>0</v>
      </c>
      <c r="I157" s="20" t="e">
        <f t="shared" si="5"/>
        <v>#DIV/0!</v>
      </c>
    </row>
    <row r="158" spans="1:9" ht="28.5" hidden="1">
      <c r="A158" s="119" t="s">
        <v>586</v>
      </c>
      <c r="B158" s="138"/>
      <c r="C158" s="138" t="s">
        <v>584</v>
      </c>
      <c r="D158" s="138" t="s">
        <v>838</v>
      </c>
      <c r="E158" s="158" t="s">
        <v>587</v>
      </c>
      <c r="F158" s="139"/>
      <c r="G158" s="30">
        <f>SUM(G159)</f>
        <v>0</v>
      </c>
      <c r="H158" s="30">
        <f>SUM(H159)</f>
        <v>0</v>
      </c>
      <c r="I158" s="20" t="e">
        <f t="shared" si="5"/>
        <v>#DIV/0!</v>
      </c>
    </row>
    <row r="159" spans="1:9" ht="28.5" hidden="1">
      <c r="A159" s="119" t="s">
        <v>985</v>
      </c>
      <c r="B159" s="138"/>
      <c r="C159" s="138" t="s">
        <v>584</v>
      </c>
      <c r="D159" s="138" t="s">
        <v>838</v>
      </c>
      <c r="E159" s="158" t="s">
        <v>587</v>
      </c>
      <c r="F159" s="139" t="s">
        <v>986</v>
      </c>
      <c r="G159" s="30"/>
      <c r="H159" s="30"/>
      <c r="I159" s="20" t="e">
        <f t="shared" si="5"/>
        <v>#DIV/0!</v>
      </c>
    </row>
    <row r="160" spans="1:9" ht="15" hidden="1">
      <c r="A160" s="119" t="s">
        <v>588</v>
      </c>
      <c r="B160" s="138"/>
      <c r="C160" s="138" t="s">
        <v>584</v>
      </c>
      <c r="D160" s="138" t="s">
        <v>838</v>
      </c>
      <c r="E160" s="158" t="s">
        <v>589</v>
      </c>
      <c r="F160" s="139"/>
      <c r="G160" s="30">
        <f>SUM(G161)</f>
        <v>0</v>
      </c>
      <c r="H160" s="30">
        <f>SUM(H161)</f>
        <v>0</v>
      </c>
      <c r="I160" s="20" t="e">
        <f t="shared" si="5"/>
        <v>#DIV/0!</v>
      </c>
    </row>
    <row r="161" spans="1:10" ht="28.5" hidden="1">
      <c r="A161" s="119" t="s">
        <v>985</v>
      </c>
      <c r="B161" s="138"/>
      <c r="C161" s="138" t="s">
        <v>584</v>
      </c>
      <c r="D161" s="138" t="s">
        <v>838</v>
      </c>
      <c r="E161" s="158" t="s">
        <v>589</v>
      </c>
      <c r="F161" s="139" t="s">
        <v>986</v>
      </c>
      <c r="G161" s="30"/>
      <c r="H161" s="30"/>
      <c r="I161" s="20" t="e">
        <f t="shared" si="5"/>
        <v>#DIV/0!</v>
      </c>
    </row>
    <row r="162" spans="1:10" ht="28.5" hidden="1" customHeight="1">
      <c r="A162" s="95" t="s">
        <v>590</v>
      </c>
      <c r="B162" s="138"/>
      <c r="C162" s="138" t="s">
        <v>584</v>
      </c>
      <c r="D162" s="138" t="s">
        <v>838</v>
      </c>
      <c r="E162" s="158" t="s">
        <v>591</v>
      </c>
      <c r="F162" s="139"/>
      <c r="G162" s="30">
        <f>SUM(G163)</f>
        <v>0</v>
      </c>
      <c r="H162" s="30">
        <f>SUM(H163)</f>
        <v>0</v>
      </c>
      <c r="I162" s="20" t="e">
        <f t="shared" si="5"/>
        <v>#DIV/0!</v>
      </c>
    </row>
    <row r="163" spans="1:10" ht="15" hidden="1" customHeight="1">
      <c r="A163" s="119" t="s">
        <v>592</v>
      </c>
      <c r="B163" s="138"/>
      <c r="C163" s="138" t="s">
        <v>584</v>
      </c>
      <c r="D163" s="138" t="s">
        <v>838</v>
      </c>
      <c r="E163" s="158" t="s">
        <v>591</v>
      </c>
      <c r="F163" s="139" t="s">
        <v>593</v>
      </c>
      <c r="G163" s="30"/>
      <c r="H163" s="30"/>
      <c r="I163" s="20" t="e">
        <f t="shared" si="5"/>
        <v>#DIV/0!</v>
      </c>
    </row>
    <row r="164" spans="1:10" ht="15" hidden="1">
      <c r="A164" s="114" t="s">
        <v>200</v>
      </c>
      <c r="B164" s="148"/>
      <c r="C164" s="148" t="s">
        <v>167</v>
      </c>
      <c r="D164" s="148" t="s">
        <v>838</v>
      </c>
      <c r="E164" s="172" t="s">
        <v>201</v>
      </c>
      <c r="F164" s="164"/>
      <c r="G164" s="30">
        <f>SUM(G165)</f>
        <v>0</v>
      </c>
      <c r="H164" s="30">
        <f>SUM(H165)</f>
        <v>0</v>
      </c>
      <c r="I164" s="20" t="e">
        <f t="shared" si="5"/>
        <v>#DIV/0!</v>
      </c>
    </row>
    <row r="165" spans="1:10" ht="28.5" hidden="1">
      <c r="A165" s="119" t="s">
        <v>985</v>
      </c>
      <c r="B165" s="148"/>
      <c r="C165" s="148" t="s">
        <v>167</v>
      </c>
      <c r="D165" s="148" t="s">
        <v>838</v>
      </c>
      <c r="E165" s="148" t="s">
        <v>594</v>
      </c>
      <c r="F165" s="149" t="s">
        <v>986</v>
      </c>
      <c r="G165" s="30">
        <f>SUM(G166)</f>
        <v>0</v>
      </c>
      <c r="H165" s="30">
        <f>SUM(H166)</f>
        <v>0</v>
      </c>
      <c r="I165" s="20" t="e">
        <f t="shared" si="5"/>
        <v>#DIV/0!</v>
      </c>
    </row>
    <row r="166" spans="1:10" ht="28.5" hidden="1" customHeight="1">
      <c r="A166" s="115" t="s">
        <v>811</v>
      </c>
      <c r="B166" s="171"/>
      <c r="C166" s="148" t="s">
        <v>167</v>
      </c>
      <c r="D166" s="148" t="s">
        <v>838</v>
      </c>
      <c r="E166" s="148" t="s">
        <v>595</v>
      </c>
      <c r="F166" s="149" t="s">
        <v>986</v>
      </c>
      <c r="G166" s="204"/>
      <c r="H166" s="204"/>
      <c r="I166" s="20" t="e">
        <f t="shared" si="5"/>
        <v>#DIV/0!</v>
      </c>
    </row>
    <row r="167" spans="1:10" ht="28.5" hidden="1" customHeight="1">
      <c r="A167" s="115" t="s">
        <v>600</v>
      </c>
      <c r="B167" s="171"/>
      <c r="C167" s="148" t="s">
        <v>167</v>
      </c>
      <c r="D167" s="148" t="s">
        <v>838</v>
      </c>
      <c r="E167" s="148" t="s">
        <v>601</v>
      </c>
      <c r="F167" s="149" t="s">
        <v>986</v>
      </c>
      <c r="G167" s="204"/>
      <c r="H167" s="204"/>
      <c r="I167" s="20" t="e">
        <f t="shared" si="5"/>
        <v>#DIV/0!</v>
      </c>
    </row>
    <row r="168" spans="1:10" s="25" customFormat="1" ht="18.75" customHeight="1">
      <c r="A168" s="95" t="s">
        <v>54</v>
      </c>
      <c r="B168" s="142"/>
      <c r="C168" s="142" t="s">
        <v>167</v>
      </c>
      <c r="D168" s="142" t="s">
        <v>191</v>
      </c>
      <c r="E168" s="142"/>
      <c r="F168" s="140"/>
      <c r="G168" s="30">
        <f>SUM(G170)</f>
        <v>5377.3</v>
      </c>
      <c r="H168" s="30">
        <f>SUM(H170)</f>
        <v>5377.3</v>
      </c>
      <c r="I168" s="20">
        <f t="shared" si="5"/>
        <v>100</v>
      </c>
      <c r="J168" s="229"/>
    </row>
    <row r="169" spans="1:10" s="25" customFormat="1" ht="27.75" customHeight="1">
      <c r="A169" s="94" t="s">
        <v>753</v>
      </c>
      <c r="B169" s="142"/>
      <c r="C169" s="142" t="s">
        <v>167</v>
      </c>
      <c r="D169" s="142" t="s">
        <v>191</v>
      </c>
      <c r="E169" s="142" t="s">
        <v>754</v>
      </c>
      <c r="F169" s="140"/>
      <c r="G169" s="30">
        <f>SUM(G170)</f>
        <v>5377.3</v>
      </c>
      <c r="H169" s="30">
        <f>SUM(H170)</f>
        <v>5377.3</v>
      </c>
      <c r="I169" s="20">
        <f t="shared" si="5"/>
        <v>100</v>
      </c>
      <c r="J169" s="229"/>
    </row>
    <row r="170" spans="1:10" s="25" customFormat="1" ht="15">
      <c r="A170" s="94" t="s">
        <v>491</v>
      </c>
      <c r="B170" s="142"/>
      <c r="C170" s="142" t="s">
        <v>167</v>
      </c>
      <c r="D170" s="142" t="s">
        <v>191</v>
      </c>
      <c r="E170" s="142" t="s">
        <v>492</v>
      </c>
      <c r="F170" s="140"/>
      <c r="G170" s="30">
        <f>SUM(G171)</f>
        <v>5377.3</v>
      </c>
      <c r="H170" s="30">
        <f>SUM(H171)</f>
        <v>5377.3</v>
      </c>
      <c r="I170" s="20">
        <f t="shared" si="5"/>
        <v>100</v>
      </c>
      <c r="J170" s="229"/>
    </row>
    <row r="171" spans="1:10" s="25" customFormat="1" ht="20.25" customHeight="1">
      <c r="A171" s="94" t="s">
        <v>164</v>
      </c>
      <c r="B171" s="142"/>
      <c r="C171" s="142" t="s">
        <v>167</v>
      </c>
      <c r="D171" s="142" t="s">
        <v>191</v>
      </c>
      <c r="E171" s="142" t="s">
        <v>492</v>
      </c>
      <c r="F171" s="140" t="s">
        <v>165</v>
      </c>
      <c r="G171" s="30">
        <v>5377.3</v>
      </c>
      <c r="H171" s="30">
        <v>5377.3</v>
      </c>
      <c r="I171" s="20">
        <f t="shared" si="5"/>
        <v>100</v>
      </c>
      <c r="J171" s="229">
        <f>SUM(ведомствен.2013!G318)</f>
        <v>5377.3</v>
      </c>
    </row>
    <row r="172" spans="1:10" ht="45.75" customHeight="1">
      <c r="A172" s="119" t="s">
        <v>602</v>
      </c>
      <c r="B172" s="138"/>
      <c r="C172" s="142" t="s">
        <v>167</v>
      </c>
      <c r="D172" s="142" t="s">
        <v>603</v>
      </c>
      <c r="E172" s="142"/>
      <c r="F172" s="140"/>
      <c r="G172" s="30">
        <f>SUM(G176+G181+G184+G187)+G174+G190</f>
        <v>23420.9</v>
      </c>
      <c r="H172" s="30">
        <f>SUM(H176+H181+H184+H187)+H174+H190</f>
        <v>22619</v>
      </c>
      <c r="I172" s="20">
        <f t="shared" si="5"/>
        <v>96.576134990542627</v>
      </c>
    </row>
    <row r="173" spans="1:10" ht="15" hidden="1" customHeight="1">
      <c r="A173" s="95" t="s">
        <v>748</v>
      </c>
      <c r="B173" s="138"/>
      <c r="C173" s="142" t="s">
        <v>167</v>
      </c>
      <c r="D173" s="142" t="s">
        <v>603</v>
      </c>
      <c r="E173" s="142" t="s">
        <v>750</v>
      </c>
      <c r="F173" s="140"/>
      <c r="G173" s="30">
        <f>SUM(G174)</f>
        <v>0</v>
      </c>
      <c r="H173" s="30">
        <f>SUM(H174)</f>
        <v>0</v>
      </c>
      <c r="I173" s="20" t="e">
        <f t="shared" si="5"/>
        <v>#DIV/0!</v>
      </c>
    </row>
    <row r="174" spans="1:10" ht="15" hidden="1" customHeight="1">
      <c r="A174" s="95" t="s">
        <v>728</v>
      </c>
      <c r="B174" s="138"/>
      <c r="C174" s="142" t="s">
        <v>167</v>
      </c>
      <c r="D174" s="142" t="s">
        <v>603</v>
      </c>
      <c r="E174" s="142" t="s">
        <v>729</v>
      </c>
      <c r="F174" s="140"/>
      <c r="G174" s="30">
        <f>SUM(G175)</f>
        <v>0</v>
      </c>
      <c r="H174" s="30">
        <f>SUM(H175)</f>
        <v>0</v>
      </c>
      <c r="I174" s="20" t="e">
        <f t="shared" si="5"/>
        <v>#DIV/0!</v>
      </c>
    </row>
    <row r="175" spans="1:10" ht="15" hidden="1" customHeight="1">
      <c r="A175" s="95" t="s">
        <v>164</v>
      </c>
      <c r="B175" s="138"/>
      <c r="C175" s="142" t="s">
        <v>167</v>
      </c>
      <c r="D175" s="142" t="s">
        <v>603</v>
      </c>
      <c r="E175" s="142" t="s">
        <v>729</v>
      </c>
      <c r="F175" s="140" t="s">
        <v>165</v>
      </c>
      <c r="G175" s="30"/>
      <c r="H175" s="30"/>
      <c r="I175" s="20" t="e">
        <f t="shared" si="5"/>
        <v>#DIV/0!</v>
      </c>
    </row>
    <row r="176" spans="1:10" ht="30.75" customHeight="1">
      <c r="A176" s="119" t="s">
        <v>604</v>
      </c>
      <c r="B176" s="138"/>
      <c r="C176" s="142" t="s">
        <v>167</v>
      </c>
      <c r="D176" s="142" t="s">
        <v>603</v>
      </c>
      <c r="E176" s="142" t="s">
        <v>605</v>
      </c>
      <c r="F176" s="140"/>
      <c r="G176" s="30">
        <f>SUM(G177)+G179</f>
        <v>7966.2</v>
      </c>
      <c r="H176" s="30">
        <f>SUM(H177)+H179</f>
        <v>7722</v>
      </c>
      <c r="I176" s="20">
        <f t="shared" si="5"/>
        <v>96.93454846727424</v>
      </c>
    </row>
    <row r="177" spans="1:10" ht="43.5" customHeight="1">
      <c r="A177" s="119" t="s">
        <v>606</v>
      </c>
      <c r="B177" s="138"/>
      <c r="C177" s="142" t="s">
        <v>167</v>
      </c>
      <c r="D177" s="142" t="s">
        <v>603</v>
      </c>
      <c r="E177" s="142" t="s">
        <v>607</v>
      </c>
      <c r="F177" s="140"/>
      <c r="G177" s="30">
        <f>SUM(G178)</f>
        <v>966.2</v>
      </c>
      <c r="H177" s="30">
        <f>SUM(H178)</f>
        <v>965.8</v>
      </c>
      <c r="I177" s="20">
        <f t="shared" si="5"/>
        <v>99.958600703788022</v>
      </c>
    </row>
    <row r="178" spans="1:10" ht="18.75" customHeight="1">
      <c r="A178" s="95" t="s">
        <v>164</v>
      </c>
      <c r="B178" s="138"/>
      <c r="C178" s="142" t="s">
        <v>167</v>
      </c>
      <c r="D178" s="142" t="s">
        <v>603</v>
      </c>
      <c r="E178" s="142" t="s">
        <v>607</v>
      </c>
      <c r="F178" s="140" t="s">
        <v>165</v>
      </c>
      <c r="G178" s="30">
        <v>966.2</v>
      </c>
      <c r="H178" s="30">
        <v>965.8</v>
      </c>
      <c r="I178" s="20">
        <f t="shared" si="5"/>
        <v>99.958600703788022</v>
      </c>
      <c r="J178" s="225">
        <f>SUM(ведомствен.2013!G325)</f>
        <v>966.2</v>
      </c>
    </row>
    <row r="179" spans="1:10" ht="28.5">
      <c r="A179" s="95" t="s">
        <v>924</v>
      </c>
      <c r="B179" s="138"/>
      <c r="C179" s="142" t="s">
        <v>167</v>
      </c>
      <c r="D179" s="142" t="s">
        <v>603</v>
      </c>
      <c r="E179" s="142" t="s">
        <v>925</v>
      </c>
      <c r="F179" s="140"/>
      <c r="G179" s="30">
        <f>SUM(G180)</f>
        <v>7000</v>
      </c>
      <c r="H179" s="30">
        <f>SUM(H180)</f>
        <v>6756.2</v>
      </c>
      <c r="I179" s="20">
        <f t="shared" si="5"/>
        <v>96.517142857142858</v>
      </c>
    </row>
    <row r="180" spans="1:10" ht="18.75" customHeight="1">
      <c r="A180" s="95" t="s">
        <v>746</v>
      </c>
      <c r="B180" s="138"/>
      <c r="C180" s="142" t="s">
        <v>167</v>
      </c>
      <c r="D180" s="142" t="s">
        <v>603</v>
      </c>
      <c r="E180" s="142" t="s">
        <v>925</v>
      </c>
      <c r="F180" s="140" t="s">
        <v>747</v>
      </c>
      <c r="G180" s="30">
        <v>7000</v>
      </c>
      <c r="H180" s="30">
        <v>6756.2</v>
      </c>
      <c r="I180" s="20">
        <f t="shared" si="5"/>
        <v>96.517142857142858</v>
      </c>
      <c r="J180" s="225">
        <f>SUM(ведомствен.2013!G327)</f>
        <v>7000</v>
      </c>
    </row>
    <row r="181" spans="1:10" ht="18.75" customHeight="1">
      <c r="A181" s="119" t="s">
        <v>926</v>
      </c>
      <c r="B181" s="148"/>
      <c r="C181" s="148" t="s">
        <v>167</v>
      </c>
      <c r="D181" s="148" t="s">
        <v>603</v>
      </c>
      <c r="E181" s="148" t="s">
        <v>927</v>
      </c>
      <c r="F181" s="149"/>
      <c r="G181" s="30">
        <f>SUM(G182)</f>
        <v>336.8</v>
      </c>
      <c r="H181" s="30">
        <f>SUM(H182)</f>
        <v>326.5</v>
      </c>
      <c r="I181" s="20">
        <f t="shared" si="5"/>
        <v>96.941805225653198</v>
      </c>
    </row>
    <row r="182" spans="1:10" ht="31.5" customHeight="1">
      <c r="A182" s="119" t="s">
        <v>928</v>
      </c>
      <c r="B182" s="148"/>
      <c r="C182" s="148" t="s">
        <v>167</v>
      </c>
      <c r="D182" s="148" t="s">
        <v>603</v>
      </c>
      <c r="E182" s="148" t="s">
        <v>929</v>
      </c>
      <c r="F182" s="149"/>
      <c r="G182" s="30">
        <f>SUM(G183)</f>
        <v>336.8</v>
      </c>
      <c r="H182" s="30">
        <f>SUM(H183)</f>
        <v>326.5</v>
      </c>
      <c r="I182" s="20">
        <f t="shared" si="5"/>
        <v>96.941805225653198</v>
      </c>
    </row>
    <row r="183" spans="1:10" ht="19.5" customHeight="1">
      <c r="A183" s="95" t="s">
        <v>164</v>
      </c>
      <c r="B183" s="148"/>
      <c r="C183" s="148" t="s">
        <v>167</v>
      </c>
      <c r="D183" s="148" t="s">
        <v>603</v>
      </c>
      <c r="E183" s="148" t="s">
        <v>929</v>
      </c>
      <c r="F183" s="149" t="s">
        <v>165</v>
      </c>
      <c r="G183" s="30">
        <v>336.8</v>
      </c>
      <c r="H183" s="30">
        <v>326.5</v>
      </c>
      <c r="I183" s="20">
        <f t="shared" si="5"/>
        <v>96.941805225653198</v>
      </c>
      <c r="J183" s="225">
        <f>SUM(ведомствен.2013!G330)</f>
        <v>336.8</v>
      </c>
    </row>
    <row r="184" spans="1:10" ht="35.25" customHeight="1">
      <c r="A184" s="95" t="s">
        <v>50</v>
      </c>
      <c r="B184" s="138"/>
      <c r="C184" s="142" t="s">
        <v>167</v>
      </c>
      <c r="D184" s="142" t="s">
        <v>603</v>
      </c>
      <c r="E184" s="142" t="s">
        <v>930</v>
      </c>
      <c r="F184" s="140"/>
      <c r="G184" s="30">
        <f>SUM(G185)</f>
        <v>13164.9</v>
      </c>
      <c r="H184" s="30">
        <f>SUM(H185)</f>
        <v>12655.9</v>
      </c>
      <c r="I184" s="20">
        <f t="shared" si="5"/>
        <v>96.133658440246421</v>
      </c>
    </row>
    <row r="185" spans="1:10" ht="29.25" customHeight="1">
      <c r="A185" s="95" t="s">
        <v>48</v>
      </c>
      <c r="B185" s="138"/>
      <c r="C185" s="142" t="s">
        <v>167</v>
      </c>
      <c r="D185" s="142" t="s">
        <v>603</v>
      </c>
      <c r="E185" s="142" t="s">
        <v>931</v>
      </c>
      <c r="F185" s="140"/>
      <c r="G185" s="30">
        <f>SUM(G186)</f>
        <v>13164.9</v>
      </c>
      <c r="H185" s="30">
        <f>SUM(H186)</f>
        <v>12655.9</v>
      </c>
      <c r="I185" s="20">
        <f t="shared" si="5"/>
        <v>96.133658440246421</v>
      </c>
    </row>
    <row r="186" spans="1:10" ht="18" customHeight="1">
      <c r="A186" s="97" t="s">
        <v>49</v>
      </c>
      <c r="B186" s="109"/>
      <c r="C186" s="160" t="s">
        <v>167</v>
      </c>
      <c r="D186" s="160" t="s">
        <v>603</v>
      </c>
      <c r="E186" s="160" t="s">
        <v>931</v>
      </c>
      <c r="F186" s="141" t="s">
        <v>498</v>
      </c>
      <c r="G186" s="30">
        <v>13164.9</v>
      </c>
      <c r="H186" s="30">
        <v>12655.9</v>
      </c>
      <c r="I186" s="20">
        <f t="shared" si="5"/>
        <v>96.133658440246421</v>
      </c>
      <c r="J186" s="225">
        <f>SUM(ведомствен.2013!G333)+ведомствен.2013!G765</f>
        <v>13164.9</v>
      </c>
    </row>
    <row r="187" spans="1:10" s="28" customFormat="1" ht="15" hidden="1" customHeight="1">
      <c r="A187" s="95" t="s">
        <v>932</v>
      </c>
      <c r="B187" s="109"/>
      <c r="C187" s="160" t="s">
        <v>167</v>
      </c>
      <c r="D187" s="160" t="s">
        <v>603</v>
      </c>
      <c r="E187" s="160" t="s">
        <v>933</v>
      </c>
      <c r="F187" s="141"/>
      <c r="G187" s="30">
        <f>SUM(G189)</f>
        <v>0</v>
      </c>
      <c r="H187" s="30">
        <f>SUM(H189)</f>
        <v>0</v>
      </c>
      <c r="I187" s="20" t="e">
        <f t="shared" ref="I187:I250" si="6">SUM(H187/G187*100)</f>
        <v>#DIV/0!</v>
      </c>
      <c r="J187" s="230"/>
    </row>
    <row r="188" spans="1:10" s="28" customFormat="1" ht="57" hidden="1" customHeight="1">
      <c r="A188" s="119" t="s">
        <v>934</v>
      </c>
      <c r="B188" s="138"/>
      <c r="C188" s="142" t="s">
        <v>167</v>
      </c>
      <c r="D188" s="142" t="s">
        <v>603</v>
      </c>
      <c r="E188" s="148" t="s">
        <v>935</v>
      </c>
      <c r="F188" s="140"/>
      <c r="G188" s="30">
        <f>SUM(G189)</f>
        <v>0</v>
      </c>
      <c r="H188" s="30">
        <f>SUM(H189)</f>
        <v>0</v>
      </c>
      <c r="I188" s="20" t="e">
        <f t="shared" si="6"/>
        <v>#DIV/0!</v>
      </c>
      <c r="J188" s="230"/>
    </row>
    <row r="189" spans="1:10" ht="42.75" hidden="1" customHeight="1">
      <c r="A189" s="119" t="s">
        <v>936</v>
      </c>
      <c r="B189" s="138"/>
      <c r="C189" s="142" t="s">
        <v>167</v>
      </c>
      <c r="D189" s="142" t="s">
        <v>603</v>
      </c>
      <c r="E189" s="148" t="s">
        <v>935</v>
      </c>
      <c r="F189" s="140" t="s">
        <v>937</v>
      </c>
      <c r="G189" s="30"/>
      <c r="H189" s="30"/>
      <c r="I189" s="20" t="e">
        <f t="shared" si="6"/>
        <v>#DIV/0!</v>
      </c>
    </row>
    <row r="190" spans="1:10" ht="24" customHeight="1">
      <c r="A190" s="95" t="s">
        <v>200</v>
      </c>
      <c r="B190" s="138"/>
      <c r="C190" s="142" t="s">
        <v>167</v>
      </c>
      <c r="D190" s="142" t="s">
        <v>603</v>
      </c>
      <c r="E190" s="138" t="s">
        <v>201</v>
      </c>
      <c r="F190" s="140"/>
      <c r="G190" s="81">
        <f>SUM(G193)+G191</f>
        <v>1953</v>
      </c>
      <c r="H190" s="81">
        <f>SUM(H193)+H191</f>
        <v>1914.6</v>
      </c>
      <c r="I190" s="20">
        <f t="shared" si="6"/>
        <v>98.03379416282641</v>
      </c>
    </row>
    <row r="191" spans="1:10" ht="29.25" customHeight="1">
      <c r="A191" s="94" t="s">
        <v>258</v>
      </c>
      <c r="B191" s="138"/>
      <c r="C191" s="160" t="s">
        <v>167</v>
      </c>
      <c r="D191" s="160" t="s">
        <v>603</v>
      </c>
      <c r="E191" s="142" t="s">
        <v>211</v>
      </c>
      <c r="F191" s="140"/>
      <c r="G191" s="30">
        <f>SUM(G192)</f>
        <v>1821</v>
      </c>
      <c r="H191" s="30">
        <f>SUM(H192)</f>
        <v>1782.6</v>
      </c>
      <c r="I191" s="20">
        <f t="shared" si="6"/>
        <v>97.891268533772646</v>
      </c>
    </row>
    <row r="192" spans="1:10" ht="24" customHeight="1">
      <c r="A192" s="95" t="s">
        <v>164</v>
      </c>
      <c r="B192" s="138"/>
      <c r="C192" s="160" t="s">
        <v>167</v>
      </c>
      <c r="D192" s="160" t="s">
        <v>603</v>
      </c>
      <c r="E192" s="142" t="s">
        <v>211</v>
      </c>
      <c r="F192" s="140" t="s">
        <v>165</v>
      </c>
      <c r="G192" s="30">
        <v>1821</v>
      </c>
      <c r="H192" s="30">
        <v>1782.6</v>
      </c>
      <c r="I192" s="20">
        <f t="shared" si="6"/>
        <v>97.891268533772646</v>
      </c>
      <c r="J192" s="225">
        <f>SUM(ведомствен.2013!G343)</f>
        <v>1821</v>
      </c>
    </row>
    <row r="193" spans="1:13" ht="35.25" customHeight="1">
      <c r="A193" s="95" t="s">
        <v>243</v>
      </c>
      <c r="B193" s="138"/>
      <c r="C193" s="142" t="s">
        <v>167</v>
      </c>
      <c r="D193" s="142" t="s">
        <v>603</v>
      </c>
      <c r="E193" s="138" t="s">
        <v>244</v>
      </c>
      <c r="F193" s="141"/>
      <c r="G193" s="30">
        <f>SUM(G194)</f>
        <v>132</v>
      </c>
      <c r="H193" s="30">
        <f>SUM(H194)</f>
        <v>132</v>
      </c>
      <c r="I193" s="20">
        <f t="shared" si="6"/>
        <v>100</v>
      </c>
    </row>
    <row r="194" spans="1:13" ht="16.5" customHeight="1">
      <c r="A194" s="95" t="s">
        <v>164</v>
      </c>
      <c r="B194" s="138"/>
      <c r="C194" s="142" t="s">
        <v>167</v>
      </c>
      <c r="D194" s="142" t="s">
        <v>603</v>
      </c>
      <c r="E194" s="138" t="s">
        <v>244</v>
      </c>
      <c r="F194" s="141" t="s">
        <v>165</v>
      </c>
      <c r="G194" s="30">
        <v>132</v>
      </c>
      <c r="H194" s="30">
        <v>132</v>
      </c>
      <c r="I194" s="20">
        <f t="shared" si="6"/>
        <v>100</v>
      </c>
      <c r="J194" s="225">
        <f>SUM(ведомствен.2013!G1054)+ведомствен.2013!G345</f>
        <v>132</v>
      </c>
    </row>
    <row r="195" spans="1:13" ht="28.5" hidden="1" customHeight="1">
      <c r="A195" s="119" t="s">
        <v>938</v>
      </c>
      <c r="B195" s="138"/>
      <c r="C195" s="142" t="s">
        <v>167</v>
      </c>
      <c r="D195" s="142" t="s">
        <v>752</v>
      </c>
      <c r="E195" s="148"/>
      <c r="F195" s="140"/>
      <c r="G195" s="30">
        <f>SUM(G196+G199)</f>
        <v>0</v>
      </c>
      <c r="H195" s="30">
        <f>SUM(H196+H199)</f>
        <v>0</v>
      </c>
      <c r="I195" s="20" t="e">
        <f t="shared" si="6"/>
        <v>#DIV/0!</v>
      </c>
    </row>
    <row r="196" spans="1:13" ht="15" hidden="1" customHeight="1">
      <c r="A196" s="119" t="s">
        <v>932</v>
      </c>
      <c r="B196" s="138"/>
      <c r="C196" s="142" t="s">
        <v>167</v>
      </c>
      <c r="D196" s="142" t="s">
        <v>752</v>
      </c>
      <c r="E196" s="148" t="s">
        <v>933</v>
      </c>
      <c r="F196" s="140"/>
      <c r="G196" s="30">
        <f>SUM(G197)</f>
        <v>0</v>
      </c>
      <c r="H196" s="30">
        <f>SUM(H197)</f>
        <v>0</v>
      </c>
      <c r="I196" s="20" t="e">
        <f t="shared" si="6"/>
        <v>#DIV/0!</v>
      </c>
    </row>
    <row r="197" spans="1:13" ht="42.75" hidden="1" customHeight="1">
      <c r="A197" s="119" t="s">
        <v>939</v>
      </c>
      <c r="B197" s="138"/>
      <c r="C197" s="142" t="s">
        <v>167</v>
      </c>
      <c r="D197" s="142" t="s">
        <v>752</v>
      </c>
      <c r="E197" s="148" t="s">
        <v>935</v>
      </c>
      <c r="F197" s="140"/>
      <c r="G197" s="30">
        <f>SUM(G198)</f>
        <v>0</v>
      </c>
      <c r="H197" s="30">
        <f>SUM(H198)</f>
        <v>0</v>
      </c>
      <c r="I197" s="20" t="e">
        <f t="shared" si="6"/>
        <v>#DIV/0!</v>
      </c>
    </row>
    <row r="198" spans="1:13" ht="15" hidden="1" customHeight="1">
      <c r="A198" s="94" t="s">
        <v>207</v>
      </c>
      <c r="B198" s="138"/>
      <c r="C198" s="142" t="s">
        <v>167</v>
      </c>
      <c r="D198" s="142" t="s">
        <v>752</v>
      </c>
      <c r="E198" s="148" t="s">
        <v>935</v>
      </c>
      <c r="F198" s="140" t="s">
        <v>208</v>
      </c>
      <c r="G198" s="30"/>
      <c r="H198" s="30"/>
      <c r="I198" s="20" t="e">
        <f t="shared" si="6"/>
        <v>#DIV/0!</v>
      </c>
    </row>
    <row r="199" spans="1:13" ht="15" hidden="1" customHeight="1">
      <c r="A199" s="119" t="s">
        <v>932</v>
      </c>
      <c r="B199" s="138"/>
      <c r="C199" s="142" t="s">
        <v>167</v>
      </c>
      <c r="D199" s="142" t="s">
        <v>940</v>
      </c>
      <c r="E199" s="148" t="s">
        <v>933</v>
      </c>
      <c r="F199" s="140"/>
      <c r="G199" s="30">
        <f>SUM(G200)</f>
        <v>0</v>
      </c>
      <c r="H199" s="30">
        <f>SUM(H200)</f>
        <v>0</v>
      </c>
      <c r="I199" s="20" t="e">
        <f t="shared" si="6"/>
        <v>#DIV/0!</v>
      </c>
    </row>
    <row r="200" spans="1:13" ht="42.75" hidden="1" customHeight="1">
      <c r="A200" s="119" t="s">
        <v>939</v>
      </c>
      <c r="B200" s="138"/>
      <c r="C200" s="142" t="s">
        <v>167</v>
      </c>
      <c r="D200" s="142" t="s">
        <v>940</v>
      </c>
      <c r="E200" s="148" t="s">
        <v>935</v>
      </c>
      <c r="F200" s="140"/>
      <c r="G200" s="30"/>
      <c r="H200" s="30"/>
      <c r="I200" s="20" t="e">
        <f t="shared" si="6"/>
        <v>#DIV/0!</v>
      </c>
    </row>
    <row r="201" spans="1:13" ht="15" hidden="1" customHeight="1">
      <c r="A201" s="94" t="s">
        <v>207</v>
      </c>
      <c r="B201" s="138"/>
      <c r="C201" s="142" t="s">
        <v>167</v>
      </c>
      <c r="D201" s="142" t="s">
        <v>940</v>
      </c>
      <c r="E201" s="148" t="s">
        <v>935</v>
      </c>
      <c r="F201" s="140" t="s">
        <v>208</v>
      </c>
      <c r="G201" s="30">
        <f>SUM([1]Ведомств.!F141)</f>
        <v>0</v>
      </c>
      <c r="H201" s="30" t="e">
        <f>SUM([1]Ведомств.!G141)</f>
        <v>#REF!</v>
      </c>
      <c r="I201" s="20" t="e">
        <f t="shared" si="6"/>
        <v>#REF!</v>
      </c>
    </row>
    <row r="202" spans="1:13" ht="15" hidden="1" customHeight="1">
      <c r="A202" s="119"/>
      <c r="B202" s="138"/>
      <c r="C202" s="142"/>
      <c r="D202" s="142"/>
      <c r="E202" s="148"/>
      <c r="F202" s="140"/>
      <c r="G202" s="30"/>
      <c r="H202" s="30"/>
      <c r="I202" s="20" t="e">
        <f t="shared" si="6"/>
        <v>#DIV/0!</v>
      </c>
    </row>
    <row r="203" spans="1:13" s="19" customFormat="1" ht="15.75">
      <c r="A203" s="120" t="s">
        <v>190</v>
      </c>
      <c r="B203" s="169"/>
      <c r="C203" s="169" t="s">
        <v>191</v>
      </c>
      <c r="D203" s="169"/>
      <c r="E203" s="169"/>
      <c r="F203" s="195"/>
      <c r="G203" s="203">
        <f>SUM(G204+G247)+G223</f>
        <v>412774.1</v>
      </c>
      <c r="H203" s="203">
        <f>SUM(H204+H247)+H223</f>
        <v>412579</v>
      </c>
      <c r="I203" s="26">
        <f t="shared" si="6"/>
        <v>99.952734437553133</v>
      </c>
      <c r="J203" s="226"/>
      <c r="K203" s="19">
        <f>SUM(J204:J274)</f>
        <v>412774.10000000015</v>
      </c>
      <c r="L203" s="19">
        <f>SUM(ведомствен.2013!G58+ведомствен.2013!G352+ведомствен.2013!G766+ведомствен.2013!G1058)</f>
        <v>412774.1</v>
      </c>
      <c r="M203" s="247">
        <f>SUM(K203-L203)</f>
        <v>1.7462298274040222E-10</v>
      </c>
    </row>
    <row r="204" spans="1:13" ht="14.25" customHeight="1">
      <c r="A204" s="95" t="s">
        <v>192</v>
      </c>
      <c r="B204" s="138"/>
      <c r="C204" s="138" t="s">
        <v>191</v>
      </c>
      <c r="D204" s="138" t="s">
        <v>193</v>
      </c>
      <c r="E204" s="138"/>
      <c r="F204" s="139"/>
      <c r="G204" s="30">
        <f>SUM(G212)+G207+G205+G220</f>
        <v>111675.70000000001</v>
      </c>
      <c r="H204" s="30">
        <f>SUM(H212)+H207+H205+H220</f>
        <v>111675.6</v>
      </c>
      <c r="I204" s="20">
        <f t="shared" si="6"/>
        <v>99.999910455004979</v>
      </c>
      <c r="M204" s="84">
        <f>SUM(L203-G203)</f>
        <v>0</v>
      </c>
    </row>
    <row r="205" spans="1:13" ht="20.25" customHeight="1">
      <c r="A205" s="95" t="s">
        <v>941</v>
      </c>
      <c r="B205" s="138"/>
      <c r="C205" s="138" t="s">
        <v>191</v>
      </c>
      <c r="D205" s="138" t="s">
        <v>193</v>
      </c>
      <c r="E205" s="142" t="s">
        <v>942</v>
      </c>
      <c r="F205" s="140"/>
      <c r="G205" s="30">
        <f>SUM(G206)+G209+G210</f>
        <v>43659.4</v>
      </c>
      <c r="H205" s="30">
        <f>SUM(H206)+H209+H210</f>
        <v>43659.3</v>
      </c>
      <c r="I205" s="20">
        <f t="shared" si="6"/>
        <v>99.999770954250394</v>
      </c>
    </row>
    <row r="206" spans="1:13" ht="16.5" customHeight="1">
      <c r="A206" s="95" t="s">
        <v>943</v>
      </c>
      <c r="B206" s="138"/>
      <c r="C206" s="138" t="s">
        <v>191</v>
      </c>
      <c r="D206" s="138" t="s">
        <v>193</v>
      </c>
      <c r="E206" s="142" t="s">
        <v>942</v>
      </c>
      <c r="F206" s="139" t="s">
        <v>944</v>
      </c>
      <c r="G206" s="30">
        <v>39636.400000000001</v>
      </c>
      <c r="H206" s="30">
        <v>39636.400000000001</v>
      </c>
      <c r="I206" s="20">
        <f t="shared" si="6"/>
        <v>100</v>
      </c>
      <c r="J206" s="225">
        <f>SUM(ведомствен.2013!G61+ведомствен.2013!G769)+ведомствен.2013!G355</f>
        <v>39636.400000000001</v>
      </c>
    </row>
    <row r="207" spans="1:13" ht="15" hidden="1" customHeight="1">
      <c r="A207" s="95" t="s">
        <v>748</v>
      </c>
      <c r="B207" s="138"/>
      <c r="C207" s="138" t="s">
        <v>191</v>
      </c>
      <c r="D207" s="138" t="s">
        <v>193</v>
      </c>
      <c r="E207" s="142" t="s">
        <v>750</v>
      </c>
      <c r="F207" s="140"/>
      <c r="G207" s="30">
        <f>SUM(G208)</f>
        <v>0</v>
      </c>
      <c r="H207" s="30">
        <f>SUM(H208)</f>
        <v>0</v>
      </c>
      <c r="I207" s="20" t="e">
        <f t="shared" si="6"/>
        <v>#DIV/0!</v>
      </c>
    </row>
    <row r="208" spans="1:13" ht="15" hidden="1" customHeight="1">
      <c r="A208" s="95" t="s">
        <v>945</v>
      </c>
      <c r="B208" s="138"/>
      <c r="C208" s="138" t="s">
        <v>191</v>
      </c>
      <c r="D208" s="138" t="s">
        <v>193</v>
      </c>
      <c r="E208" s="142" t="s">
        <v>750</v>
      </c>
      <c r="F208" s="140" t="s">
        <v>946</v>
      </c>
      <c r="G208" s="30"/>
      <c r="H208" s="30"/>
      <c r="I208" s="20" t="e">
        <f t="shared" si="6"/>
        <v>#DIV/0!</v>
      </c>
    </row>
    <row r="209" spans="1:10" ht="15" hidden="1" customHeight="1">
      <c r="A209" s="95" t="s">
        <v>164</v>
      </c>
      <c r="B209" s="138"/>
      <c r="C209" s="138" t="s">
        <v>191</v>
      </c>
      <c r="D209" s="138" t="s">
        <v>193</v>
      </c>
      <c r="E209" s="142" t="s">
        <v>942</v>
      </c>
      <c r="F209" s="140" t="s">
        <v>165</v>
      </c>
      <c r="G209" s="30"/>
      <c r="H209" s="30"/>
      <c r="I209" s="20" t="e">
        <f t="shared" si="6"/>
        <v>#DIV/0!</v>
      </c>
    </row>
    <row r="210" spans="1:10" ht="72" customHeight="1">
      <c r="A210" s="116" t="s">
        <v>786</v>
      </c>
      <c r="B210" s="138"/>
      <c r="C210" s="138" t="s">
        <v>191</v>
      </c>
      <c r="D210" s="138" t="s">
        <v>193</v>
      </c>
      <c r="E210" s="142" t="s">
        <v>787</v>
      </c>
      <c r="F210" s="140"/>
      <c r="G210" s="30">
        <f>SUM(G211)</f>
        <v>4023</v>
      </c>
      <c r="H210" s="30">
        <f>SUM(H211)</f>
        <v>4022.9</v>
      </c>
      <c r="I210" s="20">
        <f t="shared" si="6"/>
        <v>99.997514292816305</v>
      </c>
    </row>
    <row r="211" spans="1:10" ht="19.5" customHeight="1">
      <c r="A211" s="95" t="s">
        <v>943</v>
      </c>
      <c r="B211" s="138"/>
      <c r="C211" s="138" t="s">
        <v>191</v>
      </c>
      <c r="D211" s="138" t="s">
        <v>193</v>
      </c>
      <c r="E211" s="142" t="s">
        <v>787</v>
      </c>
      <c r="F211" s="140" t="s">
        <v>944</v>
      </c>
      <c r="G211" s="30">
        <v>4023</v>
      </c>
      <c r="H211" s="30">
        <v>4022.9</v>
      </c>
      <c r="I211" s="20">
        <f t="shared" si="6"/>
        <v>99.997514292816305</v>
      </c>
      <c r="J211" s="225">
        <f>SUM(ведомствен.2013!G771)</f>
        <v>4023</v>
      </c>
    </row>
    <row r="212" spans="1:10" ht="15" customHeight="1">
      <c r="A212" s="95" t="s">
        <v>194</v>
      </c>
      <c r="B212" s="138"/>
      <c r="C212" s="138" t="s">
        <v>191</v>
      </c>
      <c r="D212" s="138" t="s">
        <v>193</v>
      </c>
      <c r="E212" s="138" t="s">
        <v>762</v>
      </c>
      <c r="F212" s="139"/>
      <c r="G212" s="30">
        <f>SUM(G215)+G213</f>
        <v>68016.3</v>
      </c>
      <c r="H212" s="30">
        <f>SUM(H215)+H213</f>
        <v>68016.3</v>
      </c>
      <c r="I212" s="20">
        <f t="shared" si="6"/>
        <v>100</v>
      </c>
    </row>
    <row r="213" spans="1:10" ht="15" hidden="1" customHeight="1">
      <c r="A213" s="94" t="s">
        <v>850</v>
      </c>
      <c r="B213" s="163"/>
      <c r="C213" s="163" t="s">
        <v>191</v>
      </c>
      <c r="D213" s="163" t="s">
        <v>193</v>
      </c>
      <c r="E213" s="163" t="s">
        <v>851</v>
      </c>
      <c r="F213" s="164"/>
      <c r="G213" s="204">
        <f>SUM(G214)</f>
        <v>0</v>
      </c>
      <c r="H213" s="204">
        <f>SUM(H214)</f>
        <v>0</v>
      </c>
      <c r="I213" s="20" t="e">
        <f t="shared" si="6"/>
        <v>#DIV/0!</v>
      </c>
    </row>
    <row r="214" spans="1:10" ht="15" hidden="1" customHeight="1">
      <c r="A214" s="94" t="s">
        <v>164</v>
      </c>
      <c r="B214" s="163"/>
      <c r="C214" s="163" t="s">
        <v>191</v>
      </c>
      <c r="D214" s="163" t="s">
        <v>193</v>
      </c>
      <c r="E214" s="163" t="s">
        <v>851</v>
      </c>
      <c r="F214" s="164" t="s">
        <v>165</v>
      </c>
      <c r="G214" s="204"/>
      <c r="H214" s="204"/>
      <c r="I214" s="20" t="e">
        <f t="shared" si="6"/>
        <v>#DIV/0!</v>
      </c>
      <c r="J214" s="225">
        <f>SUM(ведомствен.2013!G1061)</f>
        <v>0</v>
      </c>
    </row>
    <row r="215" spans="1:10" ht="27" customHeight="1">
      <c r="A215" s="95" t="s">
        <v>953</v>
      </c>
      <c r="B215" s="138"/>
      <c r="C215" s="138" t="s">
        <v>191</v>
      </c>
      <c r="D215" s="138" t="s">
        <v>193</v>
      </c>
      <c r="E215" s="138" t="s">
        <v>117</v>
      </c>
      <c r="F215" s="139"/>
      <c r="G215" s="30">
        <f>SUM(G216)+G217+G219</f>
        <v>68016.3</v>
      </c>
      <c r="H215" s="30">
        <f>SUM(H216)+H217+H219</f>
        <v>68016.3</v>
      </c>
      <c r="I215" s="20">
        <f t="shared" si="6"/>
        <v>100</v>
      </c>
    </row>
    <row r="216" spans="1:10" ht="29.25" customHeight="1">
      <c r="A216" s="95" t="s">
        <v>374</v>
      </c>
      <c r="B216" s="138"/>
      <c r="C216" s="138" t="s">
        <v>191</v>
      </c>
      <c r="D216" s="138" t="s">
        <v>193</v>
      </c>
      <c r="E216" s="138" t="s">
        <v>118</v>
      </c>
      <c r="F216" s="139"/>
      <c r="G216" s="30">
        <f>SUM(G222)</f>
        <v>68016.3</v>
      </c>
      <c r="H216" s="30">
        <f>SUM(H222)</f>
        <v>68016.3</v>
      </c>
      <c r="I216" s="20">
        <f t="shared" si="6"/>
        <v>100</v>
      </c>
    </row>
    <row r="217" spans="1:10" ht="57" hidden="1" customHeight="1">
      <c r="A217" s="95" t="s">
        <v>789</v>
      </c>
      <c r="B217" s="138"/>
      <c r="C217" s="138" t="s">
        <v>191</v>
      </c>
      <c r="D217" s="138" t="s">
        <v>193</v>
      </c>
      <c r="E217" s="138" t="s">
        <v>790</v>
      </c>
      <c r="F217" s="139"/>
      <c r="G217" s="30"/>
      <c r="H217" s="30"/>
      <c r="I217" s="20" t="e">
        <f t="shared" si="6"/>
        <v>#DIV/0!</v>
      </c>
    </row>
    <row r="218" spans="1:10" ht="15" hidden="1">
      <c r="A218" s="95" t="s">
        <v>943</v>
      </c>
      <c r="B218" s="138"/>
      <c r="C218" s="138" t="s">
        <v>191</v>
      </c>
      <c r="D218" s="138" t="s">
        <v>193</v>
      </c>
      <c r="E218" s="138" t="s">
        <v>790</v>
      </c>
      <c r="F218" s="139" t="s">
        <v>944</v>
      </c>
      <c r="G218" s="30"/>
      <c r="H218" s="30"/>
      <c r="I218" s="20" t="e">
        <f t="shared" si="6"/>
        <v>#DIV/0!</v>
      </c>
    </row>
    <row r="219" spans="1:10" ht="15" hidden="1" customHeight="1">
      <c r="A219" s="95" t="s">
        <v>164</v>
      </c>
      <c r="B219" s="138"/>
      <c r="C219" s="138" t="s">
        <v>191</v>
      </c>
      <c r="D219" s="138" t="s">
        <v>193</v>
      </c>
      <c r="E219" s="138" t="s">
        <v>788</v>
      </c>
      <c r="F219" s="139" t="s">
        <v>165</v>
      </c>
      <c r="G219" s="30"/>
      <c r="H219" s="30"/>
      <c r="I219" s="20" t="e">
        <f t="shared" si="6"/>
        <v>#DIV/0!</v>
      </c>
    </row>
    <row r="220" spans="1:10" s="105" customFormat="1" ht="28.5" hidden="1" customHeight="1">
      <c r="A220" s="119" t="s">
        <v>922</v>
      </c>
      <c r="B220" s="163"/>
      <c r="C220" s="163" t="s">
        <v>191</v>
      </c>
      <c r="D220" s="163" t="s">
        <v>193</v>
      </c>
      <c r="E220" s="163" t="s">
        <v>575</v>
      </c>
      <c r="F220" s="164"/>
      <c r="G220" s="204">
        <f>SUM(G221)</f>
        <v>0</v>
      </c>
      <c r="H220" s="204">
        <f>SUM(H221)</f>
        <v>0</v>
      </c>
      <c r="I220" s="20" t="e">
        <f t="shared" si="6"/>
        <v>#DIV/0!</v>
      </c>
      <c r="J220" s="231"/>
    </row>
    <row r="221" spans="1:10" s="105" customFormat="1" ht="15" hidden="1" customHeight="1">
      <c r="A221" s="119" t="s">
        <v>923</v>
      </c>
      <c r="B221" s="163"/>
      <c r="C221" s="163" t="s">
        <v>555</v>
      </c>
      <c r="D221" s="163" t="s">
        <v>193</v>
      </c>
      <c r="E221" s="163" t="s">
        <v>577</v>
      </c>
      <c r="F221" s="164"/>
      <c r="G221" s="204">
        <f>SUM(G246)</f>
        <v>0</v>
      </c>
      <c r="H221" s="204">
        <f>SUM(H246)</f>
        <v>0</v>
      </c>
      <c r="I221" s="20" t="e">
        <f t="shared" si="6"/>
        <v>#DIV/0!</v>
      </c>
      <c r="J221" s="231"/>
    </row>
    <row r="222" spans="1:10" s="2" customFormat="1" ht="43.5" customHeight="1">
      <c r="A222" s="99" t="s">
        <v>954</v>
      </c>
      <c r="B222" s="154"/>
      <c r="C222" s="154" t="s">
        <v>191</v>
      </c>
      <c r="D222" s="154" t="s">
        <v>193</v>
      </c>
      <c r="E222" s="154" t="s">
        <v>118</v>
      </c>
      <c r="F222" s="144" t="s">
        <v>51</v>
      </c>
      <c r="G222" s="204">
        <v>68016.3</v>
      </c>
      <c r="H222" s="204">
        <v>68016.3</v>
      </c>
      <c r="I222" s="20">
        <f t="shared" si="6"/>
        <v>100</v>
      </c>
      <c r="J222" s="232">
        <f>SUM(ведомствен.2013!G360)</f>
        <v>68016.3</v>
      </c>
    </row>
    <row r="223" spans="1:10" s="111" customFormat="1" ht="24.75" customHeight="1">
      <c r="A223" s="94" t="s">
        <v>235</v>
      </c>
      <c r="B223" s="142"/>
      <c r="C223" s="142" t="s">
        <v>191</v>
      </c>
      <c r="D223" s="142" t="s">
        <v>603</v>
      </c>
      <c r="E223" s="142"/>
      <c r="F223" s="140"/>
      <c r="G223" s="81">
        <f>SUM(G231+G233+G238+G228+G224+G226)</f>
        <v>278775</v>
      </c>
      <c r="H223" s="81">
        <f>SUM(H231+H233+H238+H228+H224+H226)</f>
        <v>278775</v>
      </c>
      <c r="I223" s="20">
        <f t="shared" si="6"/>
        <v>100</v>
      </c>
      <c r="J223" s="233"/>
    </row>
    <row r="224" spans="1:10" s="22" customFormat="1" ht="28.5">
      <c r="A224" s="147" t="s">
        <v>260</v>
      </c>
      <c r="B224" s="148"/>
      <c r="C224" s="142" t="s">
        <v>191</v>
      </c>
      <c r="D224" s="142" t="s">
        <v>603</v>
      </c>
      <c r="E224" s="148" t="s">
        <v>259</v>
      </c>
      <c r="F224" s="149"/>
      <c r="G224" s="30">
        <f>SUM(G225)</f>
        <v>194355.20000000001</v>
      </c>
      <c r="H224" s="30">
        <f>SUM(H225)</f>
        <v>194355.20000000001</v>
      </c>
      <c r="I224" s="20">
        <f t="shared" si="6"/>
        <v>100</v>
      </c>
      <c r="J224" s="227"/>
    </row>
    <row r="225" spans="1:10" s="22" customFormat="1" ht="14.25" customHeight="1">
      <c r="A225" s="94" t="s">
        <v>164</v>
      </c>
      <c r="B225" s="148"/>
      <c r="C225" s="142" t="s">
        <v>191</v>
      </c>
      <c r="D225" s="142" t="s">
        <v>603</v>
      </c>
      <c r="E225" s="148" t="s">
        <v>259</v>
      </c>
      <c r="F225" s="149" t="s">
        <v>165</v>
      </c>
      <c r="G225" s="30">
        <v>194355.20000000001</v>
      </c>
      <c r="H225" s="30">
        <v>194355.20000000001</v>
      </c>
      <c r="I225" s="20">
        <f t="shared" si="6"/>
        <v>100</v>
      </c>
      <c r="J225" s="227">
        <f>SUM(ведомствен.2013!G364)</f>
        <v>194355.20000000001</v>
      </c>
    </row>
    <row r="226" spans="1:10" s="22" customFormat="1" ht="42.75" hidden="1">
      <c r="A226" s="147" t="s">
        <v>261</v>
      </c>
      <c r="B226" s="148"/>
      <c r="C226" s="142" t="s">
        <v>191</v>
      </c>
      <c r="D226" s="142" t="s">
        <v>603</v>
      </c>
      <c r="E226" s="148" t="s">
        <v>262</v>
      </c>
      <c r="F226" s="149"/>
      <c r="G226" s="30">
        <f>SUM(G227)</f>
        <v>0</v>
      </c>
      <c r="H226" s="30">
        <f>SUM(H227)</f>
        <v>0</v>
      </c>
      <c r="I226" s="20" t="e">
        <f t="shared" si="6"/>
        <v>#DIV/0!</v>
      </c>
      <c r="J226" s="227"/>
    </row>
    <row r="227" spans="1:10" s="22" customFormat="1" ht="15" hidden="1">
      <c r="A227" s="95" t="s">
        <v>164</v>
      </c>
      <c r="B227" s="148"/>
      <c r="C227" s="142" t="s">
        <v>191</v>
      </c>
      <c r="D227" s="142" t="s">
        <v>603</v>
      </c>
      <c r="E227" s="148" t="s">
        <v>262</v>
      </c>
      <c r="F227" s="149" t="s">
        <v>165</v>
      </c>
      <c r="G227" s="30"/>
      <c r="H227" s="30"/>
      <c r="I227" s="20" t="e">
        <f t="shared" si="6"/>
        <v>#DIV/0!</v>
      </c>
      <c r="J227" s="227">
        <f>SUM(ведомствен.2013!G366)</f>
        <v>0</v>
      </c>
    </row>
    <row r="228" spans="1:10" s="111" customFormat="1" ht="43.5" customHeight="1">
      <c r="A228" s="98" t="s">
        <v>4</v>
      </c>
      <c r="B228" s="148"/>
      <c r="C228" s="142" t="s">
        <v>191</v>
      </c>
      <c r="D228" s="142" t="s">
        <v>603</v>
      </c>
      <c r="E228" s="148" t="s">
        <v>5</v>
      </c>
      <c r="F228" s="149"/>
      <c r="G228" s="81">
        <f>SUM(G230+G229)</f>
        <v>83632.099999999991</v>
      </c>
      <c r="H228" s="81">
        <f>SUM(H230+H229)</f>
        <v>83632.099999999991</v>
      </c>
      <c r="I228" s="20">
        <f t="shared" si="6"/>
        <v>100</v>
      </c>
      <c r="J228" s="233"/>
    </row>
    <row r="229" spans="1:10" s="111" customFormat="1" ht="19.5" customHeight="1">
      <c r="A229" s="95" t="s">
        <v>207</v>
      </c>
      <c r="B229" s="148"/>
      <c r="C229" s="142" t="s">
        <v>191</v>
      </c>
      <c r="D229" s="142" t="s">
        <v>603</v>
      </c>
      <c r="E229" s="148" t="s">
        <v>5</v>
      </c>
      <c r="F229" s="149" t="s">
        <v>208</v>
      </c>
      <c r="G229" s="81">
        <v>400.9</v>
      </c>
      <c r="H229" s="81">
        <v>400.9</v>
      </c>
      <c r="I229" s="20">
        <f t="shared" si="6"/>
        <v>100</v>
      </c>
      <c r="J229" s="233">
        <f>SUM(ведомствен.2013!G368)</f>
        <v>400.9</v>
      </c>
    </row>
    <row r="230" spans="1:10" s="111" customFormat="1" ht="19.5" customHeight="1">
      <c r="A230" s="95" t="s">
        <v>164</v>
      </c>
      <c r="B230" s="148"/>
      <c r="C230" s="142" t="s">
        <v>191</v>
      </c>
      <c r="D230" s="142" t="s">
        <v>603</v>
      </c>
      <c r="E230" s="148" t="s">
        <v>5</v>
      </c>
      <c r="F230" s="149" t="s">
        <v>165</v>
      </c>
      <c r="G230" s="81">
        <v>83231.199999999997</v>
      </c>
      <c r="H230" s="81">
        <v>83231.199999999997</v>
      </c>
      <c r="I230" s="20">
        <f t="shared" si="6"/>
        <v>100</v>
      </c>
      <c r="J230" s="233">
        <f>SUM(ведомствен.2013!G369)</f>
        <v>83231.199999999997</v>
      </c>
    </row>
    <row r="231" spans="1:10" s="111" customFormat="1" ht="28.5" hidden="1" customHeight="1">
      <c r="A231" s="118" t="s">
        <v>791</v>
      </c>
      <c r="B231" s="142"/>
      <c r="C231" s="142" t="s">
        <v>191</v>
      </c>
      <c r="D231" s="142" t="s">
        <v>749</v>
      </c>
      <c r="E231" s="142" t="s">
        <v>792</v>
      </c>
      <c r="F231" s="140"/>
      <c r="G231" s="81">
        <f>SUM(G232)</f>
        <v>0</v>
      </c>
      <c r="H231" s="81">
        <f>SUM(H232)</f>
        <v>0</v>
      </c>
      <c r="I231" s="20" t="e">
        <f t="shared" si="6"/>
        <v>#DIV/0!</v>
      </c>
      <c r="J231" s="233"/>
    </row>
    <row r="232" spans="1:10" s="111" customFormat="1" ht="15" hidden="1" customHeight="1">
      <c r="A232" s="95" t="s">
        <v>164</v>
      </c>
      <c r="B232" s="142"/>
      <c r="C232" s="142" t="s">
        <v>191</v>
      </c>
      <c r="D232" s="142" t="s">
        <v>749</v>
      </c>
      <c r="E232" s="142" t="s">
        <v>792</v>
      </c>
      <c r="F232" s="140" t="s">
        <v>165</v>
      </c>
      <c r="G232" s="81">
        <f>5050-2000-3050</f>
        <v>0</v>
      </c>
      <c r="H232" s="81">
        <f>5050-2000-3050</f>
        <v>0</v>
      </c>
      <c r="I232" s="20" t="e">
        <f t="shared" si="6"/>
        <v>#DIV/0!</v>
      </c>
      <c r="J232" s="233"/>
    </row>
    <row r="233" spans="1:10" s="111" customFormat="1" ht="28.5" hidden="1" customHeight="1">
      <c r="A233" s="95" t="s">
        <v>767</v>
      </c>
      <c r="B233" s="138"/>
      <c r="C233" s="142" t="s">
        <v>191</v>
      </c>
      <c r="D233" s="142" t="s">
        <v>749</v>
      </c>
      <c r="E233" s="138" t="s">
        <v>768</v>
      </c>
      <c r="F233" s="140"/>
      <c r="G233" s="81">
        <f>SUM(G234)</f>
        <v>0</v>
      </c>
      <c r="H233" s="81">
        <f>SUM(H234)</f>
        <v>0</v>
      </c>
      <c r="I233" s="20" t="e">
        <f t="shared" si="6"/>
        <v>#DIV/0!</v>
      </c>
      <c r="J233" s="233"/>
    </row>
    <row r="234" spans="1:10" s="111" customFormat="1" ht="15" hidden="1" customHeight="1">
      <c r="A234" s="95" t="s">
        <v>793</v>
      </c>
      <c r="B234" s="138"/>
      <c r="C234" s="142" t="s">
        <v>191</v>
      </c>
      <c r="D234" s="142" t="s">
        <v>749</v>
      </c>
      <c r="E234" s="138" t="s">
        <v>794</v>
      </c>
      <c r="F234" s="140"/>
      <c r="G234" s="81">
        <f>SUM(G235)</f>
        <v>0</v>
      </c>
      <c r="H234" s="81">
        <f>SUM(H235)</f>
        <v>0</v>
      </c>
      <c r="I234" s="20" t="e">
        <f t="shared" si="6"/>
        <v>#DIV/0!</v>
      </c>
      <c r="J234" s="233"/>
    </row>
    <row r="235" spans="1:10" s="111" customFormat="1" ht="15" hidden="1" customHeight="1">
      <c r="A235" s="95" t="s">
        <v>164</v>
      </c>
      <c r="B235" s="138"/>
      <c r="C235" s="142" t="s">
        <v>191</v>
      </c>
      <c r="D235" s="142" t="s">
        <v>749</v>
      </c>
      <c r="E235" s="138" t="s">
        <v>794</v>
      </c>
      <c r="F235" s="140" t="s">
        <v>165</v>
      </c>
      <c r="G235" s="81"/>
      <c r="H235" s="81"/>
      <c r="I235" s="20" t="e">
        <f t="shared" si="6"/>
        <v>#DIV/0!</v>
      </c>
      <c r="J235" s="233"/>
    </row>
    <row r="236" spans="1:10" s="111" customFormat="1" ht="28.5" hidden="1" customHeight="1">
      <c r="A236" s="95" t="s">
        <v>767</v>
      </c>
      <c r="B236" s="138"/>
      <c r="C236" s="142" t="s">
        <v>191</v>
      </c>
      <c r="D236" s="142" t="s">
        <v>749</v>
      </c>
      <c r="E236" s="138" t="s">
        <v>768</v>
      </c>
      <c r="F236" s="140"/>
      <c r="G236" s="81">
        <f>SUM(G237)</f>
        <v>0</v>
      </c>
      <c r="H236" s="81">
        <f>SUM(H237)</f>
        <v>0</v>
      </c>
      <c r="I236" s="20" t="e">
        <f t="shared" si="6"/>
        <v>#DIV/0!</v>
      </c>
      <c r="J236" s="233"/>
    </row>
    <row r="237" spans="1:10" s="111" customFormat="1" ht="15" hidden="1" customHeight="1">
      <c r="A237" s="95" t="s">
        <v>793</v>
      </c>
      <c r="B237" s="138"/>
      <c r="C237" s="142" t="s">
        <v>191</v>
      </c>
      <c r="D237" s="142" t="s">
        <v>749</v>
      </c>
      <c r="E237" s="138" t="s">
        <v>768</v>
      </c>
      <c r="F237" s="140" t="s">
        <v>781</v>
      </c>
      <c r="G237" s="81"/>
      <c r="H237" s="81"/>
      <c r="I237" s="20" t="e">
        <f t="shared" si="6"/>
        <v>#DIV/0!</v>
      </c>
      <c r="J237" s="233"/>
    </row>
    <row r="238" spans="1:10" s="111" customFormat="1" ht="24.75" customHeight="1">
      <c r="A238" s="95" t="s">
        <v>200</v>
      </c>
      <c r="B238" s="138"/>
      <c r="C238" s="142" t="s">
        <v>191</v>
      </c>
      <c r="D238" s="142" t="s">
        <v>603</v>
      </c>
      <c r="E238" s="138" t="s">
        <v>201</v>
      </c>
      <c r="F238" s="140"/>
      <c r="G238" s="81">
        <f>SUM(G241)+G239</f>
        <v>787.7</v>
      </c>
      <c r="H238" s="81">
        <f>SUM(H241)+H239</f>
        <v>787.7</v>
      </c>
      <c r="I238" s="20">
        <f t="shared" si="6"/>
        <v>100</v>
      </c>
      <c r="J238" s="233"/>
    </row>
    <row r="239" spans="1:10" s="111" customFormat="1" ht="42.75" customHeight="1">
      <c r="A239" s="95" t="s">
        <v>857</v>
      </c>
      <c r="B239" s="138"/>
      <c r="C239" s="142" t="s">
        <v>191</v>
      </c>
      <c r="D239" s="142" t="s">
        <v>603</v>
      </c>
      <c r="E239" s="138" t="s">
        <v>859</v>
      </c>
      <c r="F239" s="140"/>
      <c r="G239" s="81">
        <f>SUM(G240)</f>
        <v>395.2</v>
      </c>
      <c r="H239" s="81">
        <f>SUM(H240)</f>
        <v>395.2</v>
      </c>
      <c r="I239" s="20">
        <f t="shared" si="6"/>
        <v>100</v>
      </c>
      <c r="J239" s="233"/>
    </row>
    <row r="240" spans="1:10" s="111" customFormat="1" ht="24.75" customHeight="1">
      <c r="A240" s="95" t="s">
        <v>164</v>
      </c>
      <c r="B240" s="138"/>
      <c r="C240" s="142" t="s">
        <v>191</v>
      </c>
      <c r="D240" s="142" t="s">
        <v>603</v>
      </c>
      <c r="E240" s="138" t="s">
        <v>859</v>
      </c>
      <c r="F240" s="140" t="s">
        <v>165</v>
      </c>
      <c r="G240" s="81">
        <v>395.2</v>
      </c>
      <c r="H240" s="81">
        <v>395.2</v>
      </c>
      <c r="I240" s="20">
        <f t="shared" si="6"/>
        <v>100</v>
      </c>
      <c r="J240" s="233">
        <f>SUM(ведомствен.2013!G372)</f>
        <v>395.2</v>
      </c>
    </row>
    <row r="241" spans="1:11" s="111" customFormat="1" ht="43.5" customHeight="1">
      <c r="A241" s="95" t="s">
        <v>858</v>
      </c>
      <c r="B241" s="138"/>
      <c r="C241" s="142" t="s">
        <v>191</v>
      </c>
      <c r="D241" s="142" t="s">
        <v>603</v>
      </c>
      <c r="E241" s="138" t="s">
        <v>236</v>
      </c>
      <c r="F241" s="140"/>
      <c r="G241" s="81">
        <f>SUM(G242)</f>
        <v>392.5</v>
      </c>
      <c r="H241" s="81">
        <f>SUM(H242)</f>
        <v>392.5</v>
      </c>
      <c r="I241" s="20">
        <f t="shared" si="6"/>
        <v>100</v>
      </c>
      <c r="J241" s="233"/>
    </row>
    <row r="242" spans="1:11" s="111" customFormat="1" ht="20.25" customHeight="1">
      <c r="A242" s="95" t="s">
        <v>164</v>
      </c>
      <c r="B242" s="142"/>
      <c r="C242" s="142" t="s">
        <v>191</v>
      </c>
      <c r="D242" s="142" t="s">
        <v>603</v>
      </c>
      <c r="E242" s="138" t="s">
        <v>236</v>
      </c>
      <c r="F242" s="140" t="s">
        <v>165</v>
      </c>
      <c r="G242" s="82">
        <v>392.5</v>
      </c>
      <c r="H242" s="82">
        <v>392.5</v>
      </c>
      <c r="I242" s="20">
        <f t="shared" si="6"/>
        <v>100</v>
      </c>
      <c r="J242" s="233">
        <f>SUM(ведомствен.2013!G374)</f>
        <v>392.5</v>
      </c>
    </row>
    <row r="243" spans="1:11" s="2" customFormat="1" ht="15" hidden="1" customHeight="1">
      <c r="A243" s="99"/>
      <c r="B243" s="154"/>
      <c r="C243" s="154"/>
      <c r="D243" s="154"/>
      <c r="E243" s="154"/>
      <c r="F243" s="144"/>
      <c r="G243" s="204"/>
      <c r="H243" s="204"/>
      <c r="I243" s="20" t="e">
        <f t="shared" si="6"/>
        <v>#DIV/0!</v>
      </c>
      <c r="J243" s="232"/>
    </row>
    <row r="244" spans="1:11" s="2" customFormat="1" ht="15" hidden="1" customHeight="1">
      <c r="A244" s="99"/>
      <c r="B244" s="154"/>
      <c r="C244" s="154"/>
      <c r="D244" s="154"/>
      <c r="E244" s="154"/>
      <c r="F244" s="144"/>
      <c r="G244" s="204"/>
      <c r="H244" s="204"/>
      <c r="I244" s="20" t="e">
        <f t="shared" si="6"/>
        <v>#DIV/0!</v>
      </c>
      <c r="J244" s="232"/>
    </row>
    <row r="245" spans="1:11" s="2" customFormat="1" ht="15" hidden="1" customHeight="1">
      <c r="A245" s="99"/>
      <c r="B245" s="154"/>
      <c r="C245" s="154"/>
      <c r="D245" s="154"/>
      <c r="E245" s="154"/>
      <c r="F245" s="144"/>
      <c r="G245" s="204"/>
      <c r="H245" s="204"/>
      <c r="I245" s="20" t="e">
        <f t="shared" si="6"/>
        <v>#DIV/0!</v>
      </c>
      <c r="J245" s="232"/>
    </row>
    <row r="246" spans="1:11" s="105" customFormat="1" ht="15" hidden="1">
      <c r="A246" s="95" t="s">
        <v>943</v>
      </c>
      <c r="B246" s="163"/>
      <c r="C246" s="163" t="s">
        <v>191</v>
      </c>
      <c r="D246" s="163" t="s">
        <v>193</v>
      </c>
      <c r="E246" s="163" t="s">
        <v>577</v>
      </c>
      <c r="F246" s="164" t="s">
        <v>944</v>
      </c>
      <c r="G246" s="204"/>
      <c r="H246" s="204"/>
      <c r="I246" s="20" t="e">
        <f t="shared" si="6"/>
        <v>#DIV/0!</v>
      </c>
      <c r="J246" s="231"/>
    </row>
    <row r="247" spans="1:11" ht="14.25" customHeight="1">
      <c r="A247" s="94" t="s">
        <v>765</v>
      </c>
      <c r="B247" s="142"/>
      <c r="C247" s="142" t="s">
        <v>191</v>
      </c>
      <c r="D247" s="142" t="s">
        <v>749</v>
      </c>
      <c r="E247" s="142"/>
      <c r="F247" s="140"/>
      <c r="G247" s="30">
        <f>SUM(G248+G253+G265)+G261+G259</f>
        <v>22323.4</v>
      </c>
      <c r="H247" s="30">
        <f>SUM(H248+H253+H265)+H261+H259</f>
        <v>22128.400000000001</v>
      </c>
      <c r="I247" s="20">
        <f t="shared" si="6"/>
        <v>99.126477149538147</v>
      </c>
    </row>
    <row r="248" spans="1:11" ht="28.5" customHeight="1">
      <c r="A248" s="95" t="s">
        <v>175</v>
      </c>
      <c r="B248" s="142"/>
      <c r="C248" s="142" t="s">
        <v>191</v>
      </c>
      <c r="D248" s="142" t="s">
        <v>749</v>
      </c>
      <c r="E248" s="138" t="s">
        <v>176</v>
      </c>
      <c r="F248" s="140"/>
      <c r="G248" s="81">
        <f>SUM(G250)</f>
        <v>1776.7</v>
      </c>
      <c r="H248" s="81">
        <f>SUM(H250)</f>
        <v>1776.7</v>
      </c>
      <c r="I248" s="20">
        <f t="shared" si="6"/>
        <v>100</v>
      </c>
    </row>
    <row r="249" spans="1:11" ht="18.75" customHeight="1">
      <c r="A249" s="95" t="s">
        <v>1020</v>
      </c>
      <c r="B249" s="142"/>
      <c r="C249" s="142" t="s">
        <v>191</v>
      </c>
      <c r="D249" s="142" t="s">
        <v>749</v>
      </c>
      <c r="E249" s="138" t="s">
        <v>1021</v>
      </c>
      <c r="F249" s="140"/>
      <c r="G249" s="81">
        <f>SUM(G250)</f>
        <v>1776.7</v>
      </c>
      <c r="H249" s="81">
        <f>SUM(H250)</f>
        <v>1776.7</v>
      </c>
      <c r="I249" s="20">
        <f t="shared" si="6"/>
        <v>100</v>
      </c>
    </row>
    <row r="250" spans="1:11" s="28" customFormat="1" ht="19.5" customHeight="1">
      <c r="A250" s="95" t="s">
        <v>164</v>
      </c>
      <c r="B250" s="142"/>
      <c r="C250" s="142" t="s">
        <v>191</v>
      </c>
      <c r="D250" s="142" t="s">
        <v>749</v>
      </c>
      <c r="E250" s="138" t="s">
        <v>1021</v>
      </c>
      <c r="F250" s="140" t="s">
        <v>165</v>
      </c>
      <c r="G250" s="81">
        <v>1776.7</v>
      </c>
      <c r="H250" s="81">
        <v>1776.7</v>
      </c>
      <c r="I250" s="20">
        <f t="shared" si="6"/>
        <v>100</v>
      </c>
      <c r="J250" s="230">
        <f>SUM(ведомствен.2013!G378)</f>
        <v>1776.7</v>
      </c>
    </row>
    <row r="251" spans="1:11" s="28" customFormat="1" ht="28.5" hidden="1" customHeight="1">
      <c r="A251" s="95" t="s">
        <v>374</v>
      </c>
      <c r="B251" s="138"/>
      <c r="C251" s="142" t="s">
        <v>191</v>
      </c>
      <c r="D251" s="142" t="s">
        <v>749</v>
      </c>
      <c r="E251" s="138" t="s">
        <v>952</v>
      </c>
      <c r="F251" s="140"/>
      <c r="G251" s="30">
        <f>SUM(G252)</f>
        <v>0</v>
      </c>
      <c r="H251" s="30">
        <f>SUM(H252)</f>
        <v>0</v>
      </c>
      <c r="I251" s="20" t="e">
        <f t="shared" ref="I251:I314" si="7">SUM(H251/G251*100)</f>
        <v>#DIV/0!</v>
      </c>
      <c r="J251" s="230"/>
    </row>
    <row r="252" spans="1:11" s="28" customFormat="1" ht="42.75" hidden="1" customHeight="1">
      <c r="A252" s="95" t="s">
        <v>954</v>
      </c>
      <c r="B252" s="138"/>
      <c r="C252" s="142" t="s">
        <v>191</v>
      </c>
      <c r="D252" s="142" t="s">
        <v>749</v>
      </c>
      <c r="E252" s="138" t="s">
        <v>952</v>
      </c>
      <c r="F252" s="140" t="s">
        <v>51</v>
      </c>
      <c r="G252" s="30"/>
      <c r="H252" s="30"/>
      <c r="I252" s="20" t="e">
        <f t="shared" si="7"/>
        <v>#DIV/0!</v>
      </c>
      <c r="J252" s="225">
        <f>SUM(ведомствен.2013!G383)</f>
        <v>0</v>
      </c>
    </row>
    <row r="253" spans="1:11" ht="28.5">
      <c r="A253" s="95" t="s">
        <v>767</v>
      </c>
      <c r="B253" s="138"/>
      <c r="C253" s="142" t="s">
        <v>191</v>
      </c>
      <c r="D253" s="142" t="s">
        <v>749</v>
      </c>
      <c r="E253" s="138" t="s">
        <v>768</v>
      </c>
      <c r="F253" s="140"/>
      <c r="G253" s="30">
        <f>SUM(G254)+G256</f>
        <v>9548.2999999999993</v>
      </c>
      <c r="H253" s="30">
        <f>SUM(H254)+H256</f>
        <v>9548.2999999999993</v>
      </c>
      <c r="I253" s="20">
        <f t="shared" si="7"/>
        <v>100</v>
      </c>
    </row>
    <row r="254" spans="1:11" ht="18" customHeight="1">
      <c r="A254" s="95" t="s">
        <v>793</v>
      </c>
      <c r="B254" s="138"/>
      <c r="C254" s="142" t="s">
        <v>191</v>
      </c>
      <c r="D254" s="142" t="s">
        <v>749</v>
      </c>
      <c r="E254" s="138" t="s">
        <v>794</v>
      </c>
      <c r="F254" s="140"/>
      <c r="G254" s="30">
        <f>SUM(G255)</f>
        <v>2868.9</v>
      </c>
      <c r="H254" s="30">
        <f>SUM(H255)</f>
        <v>2868.9</v>
      </c>
      <c r="I254" s="20">
        <f t="shared" si="7"/>
        <v>100</v>
      </c>
    </row>
    <row r="255" spans="1:11" ht="15.75" customHeight="1">
      <c r="A255" s="95" t="s">
        <v>164</v>
      </c>
      <c r="B255" s="138"/>
      <c r="C255" s="142" t="s">
        <v>191</v>
      </c>
      <c r="D255" s="142" t="s">
        <v>749</v>
      </c>
      <c r="E255" s="138" t="s">
        <v>794</v>
      </c>
      <c r="F255" s="140" t="s">
        <v>165</v>
      </c>
      <c r="G255" s="30">
        <v>2868.9</v>
      </c>
      <c r="H255" s="30">
        <v>2868.9</v>
      </c>
      <c r="I255" s="20">
        <f t="shared" si="7"/>
        <v>100</v>
      </c>
      <c r="J255" s="225">
        <f>SUM(ведомствен.2013!G386)</f>
        <v>2868.9</v>
      </c>
      <c r="K255" s="80"/>
    </row>
    <row r="256" spans="1:11" s="28" customFormat="1" ht="15">
      <c r="A256" s="95" t="s">
        <v>47</v>
      </c>
      <c r="B256" s="138"/>
      <c r="C256" s="142" t="s">
        <v>191</v>
      </c>
      <c r="D256" s="142" t="s">
        <v>749</v>
      </c>
      <c r="E256" s="138" t="s">
        <v>981</v>
      </c>
      <c r="F256" s="140"/>
      <c r="G256" s="81">
        <f>SUM(G257)</f>
        <v>6679.4</v>
      </c>
      <c r="H256" s="81">
        <f>SUM(H257)</f>
        <v>6679.4</v>
      </c>
      <c r="I256" s="20">
        <f t="shared" si="7"/>
        <v>100</v>
      </c>
    </row>
    <row r="257" spans="1:11" s="28" customFormat="1" ht="34.5" customHeight="1">
      <c r="A257" s="95" t="s">
        <v>374</v>
      </c>
      <c r="B257" s="138"/>
      <c r="C257" s="142" t="s">
        <v>191</v>
      </c>
      <c r="D257" s="142" t="s">
        <v>749</v>
      </c>
      <c r="E257" s="138" t="s">
        <v>982</v>
      </c>
      <c r="F257" s="140"/>
      <c r="G257" s="81">
        <f>SUM(G258)</f>
        <v>6679.4</v>
      </c>
      <c r="H257" s="81">
        <f>SUM(H258)</f>
        <v>6679.4</v>
      </c>
      <c r="I257" s="20">
        <f t="shared" si="7"/>
        <v>100</v>
      </c>
    </row>
    <row r="258" spans="1:11" s="28" customFormat="1" ht="49.5" customHeight="1">
      <c r="A258" s="95" t="s">
        <v>954</v>
      </c>
      <c r="B258" s="138"/>
      <c r="C258" s="142" t="s">
        <v>191</v>
      </c>
      <c r="D258" s="142" t="s">
        <v>749</v>
      </c>
      <c r="E258" s="138" t="s">
        <v>982</v>
      </c>
      <c r="F258" s="140" t="s">
        <v>51</v>
      </c>
      <c r="G258" s="81">
        <v>6679.4</v>
      </c>
      <c r="H258" s="81">
        <v>6679.4</v>
      </c>
      <c r="I258" s="20">
        <f t="shared" si="7"/>
        <v>100</v>
      </c>
      <c r="J258" s="28">
        <f>SUM(ведомствен.2013!G389)</f>
        <v>6679.4</v>
      </c>
    </row>
    <row r="259" spans="1:11" s="28" customFormat="1" ht="42.75">
      <c r="A259" s="95" t="s">
        <v>1120</v>
      </c>
      <c r="B259" s="138"/>
      <c r="C259" s="142" t="s">
        <v>191</v>
      </c>
      <c r="D259" s="142" t="s">
        <v>749</v>
      </c>
      <c r="E259" s="138" t="s">
        <v>1119</v>
      </c>
      <c r="F259" s="140"/>
      <c r="G259" s="81">
        <f>SUM(G260)</f>
        <v>3000</v>
      </c>
      <c r="H259" s="81">
        <f>SUM(H260)</f>
        <v>3000</v>
      </c>
      <c r="I259" s="20">
        <f t="shared" si="7"/>
        <v>100</v>
      </c>
    </row>
    <row r="260" spans="1:11" s="28" customFormat="1" ht="15">
      <c r="A260" s="95" t="s">
        <v>164</v>
      </c>
      <c r="B260" s="138"/>
      <c r="C260" s="142" t="s">
        <v>191</v>
      </c>
      <c r="D260" s="142" t="s">
        <v>749</v>
      </c>
      <c r="E260" s="138" t="s">
        <v>1119</v>
      </c>
      <c r="F260" s="140" t="s">
        <v>165</v>
      </c>
      <c r="G260" s="81">
        <v>3000</v>
      </c>
      <c r="H260" s="81">
        <v>3000</v>
      </c>
      <c r="I260" s="20">
        <f t="shared" si="7"/>
        <v>100</v>
      </c>
      <c r="J260" s="28">
        <f>SUM(ведомствен.2013!G391)</f>
        <v>3000</v>
      </c>
    </row>
    <row r="261" spans="1:11" ht="15.75" customHeight="1">
      <c r="A261" s="99" t="s">
        <v>932</v>
      </c>
      <c r="B261" s="155"/>
      <c r="C261" s="142" t="s">
        <v>191</v>
      </c>
      <c r="D261" s="142" t="s">
        <v>749</v>
      </c>
      <c r="E261" s="155" t="s">
        <v>933</v>
      </c>
      <c r="F261" s="140"/>
      <c r="G261" s="30">
        <f t="shared" ref="G261:H263" si="8">SUM(G262)</f>
        <v>1100</v>
      </c>
      <c r="H261" s="30">
        <f t="shared" si="8"/>
        <v>910</v>
      </c>
      <c r="I261" s="20">
        <f t="shared" si="7"/>
        <v>82.727272727272734</v>
      </c>
      <c r="K261" s="80"/>
    </row>
    <row r="262" spans="1:11" ht="15.75" customHeight="1">
      <c r="A262" s="94" t="s">
        <v>825</v>
      </c>
      <c r="B262" s="155"/>
      <c r="C262" s="142" t="s">
        <v>191</v>
      </c>
      <c r="D262" s="142" t="s">
        <v>749</v>
      </c>
      <c r="E262" s="155" t="s">
        <v>826</v>
      </c>
      <c r="F262" s="140"/>
      <c r="G262" s="30">
        <f t="shared" si="8"/>
        <v>1100</v>
      </c>
      <c r="H262" s="30">
        <f t="shared" si="8"/>
        <v>910</v>
      </c>
      <c r="I262" s="20">
        <f t="shared" si="7"/>
        <v>82.727272727272734</v>
      </c>
      <c r="K262" s="80"/>
    </row>
    <row r="263" spans="1:11" ht="57.75" customHeight="1">
      <c r="A263" s="99" t="s">
        <v>405</v>
      </c>
      <c r="B263" s="142"/>
      <c r="C263" s="142" t="s">
        <v>191</v>
      </c>
      <c r="D263" s="142" t="s">
        <v>749</v>
      </c>
      <c r="E263" s="155" t="s">
        <v>75</v>
      </c>
      <c r="F263" s="140"/>
      <c r="G263" s="30">
        <f t="shared" si="8"/>
        <v>1100</v>
      </c>
      <c r="H263" s="30">
        <f t="shared" si="8"/>
        <v>910</v>
      </c>
      <c r="I263" s="20">
        <f t="shared" si="7"/>
        <v>82.727272727272734</v>
      </c>
    </row>
    <row r="264" spans="1:11" ht="15" customHeight="1">
      <c r="A264" s="95" t="s">
        <v>164</v>
      </c>
      <c r="B264" s="142"/>
      <c r="C264" s="142" t="s">
        <v>191</v>
      </c>
      <c r="D264" s="142" t="s">
        <v>749</v>
      </c>
      <c r="E264" s="155" t="s">
        <v>75</v>
      </c>
      <c r="F264" s="140" t="s">
        <v>165</v>
      </c>
      <c r="G264" s="30">
        <v>1100</v>
      </c>
      <c r="H264" s="30">
        <v>910</v>
      </c>
      <c r="I264" s="20">
        <f t="shared" si="7"/>
        <v>82.727272727272734</v>
      </c>
      <c r="J264" s="225">
        <f>SUM(ведомствен.2013!G395)</f>
        <v>1100</v>
      </c>
    </row>
    <row r="265" spans="1:11" ht="22.5" customHeight="1">
      <c r="A265" s="95" t="s">
        <v>200</v>
      </c>
      <c r="B265" s="138"/>
      <c r="C265" s="142" t="s">
        <v>191</v>
      </c>
      <c r="D265" s="142" t="s">
        <v>749</v>
      </c>
      <c r="E265" s="138" t="s">
        <v>201</v>
      </c>
      <c r="F265" s="140"/>
      <c r="G265" s="30">
        <f>SUM(G266,G273)+G268+G270</f>
        <v>6898.4</v>
      </c>
      <c r="H265" s="30">
        <f>SUM(H266,H273)+H268+H270</f>
        <v>6893.4</v>
      </c>
      <c r="I265" s="20">
        <f t="shared" si="7"/>
        <v>99.927519424794156</v>
      </c>
    </row>
    <row r="266" spans="1:11" ht="42" customHeight="1">
      <c r="A266" s="113" t="s">
        <v>898</v>
      </c>
      <c r="B266" s="138"/>
      <c r="C266" s="142" t="s">
        <v>191</v>
      </c>
      <c r="D266" s="142" t="s">
        <v>749</v>
      </c>
      <c r="E266" s="138" t="s">
        <v>795</v>
      </c>
      <c r="F266" s="140"/>
      <c r="G266" s="30">
        <f>SUM(G267)</f>
        <v>1000</v>
      </c>
      <c r="H266" s="30">
        <f>SUM(H267)</f>
        <v>1000</v>
      </c>
      <c r="I266" s="20">
        <f t="shared" si="7"/>
        <v>100</v>
      </c>
    </row>
    <row r="267" spans="1:11" ht="23.25" customHeight="1">
      <c r="A267" s="95" t="s">
        <v>164</v>
      </c>
      <c r="B267" s="142"/>
      <c r="C267" s="142" t="s">
        <v>191</v>
      </c>
      <c r="D267" s="142" t="s">
        <v>749</v>
      </c>
      <c r="E267" s="138" t="s">
        <v>795</v>
      </c>
      <c r="F267" s="140" t="s">
        <v>165</v>
      </c>
      <c r="G267" s="204">
        <v>1000</v>
      </c>
      <c r="H267" s="204">
        <v>1000</v>
      </c>
      <c r="I267" s="20">
        <f t="shared" si="7"/>
        <v>100</v>
      </c>
      <c r="J267" s="225">
        <f>SUM(ведомствен.2013!G398)</f>
        <v>1000</v>
      </c>
    </row>
    <row r="268" spans="1:11" s="28" customFormat="1" ht="30.75" customHeight="1">
      <c r="A268" s="95" t="s">
        <v>1044</v>
      </c>
      <c r="B268" s="142"/>
      <c r="C268" s="142" t="s">
        <v>191</v>
      </c>
      <c r="D268" s="142" t="s">
        <v>749</v>
      </c>
      <c r="E268" s="138" t="s">
        <v>226</v>
      </c>
      <c r="F268" s="140"/>
      <c r="G268" s="204">
        <f>SUM(G269)</f>
        <v>185</v>
      </c>
      <c r="H268" s="204">
        <f>SUM(H269)</f>
        <v>185</v>
      </c>
      <c r="I268" s="20">
        <f t="shared" si="7"/>
        <v>100</v>
      </c>
      <c r="J268" s="230"/>
    </row>
    <row r="269" spans="1:11" s="28" customFormat="1" ht="18" customHeight="1">
      <c r="A269" s="95" t="s">
        <v>207</v>
      </c>
      <c r="B269" s="142"/>
      <c r="C269" s="142" t="s">
        <v>191</v>
      </c>
      <c r="D269" s="142" t="s">
        <v>749</v>
      </c>
      <c r="E269" s="138" t="s">
        <v>226</v>
      </c>
      <c r="F269" s="140" t="s">
        <v>208</v>
      </c>
      <c r="G269" s="204">
        <v>185</v>
      </c>
      <c r="H269" s="204">
        <v>185</v>
      </c>
      <c r="I269" s="20">
        <f t="shared" si="7"/>
        <v>100</v>
      </c>
      <c r="J269" s="230">
        <f>SUM(ведомствен.2013!G400)</f>
        <v>185</v>
      </c>
    </row>
    <row r="270" spans="1:11" s="28" customFormat="1" ht="43.5" customHeight="1">
      <c r="A270" s="94" t="s">
        <v>1027</v>
      </c>
      <c r="B270" s="142"/>
      <c r="C270" s="142" t="s">
        <v>191</v>
      </c>
      <c r="D270" s="142" t="s">
        <v>749</v>
      </c>
      <c r="E270" s="138" t="s">
        <v>28</v>
      </c>
      <c r="F270" s="140"/>
      <c r="G270" s="204">
        <f>SUM(G271)</f>
        <v>5</v>
      </c>
      <c r="H270" s="204">
        <f>SUM(H271)</f>
        <v>0</v>
      </c>
      <c r="I270" s="20">
        <f t="shared" si="7"/>
        <v>0</v>
      </c>
      <c r="J270" s="230"/>
    </row>
    <row r="271" spans="1:11" s="28" customFormat="1" ht="38.25" customHeight="1">
      <c r="A271" s="113" t="s">
        <v>74</v>
      </c>
      <c r="B271" s="142"/>
      <c r="C271" s="142" t="s">
        <v>191</v>
      </c>
      <c r="D271" s="142" t="s">
        <v>749</v>
      </c>
      <c r="E271" s="138" t="s">
        <v>796</v>
      </c>
      <c r="F271" s="140"/>
      <c r="G271" s="204">
        <f>SUM(G272)</f>
        <v>5</v>
      </c>
      <c r="H271" s="204">
        <f>SUM(H272)</f>
        <v>0</v>
      </c>
      <c r="I271" s="20">
        <f t="shared" si="7"/>
        <v>0</v>
      </c>
      <c r="J271" s="230"/>
    </row>
    <row r="272" spans="1:11" s="28" customFormat="1" ht="21" customHeight="1">
      <c r="A272" s="95" t="s">
        <v>164</v>
      </c>
      <c r="B272" s="142"/>
      <c r="C272" s="142" t="s">
        <v>191</v>
      </c>
      <c r="D272" s="142" t="s">
        <v>749</v>
      </c>
      <c r="E272" s="138" t="s">
        <v>796</v>
      </c>
      <c r="F272" s="140" t="s">
        <v>165</v>
      </c>
      <c r="G272" s="204">
        <v>5</v>
      </c>
      <c r="H272" s="204"/>
      <c r="I272" s="20">
        <f t="shared" si="7"/>
        <v>0</v>
      </c>
      <c r="J272" s="230">
        <f>SUM(ведомствен.2013!G402)</f>
        <v>5</v>
      </c>
    </row>
    <row r="273" spans="1:13" ht="29.25" customHeight="1">
      <c r="A273" s="95" t="s">
        <v>628</v>
      </c>
      <c r="B273" s="142"/>
      <c r="C273" s="142" t="s">
        <v>191</v>
      </c>
      <c r="D273" s="142" t="s">
        <v>749</v>
      </c>
      <c r="E273" s="138" t="s">
        <v>41</v>
      </c>
      <c r="F273" s="140"/>
      <c r="G273" s="30">
        <f>SUM(G274)</f>
        <v>5708.4</v>
      </c>
      <c r="H273" s="30">
        <f>SUM(H274)</f>
        <v>5708.4</v>
      </c>
      <c r="I273" s="20">
        <f t="shared" si="7"/>
        <v>100</v>
      </c>
    </row>
    <row r="274" spans="1:13" ht="49.5" customHeight="1">
      <c r="A274" s="95" t="s">
        <v>954</v>
      </c>
      <c r="B274" s="142"/>
      <c r="C274" s="142" t="s">
        <v>191</v>
      </c>
      <c r="D274" s="142" t="s">
        <v>749</v>
      </c>
      <c r="E274" s="138" t="s">
        <v>41</v>
      </c>
      <c r="F274" s="140" t="s">
        <v>51</v>
      </c>
      <c r="G274" s="30">
        <v>5708.4</v>
      </c>
      <c r="H274" s="30">
        <v>5708.4</v>
      </c>
      <c r="I274" s="20">
        <f t="shared" si="7"/>
        <v>100</v>
      </c>
      <c r="J274" s="225">
        <f>SUM(ведомствен.2013!G405)</f>
        <v>5708.4</v>
      </c>
    </row>
    <row r="275" spans="1:13" s="19" customFormat="1" ht="15.75">
      <c r="A275" s="121" t="s">
        <v>797</v>
      </c>
      <c r="B275" s="193"/>
      <c r="C275" s="193" t="s">
        <v>204</v>
      </c>
      <c r="D275" s="193"/>
      <c r="E275" s="193"/>
      <c r="F275" s="196"/>
      <c r="G275" s="203">
        <f>SUM(G276+G329+G381+G411)</f>
        <v>228968.6</v>
      </c>
      <c r="H275" s="203">
        <f>SUM(H276+H329+H381+H411)</f>
        <v>234288.7</v>
      </c>
      <c r="I275" s="26">
        <f t="shared" si="7"/>
        <v>102.32350636724861</v>
      </c>
      <c r="J275" s="226"/>
      <c r="K275" s="19">
        <f>SUM(J276:J454)</f>
        <v>228968.6</v>
      </c>
      <c r="L275" s="19">
        <f>SUM(ведомствен.2013!G1074+ведомствен.2013!G772+ведомствен.2013!G406+ведомствен.2013!G89)</f>
        <v>228968.59999999998</v>
      </c>
    </row>
    <row r="276" spans="1:13" ht="15">
      <c r="A276" s="95" t="s">
        <v>798</v>
      </c>
      <c r="B276" s="138"/>
      <c r="C276" s="138" t="s">
        <v>204</v>
      </c>
      <c r="D276" s="138" t="s">
        <v>836</v>
      </c>
      <c r="E276" s="138"/>
      <c r="F276" s="139"/>
      <c r="G276" s="30">
        <f>SUM(G298+G321+G289+G303+G277+G319+G316)</f>
        <v>24519</v>
      </c>
      <c r="H276" s="30">
        <f>SUM(H298+H321+H289+H303+H277+H319+H316)</f>
        <v>24507.3</v>
      </c>
      <c r="I276" s="20">
        <f t="shared" si="7"/>
        <v>99.952281903829672</v>
      </c>
      <c r="L276">
        <f>SUM(ведомствен.2013!G407)</f>
        <v>24519</v>
      </c>
      <c r="M276">
        <f>SUM(K275-L275)</f>
        <v>2.9103830456733704E-11</v>
      </c>
    </row>
    <row r="277" spans="1:13" ht="42.75">
      <c r="A277" s="122" t="s">
        <v>799</v>
      </c>
      <c r="B277" s="138"/>
      <c r="C277" s="138" t="s">
        <v>204</v>
      </c>
      <c r="D277" s="138" t="s">
        <v>836</v>
      </c>
      <c r="E277" s="138" t="s">
        <v>800</v>
      </c>
      <c r="F277" s="139"/>
      <c r="G277" s="30">
        <f>SUM(G278+G285)</f>
        <v>23969.599999999999</v>
      </c>
      <c r="H277" s="30">
        <f>SUM(H278+H285)</f>
        <v>23969.599999999999</v>
      </c>
      <c r="I277" s="20">
        <f t="shared" si="7"/>
        <v>100</v>
      </c>
      <c r="M277" s="84">
        <f>SUM(K275-G275)</f>
        <v>0</v>
      </c>
    </row>
    <row r="278" spans="1:13" ht="77.25" customHeight="1">
      <c r="A278" s="122" t="s">
        <v>801</v>
      </c>
      <c r="B278" s="138"/>
      <c r="C278" s="138" t="s">
        <v>204</v>
      </c>
      <c r="D278" s="138" t="s">
        <v>836</v>
      </c>
      <c r="E278" s="138" t="s">
        <v>802</v>
      </c>
      <c r="F278" s="139"/>
      <c r="G278" s="30">
        <f>SUM(G279)+G281+G283</f>
        <v>11498</v>
      </c>
      <c r="H278" s="30">
        <f>SUM(H279)+H281+H283</f>
        <v>11498</v>
      </c>
      <c r="I278" s="20">
        <f t="shared" si="7"/>
        <v>100</v>
      </c>
      <c r="M278" s="84"/>
    </row>
    <row r="279" spans="1:13" ht="61.5" customHeight="1">
      <c r="A279" s="122" t="s">
        <v>977</v>
      </c>
      <c r="B279" s="138"/>
      <c r="C279" s="138" t="s">
        <v>204</v>
      </c>
      <c r="D279" s="138" t="s">
        <v>836</v>
      </c>
      <c r="E279" s="138" t="s">
        <v>978</v>
      </c>
      <c r="F279" s="139"/>
      <c r="G279" s="30">
        <f>SUM(G280)</f>
        <v>11498</v>
      </c>
      <c r="H279" s="30">
        <f>SUM(H280)</f>
        <v>11498</v>
      </c>
      <c r="I279" s="20">
        <f t="shared" si="7"/>
        <v>100</v>
      </c>
    </row>
    <row r="280" spans="1:13" ht="18.75" customHeight="1">
      <c r="A280" s="95" t="s">
        <v>943</v>
      </c>
      <c r="B280" s="138"/>
      <c r="C280" s="138" t="s">
        <v>204</v>
      </c>
      <c r="D280" s="138" t="s">
        <v>836</v>
      </c>
      <c r="E280" s="138" t="s">
        <v>978</v>
      </c>
      <c r="F280" s="139" t="s">
        <v>944</v>
      </c>
      <c r="G280" s="30">
        <v>11498</v>
      </c>
      <c r="H280" s="30">
        <v>11498</v>
      </c>
      <c r="I280" s="20">
        <f t="shared" si="7"/>
        <v>100</v>
      </c>
      <c r="J280" s="225">
        <f>SUM(ведомствен.2013!G411)</f>
        <v>11498</v>
      </c>
    </row>
    <row r="281" spans="1:13" ht="57" hidden="1" customHeight="1">
      <c r="A281" s="113" t="s">
        <v>0</v>
      </c>
      <c r="B281" s="150"/>
      <c r="C281" s="138" t="s">
        <v>204</v>
      </c>
      <c r="D281" s="138" t="s">
        <v>836</v>
      </c>
      <c r="E281" s="138" t="s">
        <v>1</v>
      </c>
      <c r="F281" s="139"/>
      <c r="G281" s="30">
        <f>SUM(G282)</f>
        <v>0</v>
      </c>
      <c r="H281" s="30">
        <f>SUM(H282)</f>
        <v>0</v>
      </c>
      <c r="I281" s="20" t="e">
        <f t="shared" si="7"/>
        <v>#DIV/0!</v>
      </c>
    </row>
    <row r="282" spans="1:13" ht="15" hidden="1" customHeight="1">
      <c r="A282" s="98" t="s">
        <v>207</v>
      </c>
      <c r="B282" s="150"/>
      <c r="C282" s="138" t="s">
        <v>204</v>
      </c>
      <c r="D282" s="138" t="s">
        <v>836</v>
      </c>
      <c r="E282" s="138" t="s">
        <v>1</v>
      </c>
      <c r="F282" s="139" t="s">
        <v>208</v>
      </c>
      <c r="G282" s="30"/>
      <c r="H282" s="30"/>
      <c r="I282" s="20" t="e">
        <f t="shared" si="7"/>
        <v>#DIV/0!</v>
      </c>
      <c r="J282" s="225">
        <f>SUM(ведомствен.2013!G413)</f>
        <v>0</v>
      </c>
    </row>
    <row r="283" spans="1:13" ht="71.25" hidden="1" customHeight="1">
      <c r="A283" s="113" t="s">
        <v>1001</v>
      </c>
      <c r="B283" s="150"/>
      <c r="C283" s="138" t="s">
        <v>204</v>
      </c>
      <c r="D283" s="138" t="s">
        <v>836</v>
      </c>
      <c r="E283" s="138" t="s">
        <v>217</v>
      </c>
      <c r="F283" s="139"/>
      <c r="G283" s="30">
        <f>SUM(G284)</f>
        <v>0</v>
      </c>
      <c r="H283" s="30">
        <f>SUM(H284)</f>
        <v>0</v>
      </c>
      <c r="I283" s="20" t="e">
        <f t="shared" si="7"/>
        <v>#DIV/0!</v>
      </c>
    </row>
    <row r="284" spans="1:13" ht="15" hidden="1" customHeight="1">
      <c r="A284" s="98" t="s">
        <v>207</v>
      </c>
      <c r="B284" s="150"/>
      <c r="C284" s="138" t="s">
        <v>204</v>
      </c>
      <c r="D284" s="138" t="s">
        <v>836</v>
      </c>
      <c r="E284" s="138" t="s">
        <v>217</v>
      </c>
      <c r="F284" s="139" t="s">
        <v>208</v>
      </c>
      <c r="G284" s="30"/>
      <c r="H284" s="30"/>
      <c r="I284" s="20" t="e">
        <f t="shared" si="7"/>
        <v>#DIV/0!</v>
      </c>
    </row>
    <row r="285" spans="1:13" ht="42.75">
      <c r="A285" s="123" t="s">
        <v>803</v>
      </c>
      <c r="B285" s="138"/>
      <c r="C285" s="138" t="s">
        <v>204</v>
      </c>
      <c r="D285" s="138" t="s">
        <v>836</v>
      </c>
      <c r="E285" s="138" t="s">
        <v>804</v>
      </c>
      <c r="F285" s="139"/>
      <c r="G285" s="30">
        <f>SUM(G286)+G296+G292</f>
        <v>12471.599999999999</v>
      </c>
      <c r="H285" s="30">
        <f>SUM(H286)+H296+H292</f>
        <v>12471.599999999999</v>
      </c>
      <c r="I285" s="20">
        <f t="shared" si="7"/>
        <v>100</v>
      </c>
    </row>
    <row r="286" spans="1:13" ht="28.5">
      <c r="A286" s="94" t="s">
        <v>805</v>
      </c>
      <c r="B286" s="150"/>
      <c r="C286" s="138" t="s">
        <v>204</v>
      </c>
      <c r="D286" s="138" t="s">
        <v>836</v>
      </c>
      <c r="E286" s="138" t="s">
        <v>806</v>
      </c>
      <c r="F286" s="139"/>
      <c r="G286" s="30">
        <f>SUM(G287+G288)</f>
        <v>9495.2999999999993</v>
      </c>
      <c r="H286" s="30">
        <f>SUM(H287+H288)</f>
        <v>9495.2999999999993</v>
      </c>
      <c r="I286" s="20">
        <f t="shared" si="7"/>
        <v>100</v>
      </c>
    </row>
    <row r="287" spans="1:13" ht="17.25" customHeight="1">
      <c r="A287" s="124" t="s">
        <v>943</v>
      </c>
      <c r="B287" s="150"/>
      <c r="C287" s="138" t="s">
        <v>204</v>
      </c>
      <c r="D287" s="138" t="s">
        <v>836</v>
      </c>
      <c r="E287" s="138" t="s">
        <v>806</v>
      </c>
      <c r="F287" s="139" t="s">
        <v>944</v>
      </c>
      <c r="G287" s="30">
        <v>9495.2999999999993</v>
      </c>
      <c r="H287" s="30">
        <v>9495.2999999999993</v>
      </c>
      <c r="I287" s="20">
        <f t="shared" si="7"/>
        <v>100</v>
      </c>
      <c r="J287" s="225">
        <f>SUM(ведомствен.2013!G418)</f>
        <v>9495.2999999999993</v>
      </c>
    </row>
    <row r="288" spans="1:13" ht="28.5" hidden="1" customHeight="1">
      <c r="A288" s="124" t="s">
        <v>807</v>
      </c>
      <c r="B288" s="150"/>
      <c r="C288" s="138" t="s">
        <v>204</v>
      </c>
      <c r="D288" s="138" t="s">
        <v>836</v>
      </c>
      <c r="E288" s="138" t="s">
        <v>806</v>
      </c>
      <c r="F288" s="139" t="s">
        <v>808</v>
      </c>
      <c r="G288" s="30"/>
      <c r="H288" s="30"/>
      <c r="I288" s="20" t="e">
        <f t="shared" si="7"/>
        <v>#DIV/0!</v>
      </c>
    </row>
    <row r="289" spans="1:10" ht="28.5" hidden="1">
      <c r="A289" s="94" t="s">
        <v>502</v>
      </c>
      <c r="B289" s="138"/>
      <c r="C289" s="138" t="s">
        <v>204</v>
      </c>
      <c r="D289" s="138" t="s">
        <v>836</v>
      </c>
      <c r="E289" s="138" t="s">
        <v>783</v>
      </c>
      <c r="F289" s="139"/>
      <c r="G289" s="30">
        <f>SUM(G290)</f>
        <v>0</v>
      </c>
      <c r="H289" s="30">
        <f>SUM(H290)</f>
        <v>0</v>
      </c>
      <c r="I289" s="20" t="e">
        <f t="shared" si="7"/>
        <v>#DIV/0!</v>
      </c>
    </row>
    <row r="290" spans="1:10" ht="18.75" hidden="1" customHeight="1">
      <c r="A290" s="94" t="s">
        <v>205</v>
      </c>
      <c r="B290" s="138"/>
      <c r="C290" s="138" t="s">
        <v>204</v>
      </c>
      <c r="D290" s="138" t="s">
        <v>836</v>
      </c>
      <c r="E290" s="138" t="s">
        <v>206</v>
      </c>
      <c r="F290" s="139"/>
      <c r="G290" s="30">
        <f>SUM(G291)</f>
        <v>0</v>
      </c>
      <c r="H290" s="30">
        <f>SUM(H291)</f>
        <v>0</v>
      </c>
      <c r="I290" s="20" t="e">
        <f t="shared" si="7"/>
        <v>#DIV/0!</v>
      </c>
    </row>
    <row r="291" spans="1:10" ht="15" hidden="1">
      <c r="A291" s="94" t="s">
        <v>207</v>
      </c>
      <c r="B291" s="138"/>
      <c r="C291" s="138" t="s">
        <v>204</v>
      </c>
      <c r="D291" s="138" t="s">
        <v>836</v>
      </c>
      <c r="E291" s="138" t="s">
        <v>206</v>
      </c>
      <c r="F291" s="139" t="s">
        <v>208</v>
      </c>
      <c r="G291" s="30"/>
      <c r="H291" s="30"/>
      <c r="I291" s="20" t="e">
        <f t="shared" si="7"/>
        <v>#DIV/0!</v>
      </c>
    </row>
    <row r="292" spans="1:10" ht="29.25" customHeight="1">
      <c r="A292" s="94" t="s">
        <v>809</v>
      </c>
      <c r="B292" s="138"/>
      <c r="C292" s="138" t="s">
        <v>204</v>
      </c>
      <c r="D292" s="138" t="s">
        <v>836</v>
      </c>
      <c r="E292" s="138" t="s">
        <v>810</v>
      </c>
      <c r="F292" s="139"/>
      <c r="G292" s="30">
        <f>SUM(G294+G295)+G293</f>
        <v>2976.3</v>
      </c>
      <c r="H292" s="30">
        <f>SUM(H294+H295)+H293</f>
        <v>2976.3</v>
      </c>
      <c r="I292" s="20">
        <f t="shared" si="7"/>
        <v>100</v>
      </c>
    </row>
    <row r="293" spans="1:10" s="25" customFormat="1" ht="21.75" customHeight="1">
      <c r="A293" s="98" t="s">
        <v>207</v>
      </c>
      <c r="B293" s="138"/>
      <c r="C293" s="138" t="s">
        <v>204</v>
      </c>
      <c r="D293" s="138" t="s">
        <v>836</v>
      </c>
      <c r="E293" s="138" t="s">
        <v>810</v>
      </c>
      <c r="F293" s="139" t="s">
        <v>208</v>
      </c>
      <c r="G293" s="30">
        <v>2976.3</v>
      </c>
      <c r="H293" s="30">
        <v>2976.3</v>
      </c>
      <c r="I293" s="20">
        <f t="shared" si="7"/>
        <v>100</v>
      </c>
      <c r="J293" s="229">
        <f>SUM(ведомствен.2013!G425)</f>
        <v>2976.3</v>
      </c>
    </row>
    <row r="294" spans="1:10" ht="42.75" hidden="1" customHeight="1">
      <c r="A294" s="95" t="s">
        <v>954</v>
      </c>
      <c r="B294" s="138"/>
      <c r="C294" s="138" t="s">
        <v>204</v>
      </c>
      <c r="D294" s="138" t="s">
        <v>836</v>
      </c>
      <c r="E294" s="138" t="s">
        <v>810</v>
      </c>
      <c r="F294" s="139" t="s">
        <v>51</v>
      </c>
      <c r="G294" s="30"/>
      <c r="H294" s="30"/>
      <c r="I294" s="20" t="e">
        <f t="shared" si="7"/>
        <v>#DIV/0!</v>
      </c>
      <c r="J294" s="225">
        <f>SUM(ведомствен.2013!G424)</f>
        <v>0</v>
      </c>
    </row>
    <row r="295" spans="1:10" ht="28.5" hidden="1" customHeight="1">
      <c r="A295" s="98" t="s">
        <v>813</v>
      </c>
      <c r="B295" s="138"/>
      <c r="C295" s="138" t="s">
        <v>204</v>
      </c>
      <c r="D295" s="138" t="s">
        <v>836</v>
      </c>
      <c r="E295" s="138" t="s">
        <v>810</v>
      </c>
      <c r="F295" s="139" t="s">
        <v>814</v>
      </c>
      <c r="G295" s="30"/>
      <c r="H295" s="30"/>
      <c r="I295" s="20" t="e">
        <f t="shared" si="7"/>
        <v>#DIV/0!</v>
      </c>
    </row>
    <row r="296" spans="1:10" ht="42.75" hidden="1" customHeight="1">
      <c r="A296" s="94" t="s">
        <v>815</v>
      </c>
      <c r="B296" s="138"/>
      <c r="C296" s="138" t="s">
        <v>204</v>
      </c>
      <c r="D296" s="138" t="s">
        <v>836</v>
      </c>
      <c r="E296" s="138" t="s">
        <v>816</v>
      </c>
      <c r="F296" s="139"/>
      <c r="G296" s="30">
        <f>SUM(G297)</f>
        <v>0</v>
      </c>
      <c r="H296" s="30">
        <f>SUM(H297)</f>
        <v>0</v>
      </c>
      <c r="I296" s="20" t="e">
        <f t="shared" si="7"/>
        <v>#DIV/0!</v>
      </c>
    </row>
    <row r="297" spans="1:10" ht="15" hidden="1" customHeight="1">
      <c r="A297" s="98" t="s">
        <v>207</v>
      </c>
      <c r="B297" s="138"/>
      <c r="C297" s="138" t="s">
        <v>204</v>
      </c>
      <c r="D297" s="138" t="s">
        <v>836</v>
      </c>
      <c r="E297" s="138" t="s">
        <v>816</v>
      </c>
      <c r="F297" s="139" t="s">
        <v>208</v>
      </c>
      <c r="G297" s="30"/>
      <c r="H297" s="30"/>
      <c r="I297" s="20" t="e">
        <f t="shared" si="7"/>
        <v>#DIV/0!</v>
      </c>
    </row>
    <row r="298" spans="1:10" ht="15" hidden="1" customHeight="1">
      <c r="A298" s="95" t="s">
        <v>817</v>
      </c>
      <c r="B298" s="138"/>
      <c r="C298" s="138" t="s">
        <v>204</v>
      </c>
      <c r="D298" s="138" t="s">
        <v>836</v>
      </c>
      <c r="E298" s="138" t="s">
        <v>818</v>
      </c>
      <c r="F298" s="139"/>
      <c r="G298" s="30">
        <f>SUM(G299+G301)</f>
        <v>0</v>
      </c>
      <c r="H298" s="30">
        <f>SUM(H299+H301)</f>
        <v>0</v>
      </c>
      <c r="I298" s="20" t="e">
        <f t="shared" si="7"/>
        <v>#DIV/0!</v>
      </c>
    </row>
    <row r="299" spans="1:10" ht="15" hidden="1" customHeight="1">
      <c r="A299" s="98" t="s">
        <v>775</v>
      </c>
      <c r="B299" s="138"/>
      <c r="C299" s="138" t="s">
        <v>204</v>
      </c>
      <c r="D299" s="138" t="s">
        <v>836</v>
      </c>
      <c r="E299" s="138" t="s">
        <v>774</v>
      </c>
      <c r="F299" s="139"/>
      <c r="G299" s="30">
        <f>SUM(G300)</f>
        <v>0</v>
      </c>
      <c r="H299" s="30">
        <f>SUM(H300)</f>
        <v>0</v>
      </c>
      <c r="I299" s="20" t="e">
        <f t="shared" si="7"/>
        <v>#DIV/0!</v>
      </c>
    </row>
    <row r="300" spans="1:10" ht="15" hidden="1" customHeight="1">
      <c r="A300" s="119" t="s">
        <v>207</v>
      </c>
      <c r="B300" s="138"/>
      <c r="C300" s="138" t="s">
        <v>204</v>
      </c>
      <c r="D300" s="138" t="s">
        <v>836</v>
      </c>
      <c r="E300" s="138" t="s">
        <v>774</v>
      </c>
      <c r="F300" s="139" t="s">
        <v>208</v>
      </c>
      <c r="G300" s="30"/>
      <c r="H300" s="30"/>
      <c r="I300" s="20" t="e">
        <f t="shared" si="7"/>
        <v>#DIV/0!</v>
      </c>
      <c r="J300" s="225">
        <f>SUM(ведомствен.2013!G1085)</f>
        <v>0</v>
      </c>
    </row>
    <row r="301" spans="1:10" s="25" customFormat="1" ht="28.5" hidden="1" customHeight="1">
      <c r="A301" s="119" t="s">
        <v>821</v>
      </c>
      <c r="B301" s="142"/>
      <c r="C301" s="138" t="s">
        <v>204</v>
      </c>
      <c r="D301" s="138" t="s">
        <v>836</v>
      </c>
      <c r="E301" s="138" t="s">
        <v>822</v>
      </c>
      <c r="F301" s="140"/>
      <c r="G301" s="30">
        <f>SUM(G302)</f>
        <v>0</v>
      </c>
      <c r="H301" s="30">
        <f>SUM(H302)</f>
        <v>0</v>
      </c>
      <c r="I301" s="20" t="e">
        <f t="shared" si="7"/>
        <v>#DIV/0!</v>
      </c>
      <c r="J301" s="229"/>
    </row>
    <row r="302" spans="1:10" s="29" customFormat="1" ht="15" hidden="1" customHeight="1">
      <c r="A302" s="95" t="s">
        <v>164</v>
      </c>
      <c r="B302" s="151"/>
      <c r="C302" s="138" t="s">
        <v>204</v>
      </c>
      <c r="D302" s="138" t="s">
        <v>836</v>
      </c>
      <c r="E302" s="138" t="s">
        <v>822</v>
      </c>
      <c r="F302" s="149" t="s">
        <v>165</v>
      </c>
      <c r="G302" s="204"/>
      <c r="H302" s="204"/>
      <c r="I302" s="20" t="e">
        <f t="shared" si="7"/>
        <v>#DIV/0!</v>
      </c>
      <c r="J302" s="234"/>
    </row>
    <row r="303" spans="1:10" s="28" customFormat="1" ht="15" hidden="1" customHeight="1">
      <c r="A303" s="119" t="s">
        <v>932</v>
      </c>
      <c r="B303" s="148"/>
      <c r="C303" s="148" t="s">
        <v>204</v>
      </c>
      <c r="D303" s="148" t="s">
        <v>836</v>
      </c>
      <c r="E303" s="148" t="s">
        <v>933</v>
      </c>
      <c r="F303" s="149"/>
      <c r="G303" s="30">
        <f>SUM(G306)+G311+G304</f>
        <v>0</v>
      </c>
      <c r="H303" s="30">
        <f>SUM(H306)+H311+H304</f>
        <v>0</v>
      </c>
      <c r="I303" s="20" t="e">
        <f t="shared" si="7"/>
        <v>#DIV/0!</v>
      </c>
      <c r="J303" s="230"/>
    </row>
    <row r="304" spans="1:10" s="28" customFormat="1" ht="42.75" hidden="1" customHeight="1">
      <c r="A304" s="119" t="s">
        <v>823</v>
      </c>
      <c r="B304" s="148"/>
      <c r="C304" s="148" t="s">
        <v>204</v>
      </c>
      <c r="D304" s="148" t="s">
        <v>836</v>
      </c>
      <c r="E304" s="148" t="s">
        <v>824</v>
      </c>
      <c r="F304" s="149"/>
      <c r="G304" s="30">
        <f>SUM(G305)</f>
        <v>0</v>
      </c>
      <c r="H304" s="30">
        <f>SUM(H305)</f>
        <v>0</v>
      </c>
      <c r="I304" s="20" t="e">
        <f t="shared" si="7"/>
        <v>#DIV/0!</v>
      </c>
      <c r="J304" s="230"/>
    </row>
    <row r="305" spans="1:10" s="28" customFormat="1" ht="15" hidden="1" customHeight="1">
      <c r="A305" s="119" t="s">
        <v>207</v>
      </c>
      <c r="B305" s="148"/>
      <c r="C305" s="148" t="s">
        <v>204</v>
      </c>
      <c r="D305" s="148" t="s">
        <v>836</v>
      </c>
      <c r="E305" s="148" t="s">
        <v>824</v>
      </c>
      <c r="F305" s="149" t="s">
        <v>208</v>
      </c>
      <c r="G305" s="30"/>
      <c r="H305" s="30"/>
      <c r="I305" s="20" t="e">
        <f t="shared" si="7"/>
        <v>#DIV/0!</v>
      </c>
      <c r="J305" s="230"/>
    </row>
    <row r="306" spans="1:10" s="28" customFormat="1" ht="42.75" hidden="1" customHeight="1">
      <c r="A306" s="95" t="s">
        <v>825</v>
      </c>
      <c r="B306" s="148"/>
      <c r="C306" s="148" t="s">
        <v>204</v>
      </c>
      <c r="D306" s="148" t="s">
        <v>836</v>
      </c>
      <c r="E306" s="148" t="s">
        <v>826</v>
      </c>
      <c r="F306" s="149"/>
      <c r="G306" s="30">
        <f>SUM(G307+G309)</f>
        <v>0</v>
      </c>
      <c r="H306" s="30">
        <f>SUM(H307+H309)</f>
        <v>0</v>
      </c>
      <c r="I306" s="20" t="e">
        <f t="shared" si="7"/>
        <v>#DIV/0!</v>
      </c>
      <c r="J306" s="230"/>
    </row>
    <row r="307" spans="1:10" s="28" customFormat="1" ht="28.5" hidden="1" customHeight="1">
      <c r="A307" s="119" t="s">
        <v>827</v>
      </c>
      <c r="B307" s="152"/>
      <c r="C307" s="148" t="s">
        <v>204</v>
      </c>
      <c r="D307" s="148" t="s">
        <v>836</v>
      </c>
      <c r="E307" s="148" t="s">
        <v>828</v>
      </c>
      <c r="F307" s="149"/>
      <c r="G307" s="30">
        <f>SUM(G308)</f>
        <v>0</v>
      </c>
      <c r="H307" s="30">
        <f>SUM(H308)</f>
        <v>0</v>
      </c>
      <c r="I307" s="20" t="e">
        <f t="shared" si="7"/>
        <v>#DIV/0!</v>
      </c>
      <c r="J307" s="230"/>
    </row>
    <row r="308" spans="1:10" s="28" customFormat="1" ht="15" hidden="1" customHeight="1">
      <c r="A308" s="94" t="s">
        <v>207</v>
      </c>
      <c r="B308" s="148"/>
      <c r="C308" s="148" t="s">
        <v>204</v>
      </c>
      <c r="D308" s="148" t="s">
        <v>836</v>
      </c>
      <c r="E308" s="148" t="s">
        <v>828</v>
      </c>
      <c r="F308" s="149" t="s">
        <v>208</v>
      </c>
      <c r="G308" s="30">
        <v>0</v>
      </c>
      <c r="H308" s="30">
        <v>0</v>
      </c>
      <c r="I308" s="20" t="e">
        <f t="shared" si="7"/>
        <v>#DIV/0!</v>
      </c>
      <c r="J308" s="230"/>
    </row>
    <row r="309" spans="1:10" s="28" customFormat="1" ht="15" hidden="1" customHeight="1">
      <c r="A309" s="94" t="s">
        <v>829</v>
      </c>
      <c r="B309" s="148"/>
      <c r="C309" s="148" t="s">
        <v>204</v>
      </c>
      <c r="D309" s="148" t="s">
        <v>836</v>
      </c>
      <c r="E309" s="148" t="s">
        <v>830</v>
      </c>
      <c r="F309" s="149"/>
      <c r="G309" s="30">
        <f>SUM(G310)</f>
        <v>0</v>
      </c>
      <c r="H309" s="30">
        <f>SUM(H310)</f>
        <v>0</v>
      </c>
      <c r="I309" s="20" t="e">
        <f t="shared" si="7"/>
        <v>#DIV/0!</v>
      </c>
      <c r="J309" s="230"/>
    </row>
    <row r="310" spans="1:10" s="28" customFormat="1" ht="15" hidden="1" customHeight="1">
      <c r="A310" s="95" t="s">
        <v>164</v>
      </c>
      <c r="B310" s="151"/>
      <c r="C310" s="138" t="s">
        <v>204</v>
      </c>
      <c r="D310" s="138" t="s">
        <v>836</v>
      </c>
      <c r="E310" s="148" t="s">
        <v>830</v>
      </c>
      <c r="F310" s="149" t="s">
        <v>165</v>
      </c>
      <c r="G310" s="30">
        <f>SUM([1]Ведомств.!F180)</f>
        <v>0</v>
      </c>
      <c r="H310" s="30"/>
      <c r="I310" s="20" t="e">
        <f t="shared" si="7"/>
        <v>#DIV/0!</v>
      </c>
      <c r="J310" s="230"/>
    </row>
    <row r="311" spans="1:10" s="28" customFormat="1" ht="28.5" hidden="1" customHeight="1">
      <c r="A311" s="95" t="s">
        <v>1015</v>
      </c>
      <c r="B311" s="151"/>
      <c r="C311" s="138" t="s">
        <v>204</v>
      </c>
      <c r="D311" s="138" t="s">
        <v>836</v>
      </c>
      <c r="E311" s="148" t="s">
        <v>832</v>
      </c>
      <c r="F311" s="149"/>
      <c r="G311" s="30">
        <f>SUM(G312)+G314</f>
        <v>0</v>
      </c>
      <c r="H311" s="30">
        <f>SUM(H312)+H314</f>
        <v>0</v>
      </c>
      <c r="I311" s="20" t="e">
        <f t="shared" si="7"/>
        <v>#DIV/0!</v>
      </c>
      <c r="J311" s="230"/>
    </row>
    <row r="312" spans="1:10" s="28" customFormat="1" ht="42.75" hidden="1" customHeight="1">
      <c r="A312" s="95" t="s">
        <v>1016</v>
      </c>
      <c r="B312" s="151"/>
      <c r="C312" s="138" t="s">
        <v>204</v>
      </c>
      <c r="D312" s="138" t="s">
        <v>836</v>
      </c>
      <c r="E312" s="148" t="s">
        <v>32</v>
      </c>
      <c r="F312" s="149"/>
      <c r="G312" s="30">
        <f>SUM(G313)</f>
        <v>0</v>
      </c>
      <c r="H312" s="30">
        <f>SUM(H313)</f>
        <v>0</v>
      </c>
      <c r="I312" s="20" t="e">
        <f t="shared" si="7"/>
        <v>#DIV/0!</v>
      </c>
      <c r="J312" s="230"/>
    </row>
    <row r="313" spans="1:10" s="28" customFormat="1" ht="15" hidden="1" customHeight="1">
      <c r="A313" s="95" t="s">
        <v>943</v>
      </c>
      <c r="B313" s="151"/>
      <c r="C313" s="138" t="s">
        <v>204</v>
      </c>
      <c r="D313" s="138" t="s">
        <v>836</v>
      </c>
      <c r="E313" s="148" t="s">
        <v>32</v>
      </c>
      <c r="F313" s="149" t="s">
        <v>944</v>
      </c>
      <c r="G313" s="30"/>
      <c r="H313" s="30"/>
      <c r="I313" s="20" t="e">
        <f t="shared" si="7"/>
        <v>#DIV/0!</v>
      </c>
      <c r="J313" s="230"/>
    </row>
    <row r="314" spans="1:10" s="28" customFormat="1" ht="28.5" hidden="1">
      <c r="A314" s="95" t="s">
        <v>1017</v>
      </c>
      <c r="B314" s="151"/>
      <c r="C314" s="138" t="s">
        <v>204</v>
      </c>
      <c r="D314" s="138" t="s">
        <v>836</v>
      </c>
      <c r="E314" s="148" t="s">
        <v>34</v>
      </c>
      <c r="F314" s="149"/>
      <c r="G314" s="30">
        <f>SUM(G315)</f>
        <v>0</v>
      </c>
      <c r="H314" s="30">
        <f>SUM(H315)</f>
        <v>0</v>
      </c>
      <c r="I314" s="20" t="e">
        <f t="shared" si="7"/>
        <v>#DIV/0!</v>
      </c>
      <c r="J314" s="230"/>
    </row>
    <row r="315" spans="1:10" s="28" customFormat="1" ht="15" hidden="1">
      <c r="A315" s="95" t="s">
        <v>943</v>
      </c>
      <c r="B315" s="151"/>
      <c r="C315" s="138" t="s">
        <v>204</v>
      </c>
      <c r="D315" s="138" t="s">
        <v>836</v>
      </c>
      <c r="E315" s="148" t="s">
        <v>34</v>
      </c>
      <c r="F315" s="149" t="s">
        <v>944</v>
      </c>
      <c r="G315" s="30"/>
      <c r="H315" s="30"/>
      <c r="I315" s="20" t="e">
        <f t="shared" ref="I315:I378" si="9">SUM(H315/G315*100)</f>
        <v>#DIV/0!</v>
      </c>
      <c r="J315" s="230"/>
    </row>
    <row r="316" spans="1:10" s="25" customFormat="1" ht="15" hidden="1">
      <c r="A316" s="95" t="s">
        <v>817</v>
      </c>
      <c r="B316" s="151"/>
      <c r="C316" s="138" t="s">
        <v>204</v>
      </c>
      <c r="D316" s="138" t="s">
        <v>836</v>
      </c>
      <c r="E316" s="148" t="s">
        <v>119</v>
      </c>
      <c r="F316" s="149"/>
      <c r="G316" s="30">
        <f>SUM(G317)</f>
        <v>0</v>
      </c>
      <c r="H316" s="30">
        <f>SUM(H317)</f>
        <v>0</v>
      </c>
      <c r="I316" s="20" t="e">
        <f t="shared" si="9"/>
        <v>#DIV/0!</v>
      </c>
      <c r="J316" s="229"/>
    </row>
    <row r="317" spans="1:10" s="25" customFormat="1" ht="15" hidden="1">
      <c r="A317" s="95" t="s">
        <v>121</v>
      </c>
      <c r="B317" s="151"/>
      <c r="C317" s="138" t="s">
        <v>204</v>
      </c>
      <c r="D317" s="138" t="s">
        <v>836</v>
      </c>
      <c r="E317" s="148" t="s">
        <v>120</v>
      </c>
      <c r="F317" s="149"/>
      <c r="G317" s="30">
        <f>SUM(G318)</f>
        <v>0</v>
      </c>
      <c r="H317" s="30">
        <f>SUM(H318)</f>
        <v>0</v>
      </c>
      <c r="I317" s="20" t="e">
        <f t="shared" si="9"/>
        <v>#DIV/0!</v>
      </c>
      <c r="J317" s="229"/>
    </row>
    <row r="318" spans="1:10" s="25" customFormat="1" ht="15" hidden="1" customHeight="1">
      <c r="A318" s="124" t="s">
        <v>943</v>
      </c>
      <c r="B318" s="151"/>
      <c r="C318" s="138" t="s">
        <v>204</v>
      </c>
      <c r="D318" s="138" t="s">
        <v>836</v>
      </c>
      <c r="E318" s="148" t="s">
        <v>120</v>
      </c>
      <c r="F318" s="149" t="s">
        <v>944</v>
      </c>
      <c r="G318" s="30"/>
      <c r="H318" s="30"/>
      <c r="I318" s="20" t="e">
        <f t="shared" si="9"/>
        <v>#DIV/0!</v>
      </c>
      <c r="J318" s="229">
        <f>SUM(ведомствен.2013!G113)</f>
        <v>0</v>
      </c>
    </row>
    <row r="319" spans="1:10" ht="15" hidden="1">
      <c r="A319" s="98" t="s">
        <v>775</v>
      </c>
      <c r="B319" s="142"/>
      <c r="C319" s="142" t="s">
        <v>204</v>
      </c>
      <c r="D319" s="142" t="s">
        <v>836</v>
      </c>
      <c r="E319" s="142" t="s">
        <v>774</v>
      </c>
      <c r="F319" s="139"/>
      <c r="G319" s="204">
        <f>SUM(G320)</f>
        <v>0</v>
      </c>
      <c r="H319" s="204">
        <f>SUM(H320)</f>
        <v>0</v>
      </c>
      <c r="I319" s="20" t="e">
        <f t="shared" si="9"/>
        <v>#DIV/0!</v>
      </c>
    </row>
    <row r="320" spans="1:10" ht="15" hidden="1">
      <c r="A320" s="98" t="s">
        <v>207</v>
      </c>
      <c r="B320" s="142"/>
      <c r="C320" s="142" t="s">
        <v>204</v>
      </c>
      <c r="D320" s="142" t="s">
        <v>836</v>
      </c>
      <c r="E320" s="142" t="s">
        <v>774</v>
      </c>
      <c r="F320" s="140" t="s">
        <v>208</v>
      </c>
      <c r="G320" s="204"/>
      <c r="H320" s="204"/>
      <c r="I320" s="20" t="e">
        <f t="shared" si="9"/>
        <v>#DIV/0!</v>
      </c>
    </row>
    <row r="321" spans="1:12" s="28" customFormat="1" ht="15">
      <c r="A321" s="98" t="s">
        <v>200</v>
      </c>
      <c r="B321" s="148"/>
      <c r="C321" s="148" t="s">
        <v>204</v>
      </c>
      <c r="D321" s="148" t="s">
        <v>836</v>
      </c>
      <c r="E321" s="148" t="s">
        <v>201</v>
      </c>
      <c r="F321" s="149"/>
      <c r="G321" s="30">
        <f>SUM(G322,G324,G327)</f>
        <v>549.40000000000009</v>
      </c>
      <c r="H321" s="30">
        <f>SUM(H322,H324,H327)</f>
        <v>537.70000000000005</v>
      </c>
      <c r="I321" s="20">
        <f t="shared" si="9"/>
        <v>97.870404077175095</v>
      </c>
      <c r="J321" s="230"/>
    </row>
    <row r="322" spans="1:12" s="28" customFormat="1" ht="42.75" customHeight="1">
      <c r="A322" s="98" t="s">
        <v>910</v>
      </c>
      <c r="B322" s="148"/>
      <c r="C322" s="148" t="s">
        <v>204</v>
      </c>
      <c r="D322" s="148" t="s">
        <v>836</v>
      </c>
      <c r="E322" s="148" t="s">
        <v>597</v>
      </c>
      <c r="F322" s="149"/>
      <c r="G322" s="205">
        <f>SUM(G323)</f>
        <v>12.6</v>
      </c>
      <c r="H322" s="205">
        <f>SUM(H323)</f>
        <v>12.6</v>
      </c>
      <c r="I322" s="20">
        <f t="shared" si="9"/>
        <v>100</v>
      </c>
      <c r="J322" s="230"/>
    </row>
    <row r="323" spans="1:12" s="28" customFormat="1" ht="15">
      <c r="A323" s="124" t="s">
        <v>943</v>
      </c>
      <c r="B323" s="148"/>
      <c r="C323" s="148" t="s">
        <v>204</v>
      </c>
      <c r="D323" s="148" t="s">
        <v>836</v>
      </c>
      <c r="E323" s="148" t="s">
        <v>597</v>
      </c>
      <c r="F323" s="149" t="s">
        <v>944</v>
      </c>
      <c r="G323" s="205">
        <v>12.6</v>
      </c>
      <c r="H323" s="205">
        <v>12.6</v>
      </c>
      <c r="I323" s="20">
        <f t="shared" si="9"/>
        <v>100</v>
      </c>
      <c r="J323" s="229">
        <f>SUM(ведомствен.2013!G452)</f>
        <v>12.6</v>
      </c>
    </row>
    <row r="324" spans="1:12" s="28" customFormat="1" ht="42.75">
      <c r="A324" s="94" t="s">
        <v>1027</v>
      </c>
      <c r="B324" s="148"/>
      <c r="C324" s="148" t="s">
        <v>204</v>
      </c>
      <c r="D324" s="148" t="s">
        <v>836</v>
      </c>
      <c r="E324" s="148" t="s">
        <v>38</v>
      </c>
      <c r="F324" s="149"/>
      <c r="G324" s="81">
        <f>SUM(G325)</f>
        <v>451.8</v>
      </c>
      <c r="H324" s="81">
        <f>SUM(H325)</f>
        <v>451.8</v>
      </c>
      <c r="I324" s="20">
        <f t="shared" si="9"/>
        <v>100</v>
      </c>
      <c r="J324" s="230"/>
    </row>
    <row r="325" spans="1:12" s="28" customFormat="1" ht="28.5">
      <c r="A325" s="119" t="s">
        <v>827</v>
      </c>
      <c r="B325" s="148"/>
      <c r="C325" s="148" t="s">
        <v>204</v>
      </c>
      <c r="D325" s="148" t="s">
        <v>836</v>
      </c>
      <c r="E325" s="148" t="s">
        <v>39</v>
      </c>
      <c r="F325" s="149"/>
      <c r="G325" s="30">
        <f>SUM(G326)</f>
        <v>451.8</v>
      </c>
      <c r="H325" s="30">
        <f>SUM(H326)</f>
        <v>451.8</v>
      </c>
      <c r="I325" s="20">
        <f t="shared" si="9"/>
        <v>100</v>
      </c>
      <c r="J325" s="230"/>
    </row>
    <row r="326" spans="1:12" s="28" customFormat="1" ht="15">
      <c r="A326" s="98" t="s">
        <v>207</v>
      </c>
      <c r="B326" s="148"/>
      <c r="C326" s="148" t="s">
        <v>204</v>
      </c>
      <c r="D326" s="148" t="s">
        <v>836</v>
      </c>
      <c r="E326" s="148" t="s">
        <v>39</v>
      </c>
      <c r="F326" s="149" t="s">
        <v>208</v>
      </c>
      <c r="G326" s="30">
        <v>451.8</v>
      </c>
      <c r="H326" s="30">
        <v>451.8</v>
      </c>
      <c r="I326" s="20">
        <f t="shared" si="9"/>
        <v>100</v>
      </c>
      <c r="J326" s="230">
        <f>SUM(ведомствен.2013!G457)</f>
        <v>451.8</v>
      </c>
    </row>
    <row r="327" spans="1:12" s="28" customFormat="1" ht="28.5">
      <c r="A327" s="114" t="s">
        <v>1123</v>
      </c>
      <c r="B327" s="148"/>
      <c r="C327" s="148" t="s">
        <v>204</v>
      </c>
      <c r="D327" s="148" t="s">
        <v>836</v>
      </c>
      <c r="E327" s="148" t="s">
        <v>1121</v>
      </c>
      <c r="F327" s="149"/>
      <c r="G327" s="81">
        <f>SUM(G328)</f>
        <v>85</v>
      </c>
      <c r="H327" s="81">
        <f>SUM(H328)</f>
        <v>73.3</v>
      </c>
      <c r="I327" s="20">
        <f t="shared" si="9"/>
        <v>86.235294117647058</v>
      </c>
      <c r="J327" s="230"/>
    </row>
    <row r="328" spans="1:12" s="28" customFormat="1" ht="15">
      <c r="A328" s="95" t="s">
        <v>164</v>
      </c>
      <c r="B328" s="148"/>
      <c r="C328" s="148" t="s">
        <v>204</v>
      </c>
      <c r="D328" s="148" t="s">
        <v>836</v>
      </c>
      <c r="E328" s="148" t="s">
        <v>1121</v>
      </c>
      <c r="F328" s="149" t="s">
        <v>165</v>
      </c>
      <c r="G328" s="81">
        <v>85</v>
      </c>
      <c r="H328" s="81">
        <v>73.3</v>
      </c>
      <c r="I328" s="20">
        <f t="shared" si="9"/>
        <v>86.235294117647058</v>
      </c>
      <c r="J328" s="230">
        <f>SUM(ведомствен.2013!G459)</f>
        <v>85</v>
      </c>
    </row>
    <row r="329" spans="1:12" s="25" customFormat="1" ht="20.25" customHeight="1">
      <c r="A329" s="94" t="s">
        <v>42</v>
      </c>
      <c r="B329" s="142"/>
      <c r="C329" s="142" t="s">
        <v>204</v>
      </c>
      <c r="D329" s="142" t="s">
        <v>838</v>
      </c>
      <c r="E329" s="142"/>
      <c r="F329" s="140"/>
      <c r="G329" s="30">
        <f>SUM(G337+G349)+G332+G345+G334+G357+G371+G367</f>
        <v>121466</v>
      </c>
      <c r="H329" s="30">
        <f>SUM(H337+H349)+H332+H345+H334+H357+H371+H367</f>
        <v>128317.2</v>
      </c>
      <c r="I329" s="20">
        <f t="shared" si="9"/>
        <v>105.64042612747599</v>
      </c>
      <c r="J329" s="229"/>
      <c r="L329" s="25">
        <f>SUM(ведомствен.2013!G460)</f>
        <v>121466</v>
      </c>
    </row>
    <row r="330" spans="1:12" s="25" customFormat="1" ht="15" hidden="1" customHeight="1">
      <c r="A330" s="95" t="s">
        <v>43</v>
      </c>
      <c r="B330" s="138"/>
      <c r="C330" s="142" t="s">
        <v>204</v>
      </c>
      <c r="D330" s="142" t="s">
        <v>838</v>
      </c>
      <c r="E330" s="142" t="s">
        <v>44</v>
      </c>
      <c r="F330" s="139"/>
      <c r="G330" s="30"/>
      <c r="H330" s="30"/>
      <c r="I330" s="20" t="e">
        <f t="shared" si="9"/>
        <v>#DIV/0!</v>
      </c>
      <c r="J330" s="229"/>
    </row>
    <row r="331" spans="1:12" s="25" customFormat="1" ht="15" hidden="1" customHeight="1">
      <c r="A331" s="95" t="s">
        <v>45</v>
      </c>
      <c r="B331" s="138"/>
      <c r="C331" s="142" t="s">
        <v>204</v>
      </c>
      <c r="D331" s="142" t="s">
        <v>838</v>
      </c>
      <c r="E331" s="142" t="s">
        <v>44</v>
      </c>
      <c r="F331" s="139" t="s">
        <v>46</v>
      </c>
      <c r="G331" s="30"/>
      <c r="H331" s="30"/>
      <c r="I331" s="20" t="e">
        <f t="shared" si="9"/>
        <v>#DIV/0!</v>
      </c>
      <c r="J331" s="229"/>
    </row>
    <row r="332" spans="1:12" s="25" customFormat="1" ht="15" hidden="1" customHeight="1">
      <c r="A332" s="95" t="s">
        <v>728</v>
      </c>
      <c r="B332" s="138"/>
      <c r="C332" s="142" t="s">
        <v>204</v>
      </c>
      <c r="D332" s="142" t="s">
        <v>838</v>
      </c>
      <c r="E332" s="142" t="s">
        <v>729</v>
      </c>
      <c r="F332" s="139"/>
      <c r="G332" s="30">
        <f>SUM(G333)</f>
        <v>0</v>
      </c>
      <c r="H332" s="30">
        <f>SUM(H333)</f>
        <v>0</v>
      </c>
      <c r="I332" s="20" t="e">
        <f t="shared" si="9"/>
        <v>#DIV/0!</v>
      </c>
      <c r="J332" s="229"/>
    </row>
    <row r="333" spans="1:12" s="25" customFormat="1" ht="15" hidden="1" customHeight="1">
      <c r="A333" s="95" t="s">
        <v>164</v>
      </c>
      <c r="B333" s="138"/>
      <c r="C333" s="142" t="s">
        <v>204</v>
      </c>
      <c r="D333" s="142" t="s">
        <v>838</v>
      </c>
      <c r="E333" s="142" t="s">
        <v>729</v>
      </c>
      <c r="F333" s="139" t="s">
        <v>165</v>
      </c>
      <c r="G333" s="30"/>
      <c r="H333" s="30"/>
      <c r="I333" s="20" t="e">
        <f t="shared" si="9"/>
        <v>#DIV/0!</v>
      </c>
      <c r="J333" s="229"/>
    </row>
    <row r="334" spans="1:12" s="25" customFormat="1" ht="42.75" hidden="1" customHeight="1">
      <c r="A334" s="95" t="s">
        <v>574</v>
      </c>
      <c r="B334" s="138"/>
      <c r="C334" s="142" t="s">
        <v>204</v>
      </c>
      <c r="D334" s="142" t="s">
        <v>838</v>
      </c>
      <c r="E334" s="142" t="s">
        <v>575</v>
      </c>
      <c r="F334" s="139"/>
      <c r="G334" s="30">
        <f>SUM(G335)</f>
        <v>0</v>
      </c>
      <c r="H334" s="30">
        <f>SUM(H335)</f>
        <v>0</v>
      </c>
      <c r="I334" s="20" t="e">
        <f t="shared" si="9"/>
        <v>#DIV/0!</v>
      </c>
      <c r="J334" s="229"/>
    </row>
    <row r="335" spans="1:12" s="25" customFormat="1" ht="42.75" hidden="1" customHeight="1">
      <c r="A335" s="95" t="s">
        <v>576</v>
      </c>
      <c r="B335" s="138"/>
      <c r="C335" s="142" t="s">
        <v>204</v>
      </c>
      <c r="D335" s="142" t="s">
        <v>838</v>
      </c>
      <c r="E335" s="142" t="s">
        <v>577</v>
      </c>
      <c r="F335" s="139"/>
      <c r="G335" s="30">
        <f>SUM(G336)</f>
        <v>0</v>
      </c>
      <c r="H335" s="30">
        <f>SUM(H336)</f>
        <v>0</v>
      </c>
      <c r="I335" s="20" t="e">
        <f t="shared" si="9"/>
        <v>#DIV/0!</v>
      </c>
      <c r="J335" s="229"/>
    </row>
    <row r="336" spans="1:12" s="25" customFormat="1" ht="15" hidden="1" customHeight="1">
      <c r="A336" s="95" t="s">
        <v>943</v>
      </c>
      <c r="B336" s="138"/>
      <c r="C336" s="142" t="s">
        <v>204</v>
      </c>
      <c r="D336" s="142" t="s">
        <v>838</v>
      </c>
      <c r="E336" s="142" t="s">
        <v>577</v>
      </c>
      <c r="F336" s="139" t="s">
        <v>944</v>
      </c>
      <c r="G336" s="30"/>
      <c r="H336" s="30"/>
      <c r="I336" s="20" t="e">
        <f t="shared" si="9"/>
        <v>#DIV/0!</v>
      </c>
      <c r="J336" s="229"/>
    </row>
    <row r="337" spans="1:10" s="25" customFormat="1" ht="20.25" customHeight="1">
      <c r="A337" s="118" t="s">
        <v>578</v>
      </c>
      <c r="B337" s="142"/>
      <c r="C337" s="142" t="s">
        <v>204</v>
      </c>
      <c r="D337" s="142" t="s">
        <v>838</v>
      </c>
      <c r="E337" s="142" t="s">
        <v>44</v>
      </c>
      <c r="F337" s="140"/>
      <c r="G337" s="30">
        <f>SUM(G338+G340+G342)+G361</f>
        <v>22163.599999999999</v>
      </c>
      <c r="H337" s="30">
        <f>SUM(H338+H340+H342)+H361</f>
        <v>22037.5</v>
      </c>
      <c r="I337" s="20">
        <f t="shared" si="9"/>
        <v>99.431049107545704</v>
      </c>
      <c r="J337" s="229"/>
    </row>
    <row r="338" spans="1:10" s="25" customFormat="1" ht="42.75" hidden="1" customHeight="1">
      <c r="A338" s="98" t="s">
        <v>579</v>
      </c>
      <c r="B338" s="142"/>
      <c r="C338" s="142" t="s">
        <v>204</v>
      </c>
      <c r="D338" s="142" t="s">
        <v>838</v>
      </c>
      <c r="E338" s="142" t="s">
        <v>580</v>
      </c>
      <c r="F338" s="140"/>
      <c r="G338" s="30">
        <f>SUM(G339)</f>
        <v>0</v>
      </c>
      <c r="H338" s="30">
        <f>SUM(H339)</f>
        <v>0</v>
      </c>
      <c r="I338" s="20" t="e">
        <f t="shared" si="9"/>
        <v>#DIV/0!</v>
      </c>
      <c r="J338" s="229"/>
    </row>
    <row r="339" spans="1:10" s="25" customFormat="1" ht="15" hidden="1" customHeight="1">
      <c r="A339" s="95" t="s">
        <v>943</v>
      </c>
      <c r="B339" s="138"/>
      <c r="C339" s="138" t="s">
        <v>204</v>
      </c>
      <c r="D339" s="142" t="s">
        <v>838</v>
      </c>
      <c r="E339" s="142" t="s">
        <v>580</v>
      </c>
      <c r="F339" s="139" t="s">
        <v>944</v>
      </c>
      <c r="G339" s="30"/>
      <c r="H339" s="30"/>
      <c r="I339" s="20" t="e">
        <f t="shared" si="9"/>
        <v>#DIV/0!</v>
      </c>
      <c r="J339" s="229"/>
    </row>
    <row r="340" spans="1:10" s="25" customFormat="1" ht="57" hidden="1" customHeight="1">
      <c r="A340" s="98" t="s">
        <v>15</v>
      </c>
      <c r="B340" s="138"/>
      <c r="C340" s="142" t="s">
        <v>204</v>
      </c>
      <c r="D340" s="142" t="s">
        <v>838</v>
      </c>
      <c r="E340" s="142" t="s">
        <v>16</v>
      </c>
      <c r="F340" s="139"/>
      <c r="G340" s="30">
        <f>SUM(G341)</f>
        <v>0</v>
      </c>
      <c r="H340" s="30">
        <f>SUM(H341)</f>
        <v>0</v>
      </c>
      <c r="I340" s="20" t="e">
        <f t="shared" si="9"/>
        <v>#DIV/0!</v>
      </c>
      <c r="J340" s="229"/>
    </row>
    <row r="341" spans="1:10" s="25" customFormat="1" ht="15" hidden="1" customHeight="1">
      <c r="A341" s="95" t="s">
        <v>943</v>
      </c>
      <c r="B341" s="138"/>
      <c r="C341" s="142" t="s">
        <v>204</v>
      </c>
      <c r="D341" s="142" t="s">
        <v>838</v>
      </c>
      <c r="E341" s="142" t="s">
        <v>16</v>
      </c>
      <c r="F341" s="139" t="s">
        <v>944</v>
      </c>
      <c r="G341" s="30"/>
      <c r="H341" s="30"/>
      <c r="I341" s="20" t="e">
        <f t="shared" si="9"/>
        <v>#DIV/0!</v>
      </c>
      <c r="J341" s="229"/>
    </row>
    <row r="342" spans="1:10" s="25" customFormat="1" ht="21" customHeight="1">
      <c r="A342" s="119" t="s">
        <v>17</v>
      </c>
      <c r="B342" s="142"/>
      <c r="C342" s="142" t="s">
        <v>204</v>
      </c>
      <c r="D342" s="142" t="s">
        <v>838</v>
      </c>
      <c r="E342" s="142" t="s">
        <v>18</v>
      </c>
      <c r="F342" s="140"/>
      <c r="G342" s="30">
        <f>SUM(G343)+G344+G360</f>
        <v>20604.3</v>
      </c>
      <c r="H342" s="30">
        <f>SUM(H343)+H344+H360</f>
        <v>20478.2</v>
      </c>
      <c r="I342" s="20">
        <f t="shared" si="9"/>
        <v>99.387991826948749</v>
      </c>
      <c r="J342" s="229"/>
    </row>
    <row r="343" spans="1:10" s="25" customFormat="1" ht="15" hidden="1" customHeight="1">
      <c r="A343" s="95" t="s">
        <v>943</v>
      </c>
      <c r="B343" s="142"/>
      <c r="C343" s="142" t="s">
        <v>204</v>
      </c>
      <c r="D343" s="142" t="s">
        <v>838</v>
      </c>
      <c r="E343" s="142" t="s">
        <v>18</v>
      </c>
      <c r="F343" s="139" t="s">
        <v>944</v>
      </c>
      <c r="G343" s="204"/>
      <c r="H343" s="204"/>
      <c r="I343" s="20" t="e">
        <f t="shared" si="9"/>
        <v>#DIV/0!</v>
      </c>
      <c r="J343" s="225"/>
    </row>
    <row r="344" spans="1:10" s="25" customFormat="1" ht="17.25" customHeight="1">
      <c r="A344" s="95" t="s">
        <v>164</v>
      </c>
      <c r="B344" s="142"/>
      <c r="C344" s="142" t="s">
        <v>204</v>
      </c>
      <c r="D344" s="142" t="s">
        <v>838</v>
      </c>
      <c r="E344" s="142" t="s">
        <v>18</v>
      </c>
      <c r="F344" s="139" t="s">
        <v>165</v>
      </c>
      <c r="G344" s="204">
        <v>20604.3</v>
      </c>
      <c r="H344" s="204">
        <v>20478.2</v>
      </c>
      <c r="I344" s="20">
        <f t="shared" si="9"/>
        <v>99.387991826948749</v>
      </c>
      <c r="J344" s="225">
        <f>SUM(ведомствен.2013!G474)</f>
        <v>20604.3</v>
      </c>
    </row>
    <row r="345" spans="1:10" s="25" customFormat="1" ht="15" hidden="1" customHeight="1">
      <c r="A345" s="119" t="s">
        <v>932</v>
      </c>
      <c r="B345" s="148"/>
      <c r="C345" s="142" t="s">
        <v>204</v>
      </c>
      <c r="D345" s="142" t="s">
        <v>838</v>
      </c>
      <c r="E345" s="148" t="s">
        <v>933</v>
      </c>
      <c r="F345" s="140"/>
      <c r="G345" s="204">
        <f t="shared" ref="G345:H347" si="10">SUM(G346)</f>
        <v>0</v>
      </c>
      <c r="H345" s="204">
        <f t="shared" si="10"/>
        <v>0</v>
      </c>
      <c r="I345" s="20" t="e">
        <f t="shared" si="9"/>
        <v>#DIV/0!</v>
      </c>
      <c r="J345" s="229"/>
    </row>
    <row r="346" spans="1:10" s="25" customFormat="1" ht="42.75" hidden="1" customHeight="1">
      <c r="A346" s="95" t="s">
        <v>825</v>
      </c>
      <c r="B346" s="148"/>
      <c r="C346" s="142" t="s">
        <v>204</v>
      </c>
      <c r="D346" s="142" t="s">
        <v>838</v>
      </c>
      <c r="E346" s="148" t="s">
        <v>826</v>
      </c>
      <c r="F346" s="140"/>
      <c r="G346" s="204">
        <f t="shared" si="10"/>
        <v>0</v>
      </c>
      <c r="H346" s="204">
        <f t="shared" si="10"/>
        <v>0</v>
      </c>
      <c r="I346" s="20" t="e">
        <f t="shared" si="9"/>
        <v>#DIV/0!</v>
      </c>
      <c r="J346" s="229"/>
    </row>
    <row r="347" spans="1:10" s="25" customFormat="1" ht="28.5" hidden="1" customHeight="1">
      <c r="A347" s="119" t="s">
        <v>19</v>
      </c>
      <c r="B347" s="138"/>
      <c r="C347" s="142" t="s">
        <v>204</v>
      </c>
      <c r="D347" s="142" t="s">
        <v>838</v>
      </c>
      <c r="E347" s="148" t="s">
        <v>20</v>
      </c>
      <c r="F347" s="140"/>
      <c r="G347" s="204">
        <f t="shared" si="10"/>
        <v>0</v>
      </c>
      <c r="H347" s="204">
        <f t="shared" si="10"/>
        <v>0</v>
      </c>
      <c r="I347" s="20" t="e">
        <f t="shared" si="9"/>
        <v>#DIV/0!</v>
      </c>
      <c r="J347" s="229"/>
    </row>
    <row r="348" spans="1:10" s="25" customFormat="1" ht="15" hidden="1" customHeight="1">
      <c r="A348" s="95" t="s">
        <v>164</v>
      </c>
      <c r="B348" s="142"/>
      <c r="C348" s="142" t="s">
        <v>204</v>
      </c>
      <c r="D348" s="142" t="s">
        <v>838</v>
      </c>
      <c r="E348" s="148" t="s">
        <v>20</v>
      </c>
      <c r="F348" s="139" t="s">
        <v>165</v>
      </c>
      <c r="G348" s="204"/>
      <c r="H348" s="204"/>
      <c r="I348" s="20" t="e">
        <f t="shared" si="9"/>
        <v>#DIV/0!</v>
      </c>
      <c r="J348" s="229"/>
    </row>
    <row r="349" spans="1:10" s="25" customFormat="1" ht="15" hidden="1" customHeight="1">
      <c r="A349" s="98" t="s">
        <v>200</v>
      </c>
      <c r="B349" s="148"/>
      <c r="C349" s="148" t="s">
        <v>204</v>
      </c>
      <c r="D349" s="148" t="s">
        <v>838</v>
      </c>
      <c r="E349" s="148" t="s">
        <v>201</v>
      </c>
      <c r="F349" s="149"/>
      <c r="G349" s="204">
        <f>SUM(G350)</f>
        <v>0</v>
      </c>
      <c r="H349" s="204">
        <f>SUM(H350)</f>
        <v>0</v>
      </c>
      <c r="I349" s="20" t="e">
        <f t="shared" si="9"/>
        <v>#DIV/0!</v>
      </c>
      <c r="J349" s="229"/>
    </row>
    <row r="350" spans="1:10" s="25" customFormat="1" ht="15" hidden="1" customHeight="1">
      <c r="A350" s="95" t="s">
        <v>164</v>
      </c>
      <c r="B350" s="148"/>
      <c r="C350" s="148" t="s">
        <v>204</v>
      </c>
      <c r="D350" s="148" t="s">
        <v>838</v>
      </c>
      <c r="E350" s="148" t="s">
        <v>201</v>
      </c>
      <c r="F350" s="139" t="s">
        <v>165</v>
      </c>
      <c r="G350" s="204">
        <f>SUM(G351:G354)</f>
        <v>0</v>
      </c>
      <c r="H350" s="204">
        <f>SUM(H351:H354)</f>
        <v>0</v>
      </c>
      <c r="I350" s="20" t="e">
        <f t="shared" si="9"/>
        <v>#DIV/0!</v>
      </c>
      <c r="J350" s="229"/>
    </row>
    <row r="351" spans="1:10" s="25" customFormat="1" ht="28.5" hidden="1" customHeight="1">
      <c r="A351" s="95" t="s">
        <v>21</v>
      </c>
      <c r="B351" s="148"/>
      <c r="C351" s="148" t="s">
        <v>204</v>
      </c>
      <c r="D351" s="148" t="s">
        <v>838</v>
      </c>
      <c r="E351" s="148" t="s">
        <v>22</v>
      </c>
      <c r="F351" s="139" t="s">
        <v>165</v>
      </c>
      <c r="G351" s="204"/>
      <c r="H351" s="204"/>
      <c r="I351" s="20" t="e">
        <f t="shared" si="9"/>
        <v>#DIV/0!</v>
      </c>
      <c r="J351" s="229"/>
    </row>
    <row r="352" spans="1:10" s="25" customFormat="1" ht="28.5" hidden="1" customHeight="1">
      <c r="A352" s="98" t="s">
        <v>23</v>
      </c>
      <c r="B352" s="148"/>
      <c r="C352" s="148" t="s">
        <v>204</v>
      </c>
      <c r="D352" s="148" t="s">
        <v>838</v>
      </c>
      <c r="E352" s="148" t="s">
        <v>24</v>
      </c>
      <c r="F352" s="139" t="s">
        <v>165</v>
      </c>
      <c r="G352" s="204"/>
      <c r="H352" s="204"/>
      <c r="I352" s="20" t="e">
        <f t="shared" si="9"/>
        <v>#DIV/0!</v>
      </c>
      <c r="J352" s="229"/>
    </row>
    <row r="353" spans="1:10" s="25" customFormat="1" ht="15" hidden="1" customHeight="1">
      <c r="A353" s="98" t="s">
        <v>25</v>
      </c>
      <c r="B353" s="148"/>
      <c r="C353" s="148" t="s">
        <v>204</v>
      </c>
      <c r="D353" s="148" t="s">
        <v>838</v>
      </c>
      <c r="E353" s="148" t="s">
        <v>26</v>
      </c>
      <c r="F353" s="139" t="s">
        <v>165</v>
      </c>
      <c r="G353" s="204"/>
      <c r="H353" s="204"/>
      <c r="I353" s="20" t="e">
        <f t="shared" si="9"/>
        <v>#DIV/0!</v>
      </c>
      <c r="J353" s="229"/>
    </row>
    <row r="354" spans="1:10" s="25" customFormat="1" ht="28.5" hidden="1" customHeight="1">
      <c r="A354" s="114" t="s">
        <v>27</v>
      </c>
      <c r="B354" s="148"/>
      <c r="C354" s="148" t="s">
        <v>204</v>
      </c>
      <c r="D354" s="148" t="s">
        <v>838</v>
      </c>
      <c r="E354" s="148" t="s">
        <v>28</v>
      </c>
      <c r="F354" s="139"/>
      <c r="G354" s="204">
        <f>SUM(G355)</f>
        <v>0</v>
      </c>
      <c r="H354" s="204">
        <f>SUM(H355)</f>
        <v>0</v>
      </c>
      <c r="I354" s="20" t="e">
        <f t="shared" si="9"/>
        <v>#DIV/0!</v>
      </c>
      <c r="J354" s="229"/>
    </row>
    <row r="355" spans="1:10" s="25" customFormat="1" ht="28.5" hidden="1" customHeight="1">
      <c r="A355" s="98" t="s">
        <v>19</v>
      </c>
      <c r="B355" s="148"/>
      <c r="C355" s="148" t="s">
        <v>204</v>
      </c>
      <c r="D355" s="148" t="s">
        <v>838</v>
      </c>
      <c r="E355" s="148" t="s">
        <v>29</v>
      </c>
      <c r="F355" s="139"/>
      <c r="G355" s="204">
        <f>SUM(G356)</f>
        <v>0</v>
      </c>
      <c r="H355" s="204">
        <f>SUM(H356)</f>
        <v>0</v>
      </c>
      <c r="I355" s="20" t="e">
        <f t="shared" si="9"/>
        <v>#DIV/0!</v>
      </c>
      <c r="J355" s="229"/>
    </row>
    <row r="356" spans="1:10" s="25" customFormat="1" ht="15" hidden="1" customHeight="1">
      <c r="A356" s="95" t="s">
        <v>164</v>
      </c>
      <c r="B356" s="148"/>
      <c r="C356" s="148" t="s">
        <v>204</v>
      </c>
      <c r="D356" s="148" t="s">
        <v>838</v>
      </c>
      <c r="E356" s="148" t="s">
        <v>29</v>
      </c>
      <c r="F356" s="139" t="s">
        <v>165</v>
      </c>
      <c r="G356" s="204"/>
      <c r="H356" s="204"/>
      <c r="I356" s="20" t="e">
        <f t="shared" si="9"/>
        <v>#DIV/0!</v>
      </c>
      <c r="J356" s="229"/>
    </row>
    <row r="357" spans="1:10" ht="15" hidden="1">
      <c r="A357" s="97" t="s">
        <v>200</v>
      </c>
      <c r="B357" s="142"/>
      <c r="C357" s="142" t="s">
        <v>204</v>
      </c>
      <c r="D357" s="142" t="s">
        <v>838</v>
      </c>
      <c r="E357" s="142" t="s">
        <v>201</v>
      </c>
      <c r="F357" s="139"/>
      <c r="G357" s="204">
        <f>SUM(G358)</f>
        <v>0</v>
      </c>
      <c r="H357" s="204">
        <f>SUM(H358)</f>
        <v>0</v>
      </c>
      <c r="I357" s="20" t="e">
        <f t="shared" si="9"/>
        <v>#DIV/0!</v>
      </c>
    </row>
    <row r="358" spans="1:10" ht="15" hidden="1">
      <c r="A358" s="94"/>
      <c r="B358" s="142"/>
      <c r="C358" s="142" t="s">
        <v>204</v>
      </c>
      <c r="D358" s="142" t="s">
        <v>838</v>
      </c>
      <c r="E358" s="142" t="s">
        <v>201</v>
      </c>
      <c r="F358" s="140"/>
      <c r="G358" s="204">
        <f>SUM(G359)</f>
        <v>0</v>
      </c>
      <c r="H358" s="204">
        <f>SUM(H359)</f>
        <v>0</v>
      </c>
      <c r="I358" s="20" t="e">
        <f t="shared" si="9"/>
        <v>#DIV/0!</v>
      </c>
    </row>
    <row r="359" spans="1:10" ht="15" hidden="1">
      <c r="A359" s="94" t="s">
        <v>164</v>
      </c>
      <c r="B359" s="142"/>
      <c r="C359" s="142" t="s">
        <v>204</v>
      </c>
      <c r="D359" s="142" t="s">
        <v>838</v>
      </c>
      <c r="E359" s="142" t="s">
        <v>201</v>
      </c>
      <c r="F359" s="140" t="s">
        <v>165</v>
      </c>
      <c r="G359" s="204">
        <f>6000-6000</f>
        <v>0</v>
      </c>
      <c r="H359" s="204">
        <f>6000-6000</f>
        <v>0</v>
      </c>
      <c r="I359" s="20" t="e">
        <f t="shared" si="9"/>
        <v>#DIV/0!</v>
      </c>
    </row>
    <row r="360" spans="1:10" ht="15" hidden="1">
      <c r="A360" s="95" t="s">
        <v>943</v>
      </c>
      <c r="B360" s="142"/>
      <c r="C360" s="142" t="s">
        <v>204</v>
      </c>
      <c r="D360" s="142" t="s">
        <v>838</v>
      </c>
      <c r="E360" s="142" t="s">
        <v>18</v>
      </c>
      <c r="F360" s="140" t="s">
        <v>944</v>
      </c>
      <c r="G360" s="204"/>
      <c r="H360" s="204"/>
      <c r="I360" s="20" t="e">
        <f t="shared" si="9"/>
        <v>#DIV/0!</v>
      </c>
      <c r="J360" s="225">
        <f>SUM(ведомствен.2013!G155)</f>
        <v>0</v>
      </c>
    </row>
    <row r="361" spans="1:10" ht="36.75" customHeight="1">
      <c r="A361" s="95" t="s">
        <v>953</v>
      </c>
      <c r="B361" s="142"/>
      <c r="C361" s="142" t="s">
        <v>204</v>
      </c>
      <c r="D361" s="142" t="s">
        <v>838</v>
      </c>
      <c r="E361" s="142" t="s">
        <v>237</v>
      </c>
      <c r="F361" s="139"/>
      <c r="G361" s="204">
        <f>SUM(G362+G364)</f>
        <v>1559.3</v>
      </c>
      <c r="H361" s="204">
        <f>SUM(H362+H364)</f>
        <v>1559.3</v>
      </c>
      <c r="I361" s="20">
        <f t="shared" si="9"/>
        <v>100</v>
      </c>
    </row>
    <row r="362" spans="1:10" ht="28.5">
      <c r="A362" s="95" t="s">
        <v>374</v>
      </c>
      <c r="B362" s="142"/>
      <c r="C362" s="142" t="s">
        <v>204</v>
      </c>
      <c r="D362" s="142" t="s">
        <v>838</v>
      </c>
      <c r="E362" s="142" t="s">
        <v>238</v>
      </c>
      <c r="F362" s="139"/>
      <c r="G362" s="204">
        <f>SUM(G363)</f>
        <v>258</v>
      </c>
      <c r="H362" s="204">
        <f>SUM(H363)</f>
        <v>258</v>
      </c>
      <c r="I362" s="20">
        <f t="shared" si="9"/>
        <v>100</v>
      </c>
    </row>
    <row r="363" spans="1:10" ht="42.75">
      <c r="A363" s="95" t="s">
        <v>256</v>
      </c>
      <c r="B363" s="142"/>
      <c r="C363" s="142" t="s">
        <v>204</v>
      </c>
      <c r="D363" s="142" t="s">
        <v>838</v>
      </c>
      <c r="E363" s="142" t="s">
        <v>238</v>
      </c>
      <c r="F363" s="139" t="s">
        <v>51</v>
      </c>
      <c r="G363" s="204">
        <v>258</v>
      </c>
      <c r="H363" s="204">
        <v>258</v>
      </c>
      <c r="I363" s="20">
        <f t="shared" si="9"/>
        <v>100</v>
      </c>
      <c r="J363" s="225">
        <f>SUM(ведомствен.2013!G477)</f>
        <v>258</v>
      </c>
    </row>
    <row r="364" spans="1:10" s="25" customFormat="1" ht="45" customHeight="1">
      <c r="A364" s="95" t="s">
        <v>263</v>
      </c>
      <c r="B364" s="142"/>
      <c r="C364" s="142" t="s">
        <v>204</v>
      </c>
      <c r="D364" s="142" t="s">
        <v>838</v>
      </c>
      <c r="E364" s="142" t="s">
        <v>269</v>
      </c>
      <c r="F364" s="140"/>
      <c r="G364" s="30">
        <f>SUM(G365)</f>
        <v>1301.3</v>
      </c>
      <c r="H364" s="30">
        <f>SUM(H365)</f>
        <v>1301.3</v>
      </c>
      <c r="I364" s="20">
        <f t="shared" si="9"/>
        <v>100</v>
      </c>
      <c r="J364" s="229"/>
    </row>
    <row r="365" spans="1:10" s="25" customFormat="1" ht="33" customHeight="1">
      <c r="A365" s="95" t="s">
        <v>403</v>
      </c>
      <c r="B365" s="142"/>
      <c r="C365" s="142" t="s">
        <v>204</v>
      </c>
      <c r="D365" s="142" t="s">
        <v>838</v>
      </c>
      <c r="E365" s="142" t="s">
        <v>1028</v>
      </c>
      <c r="F365" s="139"/>
      <c r="G365" s="204">
        <f>SUM(G366)</f>
        <v>1301.3</v>
      </c>
      <c r="H365" s="204">
        <f>SUM(H366)</f>
        <v>1301.3</v>
      </c>
      <c r="I365" s="20">
        <f t="shared" si="9"/>
        <v>100</v>
      </c>
      <c r="J365" s="229"/>
    </row>
    <row r="366" spans="1:10" s="25" customFormat="1" ht="15">
      <c r="A366" s="95" t="s">
        <v>276</v>
      </c>
      <c r="B366" s="142"/>
      <c r="C366" s="142" t="s">
        <v>204</v>
      </c>
      <c r="D366" s="142" t="s">
        <v>838</v>
      </c>
      <c r="E366" s="142" t="s">
        <v>1028</v>
      </c>
      <c r="F366" s="139" t="s">
        <v>132</v>
      </c>
      <c r="G366" s="204">
        <v>1301.3</v>
      </c>
      <c r="H366" s="204">
        <v>1301.3</v>
      </c>
      <c r="I366" s="20">
        <f t="shared" si="9"/>
        <v>100</v>
      </c>
      <c r="J366" s="229">
        <f>SUM(ведомствен.2013!G480)</f>
        <v>1301.3</v>
      </c>
    </row>
    <row r="367" spans="1:10" s="25" customFormat="1" ht="15">
      <c r="A367" s="95" t="s">
        <v>932</v>
      </c>
      <c r="B367" s="142"/>
      <c r="C367" s="142" t="s">
        <v>204</v>
      </c>
      <c r="D367" s="142" t="s">
        <v>838</v>
      </c>
      <c r="E367" s="142" t="s">
        <v>933</v>
      </c>
      <c r="F367" s="139"/>
      <c r="G367" s="204">
        <f t="shared" ref="G367:H369" si="11">SUM(G368)</f>
        <v>25000</v>
      </c>
      <c r="H367" s="204">
        <f t="shared" si="11"/>
        <v>32000</v>
      </c>
      <c r="I367" s="20">
        <f t="shared" si="9"/>
        <v>128</v>
      </c>
      <c r="J367" s="229"/>
    </row>
    <row r="368" spans="1:10" s="25" customFormat="1" ht="42.75">
      <c r="A368" s="245" t="s">
        <v>1032</v>
      </c>
      <c r="B368" s="142"/>
      <c r="C368" s="142" t="s">
        <v>204</v>
      </c>
      <c r="D368" s="142" t="s">
        <v>838</v>
      </c>
      <c r="E368" s="142" t="s">
        <v>826</v>
      </c>
      <c r="F368" s="139"/>
      <c r="G368" s="204">
        <f t="shared" si="11"/>
        <v>25000</v>
      </c>
      <c r="H368" s="204">
        <f t="shared" si="11"/>
        <v>32000</v>
      </c>
      <c r="I368" s="20">
        <f t="shared" si="9"/>
        <v>128</v>
      </c>
      <c r="J368" s="229"/>
    </row>
    <row r="369" spans="1:12" s="25" customFormat="1" ht="28.5">
      <c r="A369" s="124" t="s">
        <v>19</v>
      </c>
      <c r="B369" s="142"/>
      <c r="C369" s="142" t="s">
        <v>204</v>
      </c>
      <c r="D369" s="142" t="s">
        <v>838</v>
      </c>
      <c r="E369" s="142" t="s">
        <v>20</v>
      </c>
      <c r="F369" s="139"/>
      <c r="G369" s="204">
        <f t="shared" si="11"/>
        <v>25000</v>
      </c>
      <c r="H369" s="204">
        <f t="shared" si="11"/>
        <v>32000</v>
      </c>
      <c r="I369" s="20">
        <f t="shared" si="9"/>
        <v>128</v>
      </c>
      <c r="J369" s="229"/>
    </row>
    <row r="370" spans="1:12" s="25" customFormat="1" ht="15">
      <c r="A370" s="245" t="s">
        <v>207</v>
      </c>
      <c r="B370" s="142"/>
      <c r="C370" s="142" t="s">
        <v>204</v>
      </c>
      <c r="D370" s="142" t="s">
        <v>838</v>
      </c>
      <c r="E370" s="142" t="s">
        <v>20</v>
      </c>
      <c r="F370" s="139" t="s">
        <v>208</v>
      </c>
      <c r="G370" s="204">
        <v>25000</v>
      </c>
      <c r="H370" s="204">
        <v>32000</v>
      </c>
      <c r="I370" s="20">
        <f t="shared" si="9"/>
        <v>128</v>
      </c>
      <c r="J370" s="229">
        <f>SUM(ведомствен.2013!G484)</f>
        <v>25000</v>
      </c>
    </row>
    <row r="371" spans="1:12" s="25" customFormat="1" ht="15">
      <c r="A371" s="98" t="s">
        <v>200</v>
      </c>
      <c r="B371" s="148"/>
      <c r="C371" s="148" t="s">
        <v>204</v>
      </c>
      <c r="D371" s="148" t="s">
        <v>838</v>
      </c>
      <c r="E371" s="148" t="s">
        <v>201</v>
      </c>
      <c r="F371" s="149"/>
      <c r="G371" s="204">
        <f>SUM(G372)+G375+G378</f>
        <v>74302.399999999994</v>
      </c>
      <c r="H371" s="204">
        <f>SUM(H372)+H375+H378</f>
        <v>74279.7</v>
      </c>
      <c r="I371" s="20">
        <f t="shared" si="9"/>
        <v>99.969449169878771</v>
      </c>
      <c r="J371" s="229"/>
    </row>
    <row r="372" spans="1:12" s="25" customFormat="1" ht="57">
      <c r="A372" s="217" t="s">
        <v>1035</v>
      </c>
      <c r="B372" s="148"/>
      <c r="C372" s="148" t="s">
        <v>204</v>
      </c>
      <c r="D372" s="148" t="s">
        <v>838</v>
      </c>
      <c r="E372" s="148" t="s">
        <v>842</v>
      </c>
      <c r="F372" s="139"/>
      <c r="G372" s="204">
        <f>SUM(G373+G374)</f>
        <v>1182</v>
      </c>
      <c r="H372" s="204">
        <f>SUM(H373+H374)</f>
        <v>1182</v>
      </c>
      <c r="I372" s="20">
        <f t="shared" si="9"/>
        <v>100</v>
      </c>
      <c r="J372" s="229"/>
    </row>
    <row r="373" spans="1:12" s="25" customFormat="1" ht="15" hidden="1">
      <c r="A373" s="95" t="s">
        <v>943</v>
      </c>
      <c r="B373" s="148"/>
      <c r="C373" s="148" t="s">
        <v>204</v>
      </c>
      <c r="D373" s="148" t="s">
        <v>838</v>
      </c>
      <c r="E373" s="148" t="s">
        <v>842</v>
      </c>
      <c r="F373" s="139" t="s">
        <v>944</v>
      </c>
      <c r="G373" s="204"/>
      <c r="H373" s="204"/>
      <c r="I373" s="20" t="e">
        <f t="shared" si="9"/>
        <v>#DIV/0!</v>
      </c>
      <c r="J373" s="229">
        <f>SUM(ведомствен.2013!G170)</f>
        <v>0</v>
      </c>
    </row>
    <row r="374" spans="1:12" s="25" customFormat="1" ht="15">
      <c r="A374" s="95" t="s">
        <v>164</v>
      </c>
      <c r="B374" s="148"/>
      <c r="C374" s="148" t="s">
        <v>204</v>
      </c>
      <c r="D374" s="148" t="s">
        <v>838</v>
      </c>
      <c r="E374" s="148" t="s">
        <v>842</v>
      </c>
      <c r="F374" s="139" t="s">
        <v>165</v>
      </c>
      <c r="G374" s="204">
        <v>1182</v>
      </c>
      <c r="H374" s="204">
        <v>1182</v>
      </c>
      <c r="I374" s="20">
        <f t="shared" si="9"/>
        <v>100</v>
      </c>
      <c r="J374" s="229">
        <f>SUM(ведомствен.2013!G487)</f>
        <v>1182</v>
      </c>
    </row>
    <row r="375" spans="1:12" s="25" customFormat="1" ht="57">
      <c r="A375" s="217" t="s">
        <v>1045</v>
      </c>
      <c r="B375" s="148"/>
      <c r="C375" s="148" t="s">
        <v>204</v>
      </c>
      <c r="D375" s="148" t="s">
        <v>838</v>
      </c>
      <c r="E375" s="148" t="s">
        <v>913</v>
      </c>
      <c r="F375" s="139"/>
      <c r="G375" s="204">
        <f>SUM(G376+G377)</f>
        <v>71926.399999999994</v>
      </c>
      <c r="H375" s="204">
        <f>SUM(H376+H377)</f>
        <v>71903.7</v>
      </c>
      <c r="I375" s="20">
        <f t="shared" si="9"/>
        <v>99.968439960848883</v>
      </c>
      <c r="J375" s="229"/>
    </row>
    <row r="376" spans="1:12" s="25" customFormat="1" ht="15">
      <c r="A376" s="95" t="s">
        <v>943</v>
      </c>
      <c r="B376" s="148"/>
      <c r="C376" s="148" t="s">
        <v>204</v>
      </c>
      <c r="D376" s="148" t="s">
        <v>838</v>
      </c>
      <c r="E376" s="148" t="s">
        <v>913</v>
      </c>
      <c r="F376" s="139" t="s">
        <v>944</v>
      </c>
      <c r="G376" s="204">
        <v>62705.4</v>
      </c>
      <c r="H376" s="204">
        <v>62705.4</v>
      </c>
      <c r="I376" s="20">
        <f t="shared" si="9"/>
        <v>100</v>
      </c>
      <c r="J376" s="229">
        <f>SUM(ведомствен.2013!G489)</f>
        <v>62705.4</v>
      </c>
    </row>
    <row r="377" spans="1:12" s="25" customFormat="1" ht="14.25" customHeight="1">
      <c r="A377" s="95" t="s">
        <v>164</v>
      </c>
      <c r="B377" s="148"/>
      <c r="C377" s="148" t="s">
        <v>204</v>
      </c>
      <c r="D377" s="148" t="s">
        <v>838</v>
      </c>
      <c r="E377" s="148" t="s">
        <v>913</v>
      </c>
      <c r="F377" s="139" t="s">
        <v>165</v>
      </c>
      <c r="G377" s="204">
        <v>9221</v>
      </c>
      <c r="H377" s="204">
        <v>9198.2999999999993</v>
      </c>
      <c r="I377" s="20">
        <f t="shared" si="9"/>
        <v>99.753822795792203</v>
      </c>
      <c r="J377" s="229">
        <f>SUM(ведомствен.2013!G490)</f>
        <v>9221</v>
      </c>
    </row>
    <row r="378" spans="1:12" s="25" customFormat="1" ht="34.5" customHeight="1">
      <c r="A378" s="94" t="s">
        <v>812</v>
      </c>
      <c r="B378" s="142"/>
      <c r="C378" s="215" t="s">
        <v>204</v>
      </c>
      <c r="D378" s="215" t="s">
        <v>838</v>
      </c>
      <c r="E378" s="251" t="s">
        <v>28</v>
      </c>
      <c r="F378" s="140"/>
      <c r="G378" s="27">
        <f>SUM(G379)</f>
        <v>1194</v>
      </c>
      <c r="H378" s="27">
        <f>SUM(H379)</f>
        <v>1194</v>
      </c>
      <c r="I378" s="20">
        <f t="shared" si="9"/>
        <v>100</v>
      </c>
      <c r="J378" s="229"/>
    </row>
    <row r="379" spans="1:12" s="25" customFormat="1" ht="28.5" customHeight="1">
      <c r="A379" s="124" t="s">
        <v>19</v>
      </c>
      <c r="B379" s="155"/>
      <c r="C379" s="215" t="s">
        <v>204</v>
      </c>
      <c r="D379" s="215" t="s">
        <v>838</v>
      </c>
      <c r="E379" s="251" t="s">
        <v>29</v>
      </c>
      <c r="F379" s="140"/>
      <c r="G379" s="27">
        <f>SUM(G380)</f>
        <v>1194</v>
      </c>
      <c r="H379" s="27">
        <f>SUM(H380)</f>
        <v>1194</v>
      </c>
      <c r="I379" s="20">
        <f t="shared" ref="I379:I442" si="12">SUM(H379/G379*100)</f>
        <v>100</v>
      </c>
      <c r="J379" s="229"/>
    </row>
    <row r="380" spans="1:12" s="25" customFormat="1" ht="15">
      <c r="A380" s="98" t="s">
        <v>207</v>
      </c>
      <c r="B380" s="142"/>
      <c r="C380" s="215" t="s">
        <v>204</v>
      </c>
      <c r="D380" s="215" t="s">
        <v>838</v>
      </c>
      <c r="E380" s="251" t="s">
        <v>29</v>
      </c>
      <c r="F380" s="140" t="s">
        <v>208</v>
      </c>
      <c r="G380" s="27">
        <v>1194</v>
      </c>
      <c r="H380" s="27">
        <v>1194</v>
      </c>
      <c r="I380" s="20">
        <f t="shared" si="12"/>
        <v>100</v>
      </c>
      <c r="J380" s="229">
        <f>SUM(ведомствен.2013!G493)</f>
        <v>1194</v>
      </c>
    </row>
    <row r="381" spans="1:12" ht="15" customHeight="1">
      <c r="A381" s="94" t="s">
        <v>30</v>
      </c>
      <c r="B381" s="138"/>
      <c r="C381" s="142" t="s">
        <v>204</v>
      </c>
      <c r="D381" s="142" t="s">
        <v>167</v>
      </c>
      <c r="E381" s="138"/>
      <c r="F381" s="141"/>
      <c r="G381" s="30">
        <f>SUM(G382+G384+G408)</f>
        <v>64754.399999999994</v>
      </c>
      <c r="H381" s="30">
        <f>SUM(H382+H384+H408)</f>
        <v>64138</v>
      </c>
      <c r="I381" s="20">
        <f t="shared" si="12"/>
        <v>99.048095573428213</v>
      </c>
      <c r="L381">
        <f>SUM(ведомствен.2013!G495)</f>
        <v>64754.399999999994</v>
      </c>
    </row>
    <row r="382" spans="1:12" ht="60.75" customHeight="1">
      <c r="A382" s="94" t="s">
        <v>1029</v>
      </c>
      <c r="B382" s="142"/>
      <c r="C382" s="142" t="s">
        <v>204</v>
      </c>
      <c r="D382" s="142" t="s">
        <v>167</v>
      </c>
      <c r="E382" s="142" t="s">
        <v>1030</v>
      </c>
      <c r="F382" s="140"/>
      <c r="G382" s="81">
        <f>SUM(G383)</f>
        <v>187.2</v>
      </c>
      <c r="H382" s="81">
        <f>SUM(H383)</f>
        <v>187</v>
      </c>
      <c r="I382" s="20">
        <f t="shared" si="12"/>
        <v>99.893162393162399</v>
      </c>
    </row>
    <row r="383" spans="1:12" ht="18" customHeight="1">
      <c r="A383" s="217" t="s">
        <v>164</v>
      </c>
      <c r="B383" s="142"/>
      <c r="C383" s="142" t="s">
        <v>204</v>
      </c>
      <c r="D383" s="142" t="s">
        <v>167</v>
      </c>
      <c r="E383" s="142" t="s">
        <v>1030</v>
      </c>
      <c r="F383" s="140" t="s">
        <v>165</v>
      </c>
      <c r="G383" s="81">
        <v>187.2</v>
      </c>
      <c r="H383" s="81">
        <v>187</v>
      </c>
      <c r="I383" s="20">
        <f t="shared" si="12"/>
        <v>99.893162393162399</v>
      </c>
      <c r="J383" s="225">
        <f>SUM(ведомствен.2013!G497)</f>
        <v>187.2</v>
      </c>
    </row>
    <row r="384" spans="1:12" s="25" customFormat="1" ht="15">
      <c r="A384" s="94" t="s">
        <v>30</v>
      </c>
      <c r="B384" s="148"/>
      <c r="C384" s="142" t="s">
        <v>204</v>
      </c>
      <c r="D384" s="142" t="s">
        <v>167</v>
      </c>
      <c r="E384" s="148" t="s">
        <v>107</v>
      </c>
      <c r="F384" s="149"/>
      <c r="G384" s="30">
        <f>SUM(G385+G390+G395+G398)+G393</f>
        <v>63834.5</v>
      </c>
      <c r="H384" s="30">
        <f>SUM(H385+H390+H395+H398)+H393</f>
        <v>63218.3</v>
      </c>
      <c r="I384" s="20">
        <f t="shared" si="12"/>
        <v>99.034691271961094</v>
      </c>
      <c r="J384" s="229"/>
    </row>
    <row r="385" spans="1:10" s="25" customFormat="1" ht="15">
      <c r="A385" s="98" t="s">
        <v>108</v>
      </c>
      <c r="B385" s="148"/>
      <c r="C385" s="142" t="s">
        <v>204</v>
      </c>
      <c r="D385" s="142" t="s">
        <v>167</v>
      </c>
      <c r="E385" s="148" t="s">
        <v>109</v>
      </c>
      <c r="F385" s="149"/>
      <c r="G385" s="30">
        <f>SUM(G386:G388)</f>
        <v>45379.9</v>
      </c>
      <c r="H385" s="30">
        <f>SUM(H386:H388)</f>
        <v>45305.3</v>
      </c>
      <c r="I385" s="20">
        <f t="shared" si="12"/>
        <v>99.83561003880574</v>
      </c>
      <c r="J385" s="229"/>
    </row>
    <row r="386" spans="1:10" s="33" customFormat="1" ht="15" hidden="1" customHeight="1">
      <c r="A386" s="95" t="s">
        <v>943</v>
      </c>
      <c r="B386" s="148"/>
      <c r="C386" s="142" t="s">
        <v>204</v>
      </c>
      <c r="D386" s="142" t="s">
        <v>167</v>
      </c>
      <c r="E386" s="148" t="s">
        <v>109</v>
      </c>
      <c r="F386" s="149" t="s">
        <v>944</v>
      </c>
      <c r="G386" s="30"/>
      <c r="H386" s="30"/>
      <c r="I386" s="20" t="e">
        <f t="shared" si="12"/>
        <v>#DIV/0!</v>
      </c>
      <c r="J386" s="225"/>
    </row>
    <row r="387" spans="1:10" s="25" customFormat="1" ht="13.5" customHeight="1">
      <c r="A387" s="95" t="s">
        <v>164</v>
      </c>
      <c r="B387" s="148"/>
      <c r="C387" s="142" t="s">
        <v>204</v>
      </c>
      <c r="D387" s="142" t="s">
        <v>167</v>
      </c>
      <c r="E387" s="148" t="s">
        <v>109</v>
      </c>
      <c r="F387" s="149" t="s">
        <v>165</v>
      </c>
      <c r="G387" s="30">
        <f>45879.9-500</f>
        <v>45379.9</v>
      </c>
      <c r="H387" s="30">
        <v>45305.3</v>
      </c>
      <c r="I387" s="20">
        <f t="shared" si="12"/>
        <v>99.83561003880574</v>
      </c>
      <c r="J387" s="225">
        <f>SUM(ведомствен.2013!G501)</f>
        <v>45379.9</v>
      </c>
    </row>
    <row r="388" spans="1:10" s="25" customFormat="1" ht="42.75" hidden="1" customHeight="1">
      <c r="A388" s="95" t="s">
        <v>1002</v>
      </c>
      <c r="B388" s="148"/>
      <c r="C388" s="142" t="s">
        <v>204</v>
      </c>
      <c r="D388" s="142" t="s">
        <v>167</v>
      </c>
      <c r="E388" s="148" t="s">
        <v>110</v>
      </c>
      <c r="F388" s="149"/>
      <c r="G388" s="30">
        <f>SUM(G389)</f>
        <v>0</v>
      </c>
      <c r="H388" s="30">
        <f>SUM(H389)</f>
        <v>0</v>
      </c>
      <c r="I388" s="20" t="e">
        <f t="shared" si="12"/>
        <v>#DIV/0!</v>
      </c>
      <c r="J388" s="229"/>
    </row>
    <row r="389" spans="1:10" s="25" customFormat="1" ht="15" hidden="1" customHeight="1">
      <c r="A389" s="95" t="s">
        <v>164</v>
      </c>
      <c r="B389" s="148"/>
      <c r="C389" s="142" t="s">
        <v>204</v>
      </c>
      <c r="D389" s="142" t="s">
        <v>167</v>
      </c>
      <c r="E389" s="148" t="s">
        <v>110</v>
      </c>
      <c r="F389" s="149" t="s">
        <v>165</v>
      </c>
      <c r="G389" s="30"/>
      <c r="H389" s="30"/>
      <c r="I389" s="20" t="e">
        <f t="shared" si="12"/>
        <v>#DIV/0!</v>
      </c>
      <c r="J389" s="229"/>
    </row>
    <row r="390" spans="1:10" s="25" customFormat="1" ht="28.5" hidden="1">
      <c r="A390" s="98" t="s">
        <v>4</v>
      </c>
      <c r="B390" s="148"/>
      <c r="C390" s="142" t="s">
        <v>204</v>
      </c>
      <c r="D390" s="142" t="s">
        <v>167</v>
      </c>
      <c r="E390" s="148" t="s">
        <v>5</v>
      </c>
      <c r="F390" s="149"/>
      <c r="G390" s="30">
        <f>SUM(G392+G391)</f>
        <v>0</v>
      </c>
      <c r="H390" s="30">
        <f>SUM(H392+H391)</f>
        <v>0</v>
      </c>
      <c r="I390" s="20" t="e">
        <f t="shared" si="12"/>
        <v>#DIV/0!</v>
      </c>
      <c r="J390" s="229"/>
    </row>
    <row r="391" spans="1:10" s="25" customFormat="1" ht="15" hidden="1">
      <c r="A391" s="95" t="s">
        <v>207</v>
      </c>
      <c r="B391" s="148"/>
      <c r="C391" s="142" t="s">
        <v>204</v>
      </c>
      <c r="D391" s="142" t="s">
        <v>167</v>
      </c>
      <c r="E391" s="148" t="s">
        <v>5</v>
      </c>
      <c r="F391" s="149" t="s">
        <v>208</v>
      </c>
      <c r="G391" s="30"/>
      <c r="H391" s="30"/>
      <c r="I391" s="20" t="e">
        <f t="shared" si="12"/>
        <v>#DIV/0!</v>
      </c>
      <c r="J391" s="225">
        <f>SUM(ведомствен.2013!G185)</f>
        <v>0</v>
      </c>
    </row>
    <row r="392" spans="1:10" s="25" customFormat="1" ht="15" hidden="1" customHeight="1">
      <c r="A392" s="95" t="s">
        <v>164</v>
      </c>
      <c r="B392" s="148"/>
      <c r="C392" s="142" t="s">
        <v>204</v>
      </c>
      <c r="D392" s="142" t="s">
        <v>167</v>
      </c>
      <c r="E392" s="148" t="s">
        <v>5</v>
      </c>
      <c r="F392" s="149" t="s">
        <v>165</v>
      </c>
      <c r="G392" s="30"/>
      <c r="H392" s="30"/>
      <c r="I392" s="20" t="e">
        <f t="shared" si="12"/>
        <v>#DIV/0!</v>
      </c>
      <c r="J392" s="225">
        <f>SUM(ведомствен.2013!G186)</f>
        <v>0</v>
      </c>
    </row>
    <row r="393" spans="1:10" s="25" customFormat="1" ht="57" hidden="1" customHeight="1">
      <c r="A393" s="95" t="s">
        <v>6</v>
      </c>
      <c r="B393" s="148"/>
      <c r="C393" s="142" t="s">
        <v>204</v>
      </c>
      <c r="D393" s="142" t="s">
        <v>167</v>
      </c>
      <c r="E393" s="148" t="s">
        <v>7</v>
      </c>
      <c r="F393" s="149"/>
      <c r="G393" s="30">
        <f>SUM(G394)</f>
        <v>0</v>
      </c>
      <c r="H393" s="30">
        <f>SUM(H394)</f>
        <v>0</v>
      </c>
      <c r="I393" s="20" t="e">
        <f t="shared" si="12"/>
        <v>#DIV/0!</v>
      </c>
      <c r="J393" s="229"/>
    </row>
    <row r="394" spans="1:10" s="25" customFormat="1" ht="15" hidden="1" customHeight="1">
      <c r="A394" s="95" t="s">
        <v>164</v>
      </c>
      <c r="B394" s="148"/>
      <c r="C394" s="142" t="s">
        <v>204</v>
      </c>
      <c r="D394" s="142" t="s">
        <v>167</v>
      </c>
      <c r="E394" s="148" t="s">
        <v>7</v>
      </c>
      <c r="F394" s="149" t="s">
        <v>165</v>
      </c>
      <c r="G394" s="30"/>
      <c r="H394" s="30"/>
      <c r="I394" s="20" t="e">
        <f t="shared" si="12"/>
        <v>#DIV/0!</v>
      </c>
      <c r="J394" s="229"/>
    </row>
    <row r="395" spans="1:10" s="25" customFormat="1" ht="15">
      <c r="A395" s="98" t="s">
        <v>8</v>
      </c>
      <c r="B395" s="148"/>
      <c r="C395" s="142" t="s">
        <v>204</v>
      </c>
      <c r="D395" s="142" t="s">
        <v>167</v>
      </c>
      <c r="E395" s="148" t="s">
        <v>9</v>
      </c>
      <c r="F395" s="149"/>
      <c r="G395" s="30">
        <f>SUM(G397+G396)</f>
        <v>1700.7</v>
      </c>
      <c r="H395" s="30">
        <f>SUM(H397+H396)</f>
        <v>1700.7</v>
      </c>
      <c r="I395" s="20">
        <f t="shared" si="12"/>
        <v>100</v>
      </c>
      <c r="J395" s="229"/>
    </row>
    <row r="396" spans="1:10" ht="16.5" customHeight="1">
      <c r="A396" s="95" t="s">
        <v>164</v>
      </c>
      <c r="B396" s="148"/>
      <c r="C396" s="142" t="s">
        <v>204</v>
      </c>
      <c r="D396" s="142" t="s">
        <v>167</v>
      </c>
      <c r="E396" s="148" t="s">
        <v>9</v>
      </c>
      <c r="F396" s="149" t="s">
        <v>165</v>
      </c>
      <c r="G396" s="30">
        <v>1700.7</v>
      </c>
      <c r="H396" s="30">
        <v>1700.7</v>
      </c>
      <c r="I396" s="20">
        <f t="shared" si="12"/>
        <v>100</v>
      </c>
      <c r="J396" s="225">
        <f>SUM(ведомствен.2013!G511)</f>
        <v>1700.7</v>
      </c>
    </row>
    <row r="397" spans="1:10" s="25" customFormat="1" ht="15" hidden="1" customHeight="1">
      <c r="A397" s="95" t="s">
        <v>164</v>
      </c>
      <c r="B397" s="148"/>
      <c r="C397" s="142" t="s">
        <v>204</v>
      </c>
      <c r="D397" s="142" t="s">
        <v>167</v>
      </c>
      <c r="E397" s="148" t="s">
        <v>9</v>
      </c>
      <c r="F397" s="149" t="s">
        <v>165</v>
      </c>
      <c r="G397" s="30"/>
      <c r="H397" s="30"/>
      <c r="I397" s="20" t="e">
        <f t="shared" si="12"/>
        <v>#DIV/0!</v>
      </c>
      <c r="J397" s="229"/>
    </row>
    <row r="398" spans="1:10" s="25" customFormat="1" ht="28.5">
      <c r="A398" s="98" t="s">
        <v>10</v>
      </c>
      <c r="B398" s="148"/>
      <c r="C398" s="142" t="s">
        <v>204</v>
      </c>
      <c r="D398" s="142" t="s">
        <v>167</v>
      </c>
      <c r="E398" s="148" t="s">
        <v>11</v>
      </c>
      <c r="F398" s="149"/>
      <c r="G398" s="30">
        <f>SUM(G400+G399)</f>
        <v>16753.900000000001</v>
      </c>
      <c r="H398" s="30">
        <f>SUM(H400+H399)</f>
        <v>16212.3</v>
      </c>
      <c r="I398" s="20">
        <f t="shared" si="12"/>
        <v>96.767319847915999</v>
      </c>
      <c r="J398" s="229"/>
    </row>
    <row r="399" spans="1:10" s="75" customFormat="1" ht="15">
      <c r="A399" s="95" t="s">
        <v>164</v>
      </c>
      <c r="B399" s="148"/>
      <c r="C399" s="142" t="s">
        <v>204</v>
      </c>
      <c r="D399" s="142" t="s">
        <v>167</v>
      </c>
      <c r="E399" s="148" t="s">
        <v>11</v>
      </c>
      <c r="F399" s="149" t="s">
        <v>165</v>
      </c>
      <c r="G399" s="30">
        <v>16753.900000000001</v>
      </c>
      <c r="H399" s="30">
        <v>16212.3</v>
      </c>
      <c r="I399" s="20">
        <f t="shared" si="12"/>
        <v>96.767319847915999</v>
      </c>
      <c r="J399" s="229">
        <f>SUM(ведомствен.2013!G514)</f>
        <v>16753.900000000001</v>
      </c>
    </row>
    <row r="400" spans="1:10" s="25" customFormat="1" ht="15" hidden="1" customHeight="1">
      <c r="A400" s="95" t="s">
        <v>164</v>
      </c>
      <c r="B400" s="148"/>
      <c r="C400" s="142" t="s">
        <v>204</v>
      </c>
      <c r="D400" s="142" t="s">
        <v>167</v>
      </c>
      <c r="E400" s="148" t="s">
        <v>11</v>
      </c>
      <c r="F400" s="149" t="s">
        <v>165</v>
      </c>
      <c r="G400" s="30"/>
      <c r="H400" s="30"/>
      <c r="I400" s="20" t="e">
        <f t="shared" si="12"/>
        <v>#DIV/0!</v>
      </c>
      <c r="J400" s="229"/>
    </row>
    <row r="401" spans="1:12" s="25" customFormat="1" ht="15" hidden="1">
      <c r="A401" s="98" t="s">
        <v>200</v>
      </c>
      <c r="B401" s="148"/>
      <c r="C401" s="142" t="s">
        <v>204</v>
      </c>
      <c r="D401" s="142" t="s">
        <v>167</v>
      </c>
      <c r="E401" s="148" t="s">
        <v>201</v>
      </c>
      <c r="F401" s="149"/>
      <c r="G401" s="30">
        <f>SUM(G402,G406)</f>
        <v>0</v>
      </c>
      <c r="H401" s="30">
        <f>SUM(H402,H406)</f>
        <v>0</v>
      </c>
      <c r="I401" s="20" t="e">
        <f t="shared" si="12"/>
        <v>#DIV/0!</v>
      </c>
      <c r="J401" s="229"/>
    </row>
    <row r="402" spans="1:12" s="25" customFormat="1" ht="28.5" hidden="1" customHeight="1">
      <c r="A402" s="95" t="s">
        <v>14</v>
      </c>
      <c r="B402" s="148"/>
      <c r="C402" s="142" t="s">
        <v>204</v>
      </c>
      <c r="D402" s="142" t="s">
        <v>167</v>
      </c>
      <c r="E402" s="148" t="s">
        <v>22</v>
      </c>
      <c r="F402" s="149"/>
      <c r="G402" s="30">
        <f>SUM(G403:G405)</f>
        <v>0</v>
      </c>
      <c r="H402" s="30">
        <f>SUM(H403:H405)</f>
        <v>0</v>
      </c>
      <c r="I402" s="20" t="e">
        <f t="shared" si="12"/>
        <v>#DIV/0!</v>
      </c>
      <c r="J402" s="229"/>
    </row>
    <row r="403" spans="1:12" s="29" customFormat="1" ht="28.5" hidden="1" customHeight="1">
      <c r="A403" s="98" t="s">
        <v>12</v>
      </c>
      <c r="B403" s="153"/>
      <c r="C403" s="142" t="s">
        <v>204</v>
      </c>
      <c r="D403" s="142" t="s">
        <v>167</v>
      </c>
      <c r="E403" s="148" t="s">
        <v>13</v>
      </c>
      <c r="F403" s="149" t="s">
        <v>165</v>
      </c>
      <c r="G403" s="204"/>
      <c r="H403" s="204"/>
      <c r="I403" s="20" t="e">
        <f t="shared" si="12"/>
        <v>#DIV/0!</v>
      </c>
      <c r="J403" s="234"/>
    </row>
    <row r="404" spans="1:12" s="29" customFormat="1" ht="15" hidden="1" customHeight="1">
      <c r="A404" s="95" t="s">
        <v>164</v>
      </c>
      <c r="B404" s="148"/>
      <c r="C404" s="142" t="s">
        <v>204</v>
      </c>
      <c r="D404" s="142" t="s">
        <v>167</v>
      </c>
      <c r="E404" s="148" t="s">
        <v>22</v>
      </c>
      <c r="F404" s="139" t="s">
        <v>165</v>
      </c>
      <c r="G404" s="204"/>
      <c r="H404" s="204"/>
      <c r="I404" s="20" t="e">
        <f t="shared" si="12"/>
        <v>#DIV/0!</v>
      </c>
      <c r="J404" s="234"/>
    </row>
    <row r="405" spans="1:12" s="29" customFormat="1" ht="42.75" hidden="1" customHeight="1">
      <c r="A405" s="114" t="s">
        <v>64</v>
      </c>
      <c r="B405" s="153"/>
      <c r="C405" s="142" t="s">
        <v>204</v>
      </c>
      <c r="D405" s="142" t="s">
        <v>167</v>
      </c>
      <c r="E405" s="148" t="s">
        <v>65</v>
      </c>
      <c r="F405" s="149" t="s">
        <v>165</v>
      </c>
      <c r="G405" s="204"/>
      <c r="H405" s="204"/>
      <c r="I405" s="20" t="e">
        <f t="shared" si="12"/>
        <v>#DIV/0!</v>
      </c>
      <c r="J405" s="234"/>
    </row>
    <row r="406" spans="1:12" ht="15" hidden="1">
      <c r="A406" s="94" t="s">
        <v>2</v>
      </c>
      <c r="B406" s="138"/>
      <c r="C406" s="154" t="s">
        <v>204</v>
      </c>
      <c r="D406" s="154" t="s">
        <v>167</v>
      </c>
      <c r="E406" s="154" t="s">
        <v>776</v>
      </c>
      <c r="F406" s="140"/>
      <c r="G406" s="204">
        <f>SUM(G407)</f>
        <v>0</v>
      </c>
      <c r="H406" s="204">
        <f>SUM(H407)</f>
        <v>0</v>
      </c>
      <c r="I406" s="20" t="e">
        <f t="shared" si="12"/>
        <v>#DIV/0!</v>
      </c>
    </row>
    <row r="407" spans="1:12" ht="15" hidden="1">
      <c r="A407" s="94" t="s">
        <v>943</v>
      </c>
      <c r="B407" s="138"/>
      <c r="C407" s="154" t="s">
        <v>204</v>
      </c>
      <c r="D407" s="154" t="s">
        <v>167</v>
      </c>
      <c r="E407" s="154" t="s">
        <v>96</v>
      </c>
      <c r="F407" s="140" t="s">
        <v>944</v>
      </c>
      <c r="G407" s="204"/>
      <c r="H407" s="204"/>
      <c r="I407" s="20" t="e">
        <f t="shared" si="12"/>
        <v>#DIV/0!</v>
      </c>
    </row>
    <row r="408" spans="1:12" ht="15">
      <c r="A408" s="98" t="s">
        <v>200</v>
      </c>
      <c r="B408" s="148"/>
      <c r="C408" s="142" t="s">
        <v>204</v>
      </c>
      <c r="D408" s="142" t="s">
        <v>167</v>
      </c>
      <c r="E408" s="148" t="s">
        <v>201</v>
      </c>
      <c r="F408" s="149"/>
      <c r="G408" s="30">
        <f>SUM(G409)</f>
        <v>732.7</v>
      </c>
      <c r="H408" s="30">
        <f>SUM(H409)</f>
        <v>732.7</v>
      </c>
      <c r="I408" s="20">
        <f t="shared" si="12"/>
        <v>100</v>
      </c>
    </row>
    <row r="409" spans="1:12" ht="42.75">
      <c r="A409" s="94" t="s">
        <v>239</v>
      </c>
      <c r="B409" s="138"/>
      <c r="C409" s="154" t="s">
        <v>204</v>
      </c>
      <c r="D409" s="154" t="s">
        <v>167</v>
      </c>
      <c r="E409" s="148" t="s">
        <v>240</v>
      </c>
      <c r="F409" s="140"/>
      <c r="G409" s="204">
        <f>SUM(G410)</f>
        <v>732.7</v>
      </c>
      <c r="H409" s="204">
        <f>SUM(H410)</f>
        <v>732.7</v>
      </c>
      <c r="I409" s="20">
        <f t="shared" si="12"/>
        <v>100</v>
      </c>
    </row>
    <row r="410" spans="1:12" ht="15">
      <c r="A410" s="95" t="s">
        <v>164</v>
      </c>
      <c r="B410" s="138"/>
      <c r="C410" s="154" t="s">
        <v>204</v>
      </c>
      <c r="D410" s="154" t="s">
        <v>167</v>
      </c>
      <c r="E410" s="148" t="s">
        <v>240</v>
      </c>
      <c r="F410" s="140" t="s">
        <v>165</v>
      </c>
      <c r="G410" s="204">
        <v>732.7</v>
      </c>
      <c r="H410" s="204">
        <v>732.7</v>
      </c>
      <c r="I410" s="20">
        <f t="shared" si="12"/>
        <v>100</v>
      </c>
      <c r="J410" s="225">
        <f>SUM(ведомствен.2013!G521)</f>
        <v>732.7</v>
      </c>
    </row>
    <row r="411" spans="1:12" ht="23.25" customHeight="1">
      <c r="A411" s="118" t="s">
        <v>66</v>
      </c>
      <c r="B411" s="138"/>
      <c r="C411" s="142" t="s">
        <v>204</v>
      </c>
      <c r="D411" s="142" t="s">
        <v>204</v>
      </c>
      <c r="E411" s="142"/>
      <c r="F411" s="141"/>
      <c r="G411" s="30">
        <f>SUM(G412+G416+G436+G424)+G432+G419</f>
        <v>18229.2</v>
      </c>
      <c r="H411" s="30">
        <f>SUM(H412+H416+H436+H424)+H432+H419</f>
        <v>17326.2</v>
      </c>
      <c r="I411" s="20">
        <f t="shared" si="12"/>
        <v>95.046409057994865</v>
      </c>
      <c r="L411">
        <f>SUM(ведомствен.2013!G528)</f>
        <v>18229.199999999997</v>
      </c>
    </row>
    <row r="412" spans="1:12" s="25" customFormat="1" ht="42.75" hidden="1">
      <c r="A412" s="95" t="s">
        <v>160</v>
      </c>
      <c r="B412" s="142"/>
      <c r="C412" s="142" t="s">
        <v>204</v>
      </c>
      <c r="D412" s="142" t="s">
        <v>204</v>
      </c>
      <c r="E412" s="138" t="s">
        <v>161</v>
      </c>
      <c r="F412" s="140"/>
      <c r="G412" s="30">
        <f>SUM(G413+G416)</f>
        <v>0</v>
      </c>
      <c r="H412" s="30"/>
      <c r="I412" s="20" t="e">
        <f t="shared" si="12"/>
        <v>#DIV/0!</v>
      </c>
      <c r="J412" s="229"/>
    </row>
    <row r="413" spans="1:12" s="25" customFormat="1" ht="15" hidden="1" customHeight="1">
      <c r="A413" s="95" t="s">
        <v>168</v>
      </c>
      <c r="B413" s="142"/>
      <c r="C413" s="142" t="s">
        <v>204</v>
      </c>
      <c r="D413" s="142" t="s">
        <v>204</v>
      </c>
      <c r="E413" s="138" t="s">
        <v>170</v>
      </c>
      <c r="F413" s="140"/>
      <c r="G413" s="30">
        <f>SUM(G414)</f>
        <v>0</v>
      </c>
      <c r="H413" s="30">
        <f>SUM(H414)</f>
        <v>0</v>
      </c>
      <c r="I413" s="20" t="e">
        <f t="shared" si="12"/>
        <v>#DIV/0!</v>
      </c>
      <c r="J413" s="229"/>
    </row>
    <row r="414" spans="1:12" s="25" customFormat="1" ht="15" hidden="1" customHeight="1">
      <c r="A414" s="95" t="s">
        <v>164</v>
      </c>
      <c r="B414" s="142"/>
      <c r="C414" s="142" t="s">
        <v>204</v>
      </c>
      <c r="D414" s="142" t="s">
        <v>204</v>
      </c>
      <c r="E414" s="138" t="s">
        <v>170</v>
      </c>
      <c r="F414" s="140" t="s">
        <v>165</v>
      </c>
      <c r="G414" s="30"/>
      <c r="H414" s="30"/>
      <c r="I414" s="20" t="e">
        <f t="shared" si="12"/>
        <v>#DIV/0!</v>
      </c>
      <c r="J414" s="225">
        <f>SUM(ведомствен.2013!G207)+ведомствен.2013!G776</f>
        <v>0</v>
      </c>
    </row>
    <row r="415" spans="1:12" s="25" customFormat="1" ht="15" hidden="1" customHeight="1">
      <c r="A415" s="94" t="s">
        <v>70</v>
      </c>
      <c r="B415" s="138"/>
      <c r="C415" s="142" t="s">
        <v>204</v>
      </c>
      <c r="D415" s="142" t="s">
        <v>204</v>
      </c>
      <c r="E415" s="142" t="s">
        <v>69</v>
      </c>
      <c r="F415" s="140" t="s">
        <v>208</v>
      </c>
      <c r="G415" s="204"/>
      <c r="H415" s="204"/>
      <c r="I415" s="20" t="e">
        <f t="shared" si="12"/>
        <v>#DIV/0!</v>
      </c>
      <c r="J415" s="229"/>
    </row>
    <row r="416" spans="1:12" ht="15" hidden="1" customHeight="1">
      <c r="A416" s="119" t="s">
        <v>71</v>
      </c>
      <c r="B416" s="138"/>
      <c r="C416" s="142" t="s">
        <v>204</v>
      </c>
      <c r="D416" s="142" t="s">
        <v>204</v>
      </c>
      <c r="E416" s="142" t="s">
        <v>72</v>
      </c>
      <c r="F416" s="141"/>
      <c r="G416" s="30">
        <f>SUM(G417)</f>
        <v>0</v>
      </c>
      <c r="H416" s="30">
        <f>SUM(H417)</f>
        <v>0</v>
      </c>
      <c r="I416" s="20" t="e">
        <f t="shared" si="12"/>
        <v>#DIV/0!</v>
      </c>
    </row>
    <row r="417" spans="1:10" ht="28.5" hidden="1" customHeight="1">
      <c r="A417" s="119" t="s">
        <v>19</v>
      </c>
      <c r="B417" s="138"/>
      <c r="C417" s="142" t="s">
        <v>204</v>
      </c>
      <c r="D417" s="142" t="s">
        <v>204</v>
      </c>
      <c r="E417" s="142" t="s">
        <v>73</v>
      </c>
      <c r="F417" s="141"/>
      <c r="G417" s="30">
        <f>SUM(G418)</f>
        <v>0</v>
      </c>
      <c r="H417" s="30">
        <f>SUM(H418)</f>
        <v>0</v>
      </c>
      <c r="I417" s="20" t="e">
        <f t="shared" si="12"/>
        <v>#DIV/0!</v>
      </c>
    </row>
    <row r="418" spans="1:10" ht="15" hidden="1" customHeight="1">
      <c r="A418" s="94" t="s">
        <v>70</v>
      </c>
      <c r="B418" s="138"/>
      <c r="C418" s="142" t="s">
        <v>204</v>
      </c>
      <c r="D418" s="142" t="s">
        <v>204</v>
      </c>
      <c r="E418" s="142" t="s">
        <v>73</v>
      </c>
      <c r="F418" s="140" t="s">
        <v>208</v>
      </c>
      <c r="G418" s="204"/>
      <c r="H418" s="204"/>
      <c r="I418" s="20" t="e">
        <f t="shared" si="12"/>
        <v>#DIV/0!</v>
      </c>
    </row>
    <row r="419" spans="1:10" ht="15" customHeight="1">
      <c r="A419" s="118" t="s">
        <v>578</v>
      </c>
      <c r="B419" s="142"/>
      <c r="C419" s="142" t="s">
        <v>204</v>
      </c>
      <c r="D419" s="142" t="s">
        <v>204</v>
      </c>
      <c r="E419" s="142" t="s">
        <v>44</v>
      </c>
      <c r="F419" s="140"/>
      <c r="G419" s="82">
        <f t="shared" ref="G419:H422" si="13">SUM(G420)</f>
        <v>100</v>
      </c>
      <c r="H419" s="82">
        <f t="shared" si="13"/>
        <v>100</v>
      </c>
      <c r="I419" s="20">
        <f t="shared" si="12"/>
        <v>100</v>
      </c>
    </row>
    <row r="420" spans="1:10" ht="30.75" customHeight="1">
      <c r="A420" s="95" t="s">
        <v>953</v>
      </c>
      <c r="B420" s="142"/>
      <c r="C420" s="142" t="s">
        <v>204</v>
      </c>
      <c r="D420" s="142" t="s">
        <v>204</v>
      </c>
      <c r="E420" s="142" t="s">
        <v>237</v>
      </c>
      <c r="F420" s="140"/>
      <c r="G420" s="82">
        <f t="shared" si="13"/>
        <v>100</v>
      </c>
      <c r="H420" s="82">
        <f t="shared" si="13"/>
        <v>100</v>
      </c>
      <c r="I420" s="20">
        <f t="shared" si="12"/>
        <v>100</v>
      </c>
    </row>
    <row r="421" spans="1:10" ht="36" customHeight="1">
      <c r="A421" s="95" t="s">
        <v>263</v>
      </c>
      <c r="B421" s="142"/>
      <c r="C421" s="142" t="s">
        <v>204</v>
      </c>
      <c r="D421" s="142" t="s">
        <v>204</v>
      </c>
      <c r="E421" s="142" t="s">
        <v>269</v>
      </c>
      <c r="F421" s="139"/>
      <c r="G421" s="82">
        <f t="shared" si="13"/>
        <v>100</v>
      </c>
      <c r="H421" s="82">
        <f t="shared" si="13"/>
        <v>100</v>
      </c>
      <c r="I421" s="20">
        <f t="shared" si="12"/>
        <v>100</v>
      </c>
    </row>
    <row r="422" spans="1:10" ht="35.25" customHeight="1">
      <c r="A422" s="95" t="s">
        <v>403</v>
      </c>
      <c r="B422" s="142"/>
      <c r="C422" s="142" t="s">
        <v>204</v>
      </c>
      <c r="D422" s="142" t="s">
        <v>204</v>
      </c>
      <c r="E422" s="142" t="s">
        <v>1028</v>
      </c>
      <c r="F422" s="139"/>
      <c r="G422" s="82">
        <f t="shared" si="13"/>
        <v>100</v>
      </c>
      <c r="H422" s="82">
        <f t="shared" si="13"/>
        <v>100</v>
      </c>
      <c r="I422" s="20">
        <f t="shared" si="12"/>
        <v>100</v>
      </c>
    </row>
    <row r="423" spans="1:10" ht="21" customHeight="1">
      <c r="A423" s="95" t="s">
        <v>276</v>
      </c>
      <c r="B423" s="142"/>
      <c r="C423" s="142" t="s">
        <v>204</v>
      </c>
      <c r="D423" s="142" t="s">
        <v>204</v>
      </c>
      <c r="E423" s="142" t="s">
        <v>1028</v>
      </c>
      <c r="F423" s="139" t="s">
        <v>132</v>
      </c>
      <c r="G423" s="82">
        <v>100</v>
      </c>
      <c r="H423" s="82">
        <v>100</v>
      </c>
      <c r="I423" s="20">
        <f t="shared" si="12"/>
        <v>100</v>
      </c>
      <c r="J423" s="225">
        <f>SUM(ведомствен.2013!G540)</f>
        <v>100</v>
      </c>
    </row>
    <row r="424" spans="1:10" s="257" customFormat="1" ht="15" customHeight="1">
      <c r="A424" s="252" t="s">
        <v>932</v>
      </c>
      <c r="B424" s="253"/>
      <c r="C424" s="254" t="s">
        <v>204</v>
      </c>
      <c r="D424" s="254" t="s">
        <v>204</v>
      </c>
      <c r="E424" s="253" t="s">
        <v>933</v>
      </c>
      <c r="F424" s="255"/>
      <c r="G424" s="256">
        <f>SUM(G425+G430)</f>
        <v>4600</v>
      </c>
      <c r="H424" s="256">
        <f>SUM(H425+H430)</f>
        <v>4346.8</v>
      </c>
      <c r="I424" s="20">
        <f t="shared" si="12"/>
        <v>94.495652173913044</v>
      </c>
    </row>
    <row r="425" spans="1:10" s="257" customFormat="1" ht="42.75" customHeight="1">
      <c r="A425" s="258" t="s">
        <v>825</v>
      </c>
      <c r="B425" s="253"/>
      <c r="C425" s="254" t="s">
        <v>204</v>
      </c>
      <c r="D425" s="254" t="s">
        <v>204</v>
      </c>
      <c r="E425" s="253" t="s">
        <v>826</v>
      </c>
      <c r="F425" s="255"/>
      <c r="G425" s="256">
        <f>SUM(G426+G428)</f>
        <v>4600</v>
      </c>
      <c r="H425" s="256">
        <f>SUM(H426+H428)</f>
        <v>4346.8</v>
      </c>
      <c r="I425" s="20">
        <f t="shared" si="12"/>
        <v>94.495652173913044</v>
      </c>
    </row>
    <row r="426" spans="1:10" s="257" customFormat="1" ht="28.5" customHeight="1">
      <c r="A426" s="252" t="s">
        <v>19</v>
      </c>
      <c r="B426" s="259"/>
      <c r="C426" s="254" t="s">
        <v>204</v>
      </c>
      <c r="D426" s="254" t="s">
        <v>204</v>
      </c>
      <c r="E426" s="253" t="s">
        <v>20</v>
      </c>
      <c r="F426" s="255"/>
      <c r="G426" s="256">
        <f>SUM(G427+G435)</f>
        <v>4600</v>
      </c>
      <c r="H426" s="256">
        <f>SUM(H427+H435)</f>
        <v>4346.8</v>
      </c>
      <c r="I426" s="20">
        <f t="shared" si="12"/>
        <v>94.495652173913044</v>
      </c>
    </row>
    <row r="427" spans="1:10" s="257" customFormat="1" ht="15" customHeight="1">
      <c r="A427" s="260" t="s">
        <v>70</v>
      </c>
      <c r="B427" s="259"/>
      <c r="C427" s="254" t="s">
        <v>204</v>
      </c>
      <c r="D427" s="254" t="s">
        <v>204</v>
      </c>
      <c r="E427" s="253" t="s">
        <v>20</v>
      </c>
      <c r="F427" s="255" t="s">
        <v>208</v>
      </c>
      <c r="G427" s="256">
        <v>4600</v>
      </c>
      <c r="H427" s="256">
        <v>4346.8</v>
      </c>
      <c r="I427" s="20">
        <f t="shared" si="12"/>
        <v>94.495652173913044</v>
      </c>
      <c r="J427" s="257">
        <f>SUM(ведомствен.2013!G544)</f>
        <v>4600</v>
      </c>
    </row>
    <row r="428" spans="1:10" ht="28.5" hidden="1" customHeight="1">
      <c r="A428" s="94" t="s">
        <v>74</v>
      </c>
      <c r="B428" s="138"/>
      <c r="C428" s="142" t="s">
        <v>204</v>
      </c>
      <c r="D428" s="142" t="s">
        <v>204</v>
      </c>
      <c r="E428" s="148" t="s">
        <v>75</v>
      </c>
      <c r="F428" s="140"/>
      <c r="G428" s="204"/>
      <c r="H428" s="204"/>
      <c r="I428" s="20" t="e">
        <f t="shared" si="12"/>
        <v>#DIV/0!</v>
      </c>
    </row>
    <row r="429" spans="1:10" ht="15" hidden="1" customHeight="1">
      <c r="A429" s="94" t="s">
        <v>70</v>
      </c>
      <c r="B429" s="138"/>
      <c r="C429" s="142" t="s">
        <v>204</v>
      </c>
      <c r="D429" s="142" t="s">
        <v>204</v>
      </c>
      <c r="E429" s="148" t="s">
        <v>75</v>
      </c>
      <c r="F429" s="140" t="s">
        <v>208</v>
      </c>
      <c r="G429" s="204"/>
      <c r="H429" s="204"/>
      <c r="I429" s="20" t="e">
        <f t="shared" si="12"/>
        <v>#DIV/0!</v>
      </c>
    </row>
    <row r="430" spans="1:10" ht="28.5" hidden="1" customHeight="1">
      <c r="A430" s="94" t="s">
        <v>76</v>
      </c>
      <c r="B430" s="138"/>
      <c r="C430" s="142" t="s">
        <v>204</v>
      </c>
      <c r="D430" s="142" t="s">
        <v>204</v>
      </c>
      <c r="E430" s="148" t="s">
        <v>77</v>
      </c>
      <c r="F430" s="140"/>
      <c r="G430" s="204"/>
      <c r="H430" s="204"/>
      <c r="I430" s="20" t="e">
        <f t="shared" si="12"/>
        <v>#DIV/0!</v>
      </c>
    </row>
    <row r="431" spans="1:10" ht="15" hidden="1" customHeight="1">
      <c r="A431" s="94" t="s">
        <v>70</v>
      </c>
      <c r="B431" s="138"/>
      <c r="C431" s="142" t="s">
        <v>204</v>
      </c>
      <c r="D431" s="142" t="s">
        <v>204</v>
      </c>
      <c r="E431" s="148" t="s">
        <v>77</v>
      </c>
      <c r="F431" s="140" t="s">
        <v>208</v>
      </c>
      <c r="G431" s="204"/>
      <c r="H431" s="204"/>
      <c r="I431" s="20" t="e">
        <f t="shared" si="12"/>
        <v>#DIV/0!</v>
      </c>
    </row>
    <row r="432" spans="1:10" ht="28.5" hidden="1" customHeight="1">
      <c r="A432" s="94" t="s">
        <v>78</v>
      </c>
      <c r="B432" s="138"/>
      <c r="C432" s="142" t="s">
        <v>204</v>
      </c>
      <c r="D432" s="142" t="s">
        <v>204</v>
      </c>
      <c r="E432" s="148" t="s">
        <v>79</v>
      </c>
      <c r="F432" s="140"/>
      <c r="G432" s="204"/>
      <c r="H432" s="204"/>
      <c r="I432" s="20" t="e">
        <f t="shared" si="12"/>
        <v>#DIV/0!</v>
      </c>
    </row>
    <row r="433" spans="1:10" ht="15" hidden="1">
      <c r="A433" s="94" t="s">
        <v>80</v>
      </c>
      <c r="B433" s="138"/>
      <c r="C433" s="142" t="s">
        <v>204</v>
      </c>
      <c r="D433" s="142" t="s">
        <v>204</v>
      </c>
      <c r="E433" s="148" t="s">
        <v>81</v>
      </c>
      <c r="F433" s="140"/>
      <c r="G433" s="204"/>
      <c r="H433" s="204"/>
      <c r="I433" s="20" t="e">
        <f t="shared" si="12"/>
        <v>#DIV/0!</v>
      </c>
    </row>
    <row r="434" spans="1:10" ht="15" hidden="1">
      <c r="A434" s="94" t="s">
        <v>70</v>
      </c>
      <c r="B434" s="138"/>
      <c r="C434" s="142" t="s">
        <v>204</v>
      </c>
      <c r="D434" s="142" t="s">
        <v>204</v>
      </c>
      <c r="E434" s="148" t="s">
        <v>81</v>
      </c>
      <c r="F434" s="140" t="s">
        <v>208</v>
      </c>
      <c r="G434" s="204"/>
      <c r="H434" s="204"/>
      <c r="I434" s="20" t="e">
        <f t="shared" si="12"/>
        <v>#DIV/0!</v>
      </c>
    </row>
    <row r="435" spans="1:10" ht="15" hidden="1">
      <c r="A435" s="95" t="s">
        <v>164</v>
      </c>
      <c r="B435" s="138"/>
      <c r="C435" s="142" t="s">
        <v>204</v>
      </c>
      <c r="D435" s="142" t="s">
        <v>204</v>
      </c>
      <c r="E435" s="148" t="s">
        <v>20</v>
      </c>
      <c r="F435" s="140" t="s">
        <v>165</v>
      </c>
      <c r="G435" s="204"/>
      <c r="H435" s="204"/>
      <c r="I435" s="20" t="e">
        <f t="shared" si="12"/>
        <v>#DIV/0!</v>
      </c>
    </row>
    <row r="436" spans="1:10" ht="16.5" customHeight="1">
      <c r="A436" s="95" t="s">
        <v>200</v>
      </c>
      <c r="B436" s="138"/>
      <c r="C436" s="142" t="s">
        <v>204</v>
      </c>
      <c r="D436" s="142" t="s">
        <v>204</v>
      </c>
      <c r="E436" s="138" t="s">
        <v>201</v>
      </c>
      <c r="F436" s="141"/>
      <c r="G436" s="30">
        <f>SUM(G438+G447)+G453+G441+G444</f>
        <v>13529.2</v>
      </c>
      <c r="H436" s="30">
        <f>SUM(H438+H447)+H453+H441+H444</f>
        <v>12879.4</v>
      </c>
      <c r="I436" s="20">
        <f t="shared" si="12"/>
        <v>95.197055258256214</v>
      </c>
    </row>
    <row r="437" spans="1:10" ht="15" hidden="1" customHeight="1">
      <c r="A437" s="94" t="s">
        <v>70</v>
      </c>
      <c r="B437" s="138"/>
      <c r="C437" s="142" t="s">
        <v>204</v>
      </c>
      <c r="D437" s="142" t="s">
        <v>204</v>
      </c>
      <c r="E437" s="138" t="s">
        <v>201</v>
      </c>
      <c r="F437" s="141" t="s">
        <v>208</v>
      </c>
      <c r="G437" s="30"/>
      <c r="H437" s="30"/>
      <c r="I437" s="20" t="e">
        <f t="shared" si="12"/>
        <v>#DIV/0!</v>
      </c>
    </row>
    <row r="438" spans="1:10" s="31" customFormat="1" ht="28.5" hidden="1" customHeight="1">
      <c r="A438" s="114" t="s">
        <v>1046</v>
      </c>
      <c r="B438" s="148"/>
      <c r="C438" s="155" t="s">
        <v>204</v>
      </c>
      <c r="D438" s="155" t="s">
        <v>204</v>
      </c>
      <c r="E438" s="148" t="s">
        <v>83</v>
      </c>
      <c r="F438" s="141"/>
      <c r="G438" s="205">
        <f>SUM(G439)</f>
        <v>0</v>
      </c>
      <c r="H438" s="205">
        <f>SUM(H439)</f>
        <v>0</v>
      </c>
      <c r="I438" s="20" t="e">
        <f t="shared" si="12"/>
        <v>#DIV/0!</v>
      </c>
      <c r="J438" s="235"/>
    </row>
    <row r="439" spans="1:10" s="25" customFormat="1" ht="15" hidden="1" customHeight="1">
      <c r="A439" s="98" t="s">
        <v>207</v>
      </c>
      <c r="B439" s="155"/>
      <c r="C439" s="155" t="s">
        <v>204</v>
      </c>
      <c r="D439" s="155" t="s">
        <v>204</v>
      </c>
      <c r="E439" s="155" t="s">
        <v>83</v>
      </c>
      <c r="F439" s="140" t="s">
        <v>208</v>
      </c>
      <c r="G439" s="205"/>
      <c r="H439" s="205"/>
      <c r="I439" s="20" t="e">
        <f t="shared" si="12"/>
        <v>#DIV/0!</v>
      </c>
      <c r="J439" s="229">
        <f>SUM(ведомствен.2013!G555)</f>
        <v>0</v>
      </c>
    </row>
    <row r="440" spans="1:10" s="31" customFormat="1" ht="42.75" hidden="1" customHeight="1">
      <c r="A440" s="95" t="s">
        <v>954</v>
      </c>
      <c r="B440" s="138"/>
      <c r="C440" s="142" t="s">
        <v>204</v>
      </c>
      <c r="D440" s="142" t="s">
        <v>204</v>
      </c>
      <c r="E440" s="148" t="s">
        <v>83</v>
      </c>
      <c r="F440" s="140" t="s">
        <v>51</v>
      </c>
      <c r="G440" s="205"/>
      <c r="H440" s="205"/>
      <c r="I440" s="20" t="e">
        <f t="shared" si="12"/>
        <v>#DIV/0!</v>
      </c>
      <c r="J440" s="235">
        <f>SUM(ведомствен.2013!G556)</f>
        <v>0</v>
      </c>
    </row>
    <row r="441" spans="1:10" s="31" customFormat="1" ht="31.5" customHeight="1">
      <c r="A441" s="98" t="s">
        <v>948</v>
      </c>
      <c r="B441" s="148"/>
      <c r="C441" s="148" t="s">
        <v>204</v>
      </c>
      <c r="D441" s="148" t="s">
        <v>204</v>
      </c>
      <c r="E441" s="148" t="s">
        <v>947</v>
      </c>
      <c r="F441" s="139"/>
      <c r="G441" s="30">
        <f>SUM(G442:G443)</f>
        <v>6485.5</v>
      </c>
      <c r="H441" s="30">
        <f>SUM(H442:H443)</f>
        <v>6485.5</v>
      </c>
      <c r="I441" s="20">
        <f t="shared" si="12"/>
        <v>100</v>
      </c>
      <c r="J441" s="235"/>
    </row>
    <row r="442" spans="1:10" s="31" customFormat="1" ht="21.75" customHeight="1">
      <c r="A442" s="98" t="s">
        <v>207</v>
      </c>
      <c r="B442" s="148"/>
      <c r="C442" s="148" t="s">
        <v>204</v>
      </c>
      <c r="D442" s="148" t="s">
        <v>204</v>
      </c>
      <c r="E442" s="148" t="s">
        <v>947</v>
      </c>
      <c r="F442" s="139" t="s">
        <v>208</v>
      </c>
      <c r="G442" s="30">
        <v>2413</v>
      </c>
      <c r="H442" s="30">
        <v>2413</v>
      </c>
      <c r="I442" s="20">
        <f t="shared" si="12"/>
        <v>100</v>
      </c>
      <c r="J442" s="235">
        <f>SUM(ведомствен.2013!G558)</f>
        <v>2413</v>
      </c>
    </row>
    <row r="443" spans="1:10" s="31" customFormat="1" ht="21" customHeight="1">
      <c r="A443" s="95" t="s">
        <v>276</v>
      </c>
      <c r="B443" s="142"/>
      <c r="C443" s="142" t="s">
        <v>204</v>
      </c>
      <c r="D443" s="142" t="s">
        <v>204</v>
      </c>
      <c r="E443" s="142" t="s">
        <v>947</v>
      </c>
      <c r="F443" s="140" t="s">
        <v>132</v>
      </c>
      <c r="G443" s="81">
        <v>4072.5</v>
      </c>
      <c r="H443" s="81">
        <v>4072.5</v>
      </c>
      <c r="I443" s="20">
        <f t="shared" ref="I443:I506" si="14">SUM(H443/G443*100)</f>
        <v>100</v>
      </c>
      <c r="J443" s="235">
        <f>SUM(ведомствен.2013!G559)</f>
        <v>4072.5</v>
      </c>
    </row>
    <row r="444" spans="1:10" s="31" customFormat="1" ht="44.25" customHeight="1">
      <c r="A444" s="98" t="s">
        <v>950</v>
      </c>
      <c r="B444" s="148"/>
      <c r="C444" s="148" t="s">
        <v>204</v>
      </c>
      <c r="D444" s="148" t="s">
        <v>204</v>
      </c>
      <c r="E444" s="148" t="s">
        <v>949</v>
      </c>
      <c r="F444" s="139"/>
      <c r="G444" s="30">
        <f>SUM(G445)</f>
        <v>500</v>
      </c>
      <c r="H444" s="30">
        <f>SUM(H445)</f>
        <v>500</v>
      </c>
      <c r="I444" s="20">
        <f t="shared" si="14"/>
        <v>100</v>
      </c>
      <c r="J444" s="235"/>
    </row>
    <row r="445" spans="1:10" s="31" customFormat="1" ht="23.25" customHeight="1">
      <c r="A445" s="98" t="s">
        <v>207</v>
      </c>
      <c r="B445" s="148"/>
      <c r="C445" s="148" t="s">
        <v>204</v>
      </c>
      <c r="D445" s="148" t="s">
        <v>204</v>
      </c>
      <c r="E445" s="148" t="s">
        <v>949</v>
      </c>
      <c r="F445" s="139" t="s">
        <v>208</v>
      </c>
      <c r="G445" s="30">
        <v>500</v>
      </c>
      <c r="H445" s="30">
        <v>500</v>
      </c>
      <c r="I445" s="20">
        <f t="shared" si="14"/>
        <v>100</v>
      </c>
      <c r="J445" s="235">
        <f>SUM(ведомствен.2013!G561)</f>
        <v>500</v>
      </c>
    </row>
    <row r="446" spans="1:10" s="31" customFormat="1" ht="42.75" hidden="1" customHeight="1">
      <c r="A446" s="95" t="s">
        <v>954</v>
      </c>
      <c r="B446" s="148"/>
      <c r="C446" s="142" t="s">
        <v>204</v>
      </c>
      <c r="D446" s="142" t="s">
        <v>204</v>
      </c>
      <c r="E446" s="148" t="s">
        <v>949</v>
      </c>
      <c r="F446" s="149" t="s">
        <v>51</v>
      </c>
      <c r="G446" s="204"/>
      <c r="H446" s="204"/>
      <c r="I446" s="20" t="e">
        <f t="shared" si="14"/>
        <v>#DIV/0!</v>
      </c>
      <c r="J446" s="235"/>
    </row>
    <row r="447" spans="1:10" ht="28.5">
      <c r="A447" s="94" t="s">
        <v>812</v>
      </c>
      <c r="B447" s="138"/>
      <c r="C447" s="142" t="s">
        <v>204</v>
      </c>
      <c r="D447" s="142" t="s">
        <v>204</v>
      </c>
      <c r="E447" s="138" t="s">
        <v>28</v>
      </c>
      <c r="F447" s="141"/>
      <c r="G447" s="30">
        <f>SUM(G448+G451)</f>
        <v>3105.8</v>
      </c>
      <c r="H447" s="30">
        <f>SUM(H448+H451)</f>
        <v>2456</v>
      </c>
      <c r="I447" s="20">
        <f t="shared" si="14"/>
        <v>79.077854337046816</v>
      </c>
    </row>
    <row r="448" spans="1:10" s="31" customFormat="1" ht="28.5">
      <c r="A448" s="114" t="s">
        <v>19</v>
      </c>
      <c r="B448" s="148"/>
      <c r="C448" s="142" t="s">
        <v>204</v>
      </c>
      <c r="D448" s="142" t="s">
        <v>204</v>
      </c>
      <c r="E448" s="138" t="s">
        <v>29</v>
      </c>
      <c r="F448" s="141"/>
      <c r="G448" s="205">
        <f>SUM(G449:G450)</f>
        <v>3105.8</v>
      </c>
      <c r="H448" s="205">
        <f>SUM(H449:H450)</f>
        <v>2456</v>
      </c>
      <c r="I448" s="20">
        <f t="shared" si="14"/>
        <v>79.077854337046816</v>
      </c>
      <c r="J448" s="235"/>
    </row>
    <row r="449" spans="1:12" s="31" customFormat="1" ht="15">
      <c r="A449" s="98" t="s">
        <v>207</v>
      </c>
      <c r="B449" s="138"/>
      <c r="C449" s="142" t="s">
        <v>204</v>
      </c>
      <c r="D449" s="142" t="s">
        <v>204</v>
      </c>
      <c r="E449" s="138" t="s">
        <v>29</v>
      </c>
      <c r="F449" s="140" t="s">
        <v>208</v>
      </c>
      <c r="G449" s="204">
        <v>3105.8</v>
      </c>
      <c r="H449" s="204">
        <v>2456</v>
      </c>
      <c r="I449" s="20">
        <f t="shared" si="14"/>
        <v>79.077854337046816</v>
      </c>
      <c r="J449" s="235">
        <f>SUM(ведомствен.2013!G565)</f>
        <v>3105.8</v>
      </c>
    </row>
    <row r="450" spans="1:12" s="31" customFormat="1" ht="15" hidden="1" customHeight="1">
      <c r="A450" s="95" t="s">
        <v>164</v>
      </c>
      <c r="B450" s="148"/>
      <c r="C450" s="142" t="s">
        <v>204</v>
      </c>
      <c r="D450" s="142" t="s">
        <v>204</v>
      </c>
      <c r="E450" s="138" t="s">
        <v>29</v>
      </c>
      <c r="F450" s="149" t="s">
        <v>165</v>
      </c>
      <c r="G450" s="205"/>
      <c r="H450" s="205"/>
      <c r="I450" s="20" t="e">
        <f t="shared" si="14"/>
        <v>#DIV/0!</v>
      </c>
      <c r="J450" s="235"/>
    </row>
    <row r="451" spans="1:12" ht="28.5" hidden="1">
      <c r="A451" s="98" t="s">
        <v>74</v>
      </c>
      <c r="B451" s="138"/>
      <c r="C451" s="142" t="s">
        <v>204</v>
      </c>
      <c r="D451" s="142" t="s">
        <v>204</v>
      </c>
      <c r="E451" s="138" t="s">
        <v>796</v>
      </c>
      <c r="F451" s="141"/>
      <c r="G451" s="30">
        <f>SUM(G452)</f>
        <v>0</v>
      </c>
      <c r="H451" s="30">
        <f>SUM(H452)</f>
        <v>0</v>
      </c>
      <c r="I451" s="20" t="e">
        <f t="shared" si="14"/>
        <v>#DIV/0!</v>
      </c>
    </row>
    <row r="452" spans="1:12" ht="15" hidden="1">
      <c r="A452" s="98" t="s">
        <v>207</v>
      </c>
      <c r="B452" s="138"/>
      <c r="C452" s="142" t="s">
        <v>204</v>
      </c>
      <c r="D452" s="142" t="s">
        <v>204</v>
      </c>
      <c r="E452" s="138" t="s">
        <v>796</v>
      </c>
      <c r="F452" s="140" t="s">
        <v>208</v>
      </c>
      <c r="G452" s="30"/>
      <c r="H452" s="30"/>
      <c r="I452" s="20" t="e">
        <f t="shared" si="14"/>
        <v>#DIV/0!</v>
      </c>
      <c r="J452" s="235">
        <f>SUM(ведомствен.2013!G568)</f>
        <v>0</v>
      </c>
    </row>
    <row r="453" spans="1:12" ht="29.25" customHeight="1">
      <c r="A453" s="98" t="s">
        <v>234</v>
      </c>
      <c r="B453" s="138"/>
      <c r="C453" s="142" t="s">
        <v>204</v>
      </c>
      <c r="D453" s="142" t="s">
        <v>204</v>
      </c>
      <c r="E453" s="148" t="s">
        <v>41</v>
      </c>
      <c r="F453" s="140"/>
      <c r="G453" s="204">
        <f>SUM(G454)</f>
        <v>3437.9</v>
      </c>
      <c r="H453" s="204">
        <f>SUM(H454)</f>
        <v>3437.9</v>
      </c>
      <c r="I453" s="20">
        <f t="shared" si="14"/>
        <v>100</v>
      </c>
    </row>
    <row r="454" spans="1:12" ht="15">
      <c r="A454" s="98" t="s">
        <v>207</v>
      </c>
      <c r="B454" s="138"/>
      <c r="C454" s="142" t="s">
        <v>204</v>
      </c>
      <c r="D454" s="142" t="s">
        <v>204</v>
      </c>
      <c r="E454" s="148" t="s">
        <v>41</v>
      </c>
      <c r="F454" s="140" t="s">
        <v>208</v>
      </c>
      <c r="G454" s="204">
        <v>3437.9</v>
      </c>
      <c r="H454" s="204">
        <v>3437.9</v>
      </c>
      <c r="I454" s="20">
        <f t="shared" si="14"/>
        <v>100</v>
      </c>
      <c r="J454" s="235">
        <f>SUM(ведомствен.2013!G570)</f>
        <v>3437.9</v>
      </c>
    </row>
    <row r="455" spans="1:12" s="19" customFormat="1" ht="15.75">
      <c r="A455" s="120" t="s">
        <v>85</v>
      </c>
      <c r="B455" s="169"/>
      <c r="C455" s="169" t="s">
        <v>732</v>
      </c>
      <c r="D455" s="169"/>
      <c r="E455" s="169"/>
      <c r="F455" s="195"/>
      <c r="G455" s="203">
        <f>SUM(G456)+G460</f>
        <v>7960.1999999999989</v>
      </c>
      <c r="H455" s="203">
        <f>SUM(H456)+H460</f>
        <v>7919.2000000000007</v>
      </c>
      <c r="I455" s="26">
        <f t="shared" si="14"/>
        <v>99.484937564382818</v>
      </c>
      <c r="J455" s="226"/>
      <c r="K455" s="19">
        <f>SUM(J456:J471)</f>
        <v>7960.2</v>
      </c>
      <c r="L455" s="19">
        <f>SUM(ведомствен.2013!G571+ведомствен.2013!G777)</f>
        <v>7960.1999999999989</v>
      </c>
    </row>
    <row r="456" spans="1:12" ht="27.75" customHeight="1">
      <c r="A456" s="95" t="s">
        <v>86</v>
      </c>
      <c r="B456" s="138"/>
      <c r="C456" s="138" t="s">
        <v>732</v>
      </c>
      <c r="D456" s="138" t="s">
        <v>167</v>
      </c>
      <c r="E456" s="138"/>
      <c r="F456" s="139"/>
      <c r="G456" s="30">
        <f>SUM(G459)</f>
        <v>5292.4</v>
      </c>
      <c r="H456" s="30">
        <f>SUM(H459)</f>
        <v>5257.3</v>
      </c>
      <c r="I456" s="20">
        <f t="shared" si="14"/>
        <v>99.336784823520532</v>
      </c>
    </row>
    <row r="457" spans="1:12" ht="15">
      <c r="A457" s="95" t="s">
        <v>87</v>
      </c>
      <c r="B457" s="138"/>
      <c r="C457" s="138" t="s">
        <v>732</v>
      </c>
      <c r="D457" s="138" t="s">
        <v>167</v>
      </c>
      <c r="E457" s="138" t="s">
        <v>88</v>
      </c>
      <c r="F457" s="139"/>
      <c r="G457" s="30">
        <f>SUM(G458)</f>
        <v>5292.4</v>
      </c>
      <c r="H457" s="30">
        <f>SUM(H458)</f>
        <v>5257.3</v>
      </c>
      <c r="I457" s="20">
        <f t="shared" si="14"/>
        <v>99.336784823520532</v>
      </c>
    </row>
    <row r="458" spans="1:12" ht="28.5" customHeight="1">
      <c r="A458" s="95" t="s">
        <v>48</v>
      </c>
      <c r="B458" s="160"/>
      <c r="C458" s="160" t="s">
        <v>732</v>
      </c>
      <c r="D458" s="160" t="s">
        <v>167</v>
      </c>
      <c r="E458" s="160" t="s">
        <v>89</v>
      </c>
      <c r="F458" s="141"/>
      <c r="G458" s="30">
        <f>SUM(G459)</f>
        <v>5292.4</v>
      </c>
      <c r="H458" s="30">
        <f>SUM(H459)</f>
        <v>5257.3</v>
      </c>
      <c r="I458" s="20">
        <f t="shared" si="14"/>
        <v>99.336784823520532</v>
      </c>
    </row>
    <row r="459" spans="1:12" ht="15.75" customHeight="1">
      <c r="A459" s="97" t="s">
        <v>49</v>
      </c>
      <c r="B459" s="138"/>
      <c r="C459" s="138" t="s">
        <v>732</v>
      </c>
      <c r="D459" s="138" t="s">
        <v>167</v>
      </c>
      <c r="E459" s="160" t="s">
        <v>89</v>
      </c>
      <c r="F459" s="141" t="s">
        <v>498</v>
      </c>
      <c r="G459" s="30">
        <v>5292.4</v>
      </c>
      <c r="H459" s="30">
        <v>5257.3</v>
      </c>
      <c r="I459" s="20">
        <f t="shared" si="14"/>
        <v>99.336784823520532</v>
      </c>
      <c r="J459" s="225">
        <f>SUM(ведомствен.2013!G575)+ведомствен.2013!G781</f>
        <v>5292.4</v>
      </c>
    </row>
    <row r="460" spans="1:12" ht="17.25" customHeight="1">
      <c r="A460" s="115" t="s">
        <v>90</v>
      </c>
      <c r="B460" s="138"/>
      <c r="C460" s="163" t="s">
        <v>732</v>
      </c>
      <c r="D460" s="163" t="s">
        <v>204</v>
      </c>
      <c r="E460" s="163"/>
      <c r="F460" s="164"/>
      <c r="G460" s="204">
        <f>SUM(G464)+G461</f>
        <v>2667.7999999999997</v>
      </c>
      <c r="H460" s="204">
        <f>SUM(H464)+H461</f>
        <v>2661.9</v>
      </c>
      <c r="I460" s="20">
        <f t="shared" si="14"/>
        <v>99.778843991303717</v>
      </c>
    </row>
    <row r="461" spans="1:12" ht="15" hidden="1" customHeight="1">
      <c r="A461" s="119" t="s">
        <v>932</v>
      </c>
      <c r="B461" s="138"/>
      <c r="C461" s="163" t="s">
        <v>732</v>
      </c>
      <c r="D461" s="163" t="s">
        <v>204</v>
      </c>
      <c r="E461" s="138" t="s">
        <v>933</v>
      </c>
      <c r="F461" s="164"/>
      <c r="G461" s="204">
        <f>SUM(G462)</f>
        <v>0</v>
      </c>
      <c r="H461" s="204">
        <f>SUM(H462)</f>
        <v>0</v>
      </c>
      <c r="I461" s="20" t="e">
        <f t="shared" si="14"/>
        <v>#DIV/0!</v>
      </c>
    </row>
    <row r="462" spans="1:12" ht="28.5" hidden="1" customHeight="1">
      <c r="A462" s="119" t="s">
        <v>91</v>
      </c>
      <c r="B462" s="138"/>
      <c r="C462" s="163" t="s">
        <v>732</v>
      </c>
      <c r="D462" s="163" t="s">
        <v>204</v>
      </c>
      <c r="E462" s="138" t="s">
        <v>92</v>
      </c>
      <c r="F462" s="141"/>
      <c r="G462" s="204">
        <f>SUM(G463)</f>
        <v>0</v>
      </c>
      <c r="H462" s="204">
        <f>SUM(H463)</f>
        <v>0</v>
      </c>
      <c r="I462" s="20" t="e">
        <f t="shared" si="14"/>
        <v>#DIV/0!</v>
      </c>
    </row>
    <row r="463" spans="1:12" s="32" customFormat="1" ht="15" hidden="1" customHeight="1">
      <c r="A463" s="94" t="s">
        <v>70</v>
      </c>
      <c r="B463" s="138"/>
      <c r="C463" s="163" t="s">
        <v>732</v>
      </c>
      <c r="D463" s="163" t="s">
        <v>204</v>
      </c>
      <c r="E463" s="138" t="s">
        <v>92</v>
      </c>
      <c r="F463" s="141" t="s">
        <v>208</v>
      </c>
      <c r="G463" s="204"/>
      <c r="H463" s="204"/>
      <c r="I463" s="20" t="e">
        <f t="shared" si="14"/>
        <v>#DIV/0!</v>
      </c>
      <c r="J463" s="236"/>
    </row>
    <row r="464" spans="1:12" ht="14.25" customHeight="1">
      <c r="A464" s="95" t="s">
        <v>200</v>
      </c>
      <c r="B464" s="138"/>
      <c r="C464" s="163" t="s">
        <v>732</v>
      </c>
      <c r="D464" s="163" t="s">
        <v>204</v>
      </c>
      <c r="E464" s="138" t="s">
        <v>201</v>
      </c>
      <c r="F464" s="164"/>
      <c r="G464" s="204">
        <f>SUM(G467+G468+G472)</f>
        <v>2667.7999999999997</v>
      </c>
      <c r="H464" s="204">
        <f>SUM(H467+H468+H472)</f>
        <v>2661.9</v>
      </c>
      <c r="I464" s="20">
        <f t="shared" si="14"/>
        <v>99.778843991303717</v>
      </c>
    </row>
    <row r="465" spans="1:10" ht="15" hidden="1" customHeight="1">
      <c r="A465" s="119" t="s">
        <v>93</v>
      </c>
      <c r="B465" s="138"/>
      <c r="C465" s="163" t="s">
        <v>732</v>
      </c>
      <c r="D465" s="163" t="s">
        <v>204</v>
      </c>
      <c r="E465" s="138" t="s">
        <v>201</v>
      </c>
      <c r="F465" s="164" t="s">
        <v>94</v>
      </c>
      <c r="G465" s="204"/>
      <c r="H465" s="204"/>
      <c r="I465" s="20" t="e">
        <f t="shared" si="14"/>
        <v>#DIV/0!</v>
      </c>
    </row>
    <row r="466" spans="1:10" ht="15" hidden="1" customHeight="1">
      <c r="A466" s="125" t="s">
        <v>95</v>
      </c>
      <c r="B466" s="138"/>
      <c r="C466" s="163" t="s">
        <v>732</v>
      </c>
      <c r="D466" s="163" t="s">
        <v>204</v>
      </c>
      <c r="E466" s="143" t="s">
        <v>201</v>
      </c>
      <c r="F466" s="165" t="s">
        <v>94</v>
      </c>
      <c r="G466" s="206">
        <v>300</v>
      </c>
      <c r="H466" s="206">
        <v>300</v>
      </c>
      <c r="I466" s="20">
        <f t="shared" si="14"/>
        <v>100</v>
      </c>
    </row>
    <row r="467" spans="1:10" ht="15" hidden="1" customHeight="1">
      <c r="A467" s="97" t="s">
        <v>497</v>
      </c>
      <c r="B467" s="138"/>
      <c r="C467" s="163" t="s">
        <v>732</v>
      </c>
      <c r="D467" s="163" t="s">
        <v>204</v>
      </c>
      <c r="E467" s="163" t="s">
        <v>201</v>
      </c>
      <c r="F467" s="164" t="s">
        <v>498</v>
      </c>
      <c r="G467" s="204"/>
      <c r="H467" s="204"/>
      <c r="I467" s="20" t="e">
        <f t="shared" si="14"/>
        <v>#DIV/0!</v>
      </c>
    </row>
    <row r="468" spans="1:10" ht="20.25" customHeight="1">
      <c r="A468" s="115" t="s">
        <v>899</v>
      </c>
      <c r="B468" s="138"/>
      <c r="C468" s="163" t="s">
        <v>732</v>
      </c>
      <c r="D468" s="163" t="s">
        <v>204</v>
      </c>
      <c r="E468" s="163" t="s">
        <v>96</v>
      </c>
      <c r="F468" s="164"/>
      <c r="G468" s="204">
        <f>SUM(G469:G471)</f>
        <v>2667.7999999999997</v>
      </c>
      <c r="H468" s="204">
        <f>SUM(H469:H471)</f>
        <v>2661.9</v>
      </c>
      <c r="I468" s="20">
        <f t="shared" si="14"/>
        <v>99.778843991303717</v>
      </c>
    </row>
    <row r="469" spans="1:10" ht="17.25" customHeight="1">
      <c r="A469" s="98" t="s">
        <v>207</v>
      </c>
      <c r="B469" s="138"/>
      <c r="C469" s="163" t="s">
        <v>732</v>
      </c>
      <c r="D469" s="163" t="s">
        <v>204</v>
      </c>
      <c r="E469" s="163" t="s">
        <v>96</v>
      </c>
      <c r="F469" s="141" t="s">
        <v>208</v>
      </c>
      <c r="G469" s="204">
        <v>564.1</v>
      </c>
      <c r="H469" s="204">
        <v>564.1</v>
      </c>
      <c r="I469" s="20">
        <f t="shared" si="14"/>
        <v>100</v>
      </c>
      <c r="J469" s="225">
        <f>SUM(ведомствен.2013!G585)</f>
        <v>564.1</v>
      </c>
    </row>
    <row r="470" spans="1:10" ht="15" hidden="1">
      <c r="A470" s="94" t="s">
        <v>943</v>
      </c>
      <c r="B470" s="138"/>
      <c r="C470" s="154" t="s">
        <v>732</v>
      </c>
      <c r="D470" s="154" t="s">
        <v>204</v>
      </c>
      <c r="E470" s="154" t="s">
        <v>776</v>
      </c>
      <c r="F470" s="140" t="s">
        <v>944</v>
      </c>
      <c r="G470" s="204">
        <f>1300-1300</f>
        <v>0</v>
      </c>
      <c r="H470" s="204">
        <f>1300-1300</f>
        <v>0</v>
      </c>
      <c r="I470" s="20" t="e">
        <f t="shared" si="14"/>
        <v>#DIV/0!</v>
      </c>
    </row>
    <row r="471" spans="1:10" ht="18" customHeight="1">
      <c r="A471" s="97" t="s">
        <v>97</v>
      </c>
      <c r="B471" s="138"/>
      <c r="C471" s="163" t="s">
        <v>732</v>
      </c>
      <c r="D471" s="163" t="s">
        <v>204</v>
      </c>
      <c r="E471" s="163" t="s">
        <v>96</v>
      </c>
      <c r="F471" s="164" t="s">
        <v>98</v>
      </c>
      <c r="G471" s="204">
        <v>2103.6999999999998</v>
      </c>
      <c r="H471" s="204">
        <v>2097.8000000000002</v>
      </c>
      <c r="I471" s="20">
        <f t="shared" si="14"/>
        <v>99.719541759756638</v>
      </c>
      <c r="J471" s="225">
        <f>SUM(ведомствен.2013!G587)</f>
        <v>2103.6999999999998</v>
      </c>
    </row>
    <row r="472" spans="1:10" ht="28.5" hidden="1" customHeight="1">
      <c r="A472" s="115" t="s">
        <v>99</v>
      </c>
      <c r="B472" s="138"/>
      <c r="C472" s="163" t="s">
        <v>732</v>
      </c>
      <c r="D472" s="163" t="s">
        <v>204</v>
      </c>
      <c r="E472" s="163" t="s">
        <v>100</v>
      </c>
      <c r="F472" s="164"/>
      <c r="G472" s="204">
        <f>SUM(G473+G474)</f>
        <v>0</v>
      </c>
      <c r="H472" s="204">
        <f>SUM(H473+H474)</f>
        <v>0</v>
      </c>
      <c r="I472" s="20" t="e">
        <f t="shared" si="14"/>
        <v>#DIV/0!</v>
      </c>
    </row>
    <row r="473" spans="1:10" ht="15" hidden="1" customHeight="1">
      <c r="A473" s="94" t="s">
        <v>70</v>
      </c>
      <c r="B473" s="138"/>
      <c r="C473" s="163" t="s">
        <v>732</v>
      </c>
      <c r="D473" s="163" t="s">
        <v>204</v>
      </c>
      <c r="E473" s="163" t="s">
        <v>100</v>
      </c>
      <c r="F473" s="141" t="s">
        <v>208</v>
      </c>
      <c r="G473" s="204"/>
      <c r="H473" s="204"/>
      <c r="I473" s="20" t="e">
        <f t="shared" si="14"/>
        <v>#DIV/0!</v>
      </c>
    </row>
    <row r="474" spans="1:10" ht="15" hidden="1" customHeight="1">
      <c r="A474" s="97" t="s">
        <v>97</v>
      </c>
      <c r="B474" s="138"/>
      <c r="C474" s="163" t="s">
        <v>732</v>
      </c>
      <c r="D474" s="163" t="s">
        <v>204</v>
      </c>
      <c r="E474" s="163" t="s">
        <v>100</v>
      </c>
      <c r="F474" s="164" t="s">
        <v>101</v>
      </c>
      <c r="G474" s="204"/>
      <c r="H474" s="204"/>
      <c r="I474" s="20" t="e">
        <f t="shared" si="14"/>
        <v>#DIV/0!</v>
      </c>
    </row>
    <row r="475" spans="1:10" s="32" customFormat="1" ht="15" hidden="1" customHeight="1">
      <c r="A475" s="125" t="s">
        <v>102</v>
      </c>
      <c r="B475" s="143"/>
      <c r="C475" s="143" t="s">
        <v>836</v>
      </c>
      <c r="D475" s="143" t="s">
        <v>749</v>
      </c>
      <c r="E475" s="143" t="s">
        <v>729</v>
      </c>
      <c r="F475" s="197" t="s">
        <v>747</v>
      </c>
      <c r="G475" s="207">
        <v>5000</v>
      </c>
      <c r="H475" s="207">
        <v>5000</v>
      </c>
      <c r="I475" s="20">
        <f t="shared" si="14"/>
        <v>100</v>
      </c>
      <c r="J475" s="236"/>
    </row>
    <row r="476" spans="1:10" s="32" customFormat="1" ht="15" hidden="1" customHeight="1">
      <c r="A476" s="125" t="s">
        <v>661</v>
      </c>
      <c r="B476" s="138"/>
      <c r="C476" s="143" t="s">
        <v>836</v>
      </c>
      <c r="D476" s="143" t="s">
        <v>749</v>
      </c>
      <c r="E476" s="143" t="s">
        <v>729</v>
      </c>
      <c r="F476" s="197" t="s">
        <v>747</v>
      </c>
      <c r="G476" s="207">
        <v>2000</v>
      </c>
      <c r="H476" s="207">
        <v>2000</v>
      </c>
      <c r="I476" s="20">
        <f t="shared" si="14"/>
        <v>100</v>
      </c>
      <c r="J476" s="236"/>
    </row>
    <row r="477" spans="1:10" ht="28.5" hidden="1" customHeight="1">
      <c r="A477" s="95" t="s">
        <v>186</v>
      </c>
      <c r="B477" s="138"/>
      <c r="C477" s="138" t="s">
        <v>836</v>
      </c>
      <c r="D477" s="138" t="s">
        <v>174</v>
      </c>
      <c r="E477" s="138" t="s">
        <v>187</v>
      </c>
      <c r="F477" s="139"/>
      <c r="G477" s="30">
        <f>SUM(G478)</f>
        <v>0</v>
      </c>
      <c r="H477" s="30">
        <f>SUM(H478)</f>
        <v>0</v>
      </c>
      <c r="I477" s="20" t="e">
        <f t="shared" si="14"/>
        <v>#DIV/0!</v>
      </c>
    </row>
    <row r="478" spans="1:10" ht="28.5" hidden="1" customHeight="1">
      <c r="A478" s="95" t="s">
        <v>188</v>
      </c>
      <c r="B478" s="138"/>
      <c r="C478" s="138" t="s">
        <v>836</v>
      </c>
      <c r="D478" s="138" t="s">
        <v>174</v>
      </c>
      <c r="E478" s="138" t="s">
        <v>187</v>
      </c>
      <c r="F478" s="139" t="s">
        <v>189</v>
      </c>
      <c r="G478" s="30"/>
      <c r="H478" s="30"/>
      <c r="I478" s="20" t="e">
        <f t="shared" si="14"/>
        <v>#DIV/0!</v>
      </c>
    </row>
    <row r="479" spans="1:10" ht="15" hidden="1" customHeight="1">
      <c r="A479" s="95" t="s">
        <v>190</v>
      </c>
      <c r="B479" s="138"/>
      <c r="C479" s="138" t="s">
        <v>191</v>
      </c>
      <c r="D479" s="138"/>
      <c r="E479" s="138"/>
      <c r="F479" s="140"/>
      <c r="G479" s="30">
        <f>SUM(G483+G480)</f>
        <v>0</v>
      </c>
      <c r="H479" s="30">
        <f>SUM(H483+H480)</f>
        <v>0</v>
      </c>
      <c r="I479" s="20" t="e">
        <f t="shared" si="14"/>
        <v>#DIV/0!</v>
      </c>
    </row>
    <row r="480" spans="1:10" ht="15" hidden="1" customHeight="1">
      <c r="A480" s="95" t="s">
        <v>192</v>
      </c>
      <c r="B480" s="138"/>
      <c r="C480" s="138" t="s">
        <v>191</v>
      </c>
      <c r="D480" s="138" t="s">
        <v>193</v>
      </c>
      <c r="E480" s="138"/>
      <c r="F480" s="140"/>
      <c r="G480" s="30">
        <f>SUM(G481)</f>
        <v>0</v>
      </c>
      <c r="H480" s="30">
        <f>SUM(H481)</f>
        <v>0</v>
      </c>
      <c r="I480" s="20" t="e">
        <f t="shared" si="14"/>
        <v>#DIV/0!</v>
      </c>
    </row>
    <row r="481" spans="1:12" ht="15" hidden="1" customHeight="1">
      <c r="A481" s="95" t="s">
        <v>194</v>
      </c>
      <c r="B481" s="138"/>
      <c r="C481" s="138" t="s">
        <v>191</v>
      </c>
      <c r="D481" s="138" t="s">
        <v>193</v>
      </c>
      <c r="E481" s="138" t="s">
        <v>762</v>
      </c>
      <c r="F481" s="139"/>
      <c r="G481" s="30">
        <f>SUM(G482)</f>
        <v>0</v>
      </c>
      <c r="H481" s="30">
        <f>SUM(H482)</f>
        <v>0</v>
      </c>
      <c r="I481" s="20" t="e">
        <f t="shared" si="14"/>
        <v>#DIV/0!</v>
      </c>
    </row>
    <row r="482" spans="1:12" ht="15" hidden="1" customHeight="1">
      <c r="A482" s="95" t="s">
        <v>763</v>
      </c>
      <c r="B482" s="138"/>
      <c r="C482" s="138" t="s">
        <v>191</v>
      </c>
      <c r="D482" s="138" t="s">
        <v>193</v>
      </c>
      <c r="E482" s="138" t="s">
        <v>762</v>
      </c>
      <c r="F482" s="139" t="s">
        <v>764</v>
      </c>
      <c r="G482" s="30"/>
      <c r="H482" s="30"/>
      <c r="I482" s="20" t="e">
        <f t="shared" si="14"/>
        <v>#DIV/0!</v>
      </c>
    </row>
    <row r="483" spans="1:12" ht="15" hidden="1" customHeight="1">
      <c r="A483" s="94" t="s">
        <v>765</v>
      </c>
      <c r="B483" s="142"/>
      <c r="C483" s="142" t="s">
        <v>191</v>
      </c>
      <c r="D483" s="142" t="s">
        <v>766</v>
      </c>
      <c r="E483" s="142"/>
      <c r="F483" s="140"/>
      <c r="G483" s="30">
        <f>SUM(G484+G486)</f>
        <v>0</v>
      </c>
      <c r="H483" s="30">
        <f>SUM(H484+H486)</f>
        <v>0</v>
      </c>
      <c r="I483" s="20" t="e">
        <f t="shared" si="14"/>
        <v>#DIV/0!</v>
      </c>
    </row>
    <row r="484" spans="1:12" ht="28.5" hidden="1" customHeight="1">
      <c r="A484" s="95" t="s">
        <v>767</v>
      </c>
      <c r="B484" s="138"/>
      <c r="C484" s="138" t="s">
        <v>191</v>
      </c>
      <c r="D484" s="138" t="s">
        <v>766</v>
      </c>
      <c r="E484" s="138" t="s">
        <v>768</v>
      </c>
      <c r="F484" s="140"/>
      <c r="G484" s="30">
        <f>SUM(G485)</f>
        <v>0</v>
      </c>
      <c r="H484" s="30">
        <f>SUM(H485)</f>
        <v>0</v>
      </c>
      <c r="I484" s="20" t="e">
        <f t="shared" si="14"/>
        <v>#DIV/0!</v>
      </c>
    </row>
    <row r="485" spans="1:12" ht="15" hidden="1" customHeight="1">
      <c r="A485" s="95" t="s">
        <v>793</v>
      </c>
      <c r="B485" s="138"/>
      <c r="C485" s="138" t="s">
        <v>191</v>
      </c>
      <c r="D485" s="138" t="s">
        <v>766</v>
      </c>
      <c r="E485" s="138" t="s">
        <v>768</v>
      </c>
      <c r="F485" s="140" t="s">
        <v>781</v>
      </c>
      <c r="G485" s="30"/>
      <c r="H485" s="30"/>
      <c r="I485" s="20" t="e">
        <f t="shared" si="14"/>
        <v>#DIV/0!</v>
      </c>
    </row>
    <row r="486" spans="1:12" ht="15" hidden="1" customHeight="1">
      <c r="A486" s="94" t="s">
        <v>782</v>
      </c>
      <c r="B486" s="142"/>
      <c r="C486" s="142" t="s">
        <v>191</v>
      </c>
      <c r="D486" s="142" t="s">
        <v>766</v>
      </c>
      <c r="E486" s="142" t="s">
        <v>783</v>
      </c>
      <c r="F486" s="140"/>
      <c r="G486" s="30">
        <f>SUM(G487)</f>
        <v>0</v>
      </c>
      <c r="H486" s="30">
        <f>SUM(H487)</f>
        <v>0</v>
      </c>
      <c r="I486" s="20" t="e">
        <f t="shared" si="14"/>
        <v>#DIV/0!</v>
      </c>
    </row>
    <row r="487" spans="1:12" ht="15" hidden="1" customHeight="1">
      <c r="A487" s="94" t="s">
        <v>784</v>
      </c>
      <c r="B487" s="142"/>
      <c r="C487" s="142" t="s">
        <v>191</v>
      </c>
      <c r="D487" s="142" t="s">
        <v>766</v>
      </c>
      <c r="E487" s="142" t="s">
        <v>783</v>
      </c>
      <c r="F487" s="140" t="s">
        <v>785</v>
      </c>
      <c r="G487" s="30"/>
      <c r="H487" s="30"/>
      <c r="I487" s="20" t="e">
        <f t="shared" si="14"/>
        <v>#DIV/0!</v>
      </c>
    </row>
    <row r="488" spans="1:12" ht="15" hidden="1" customHeight="1">
      <c r="A488" s="115" t="s">
        <v>179</v>
      </c>
      <c r="B488" s="163"/>
      <c r="C488" s="154" t="s">
        <v>180</v>
      </c>
      <c r="D488" s="138"/>
      <c r="E488" s="138"/>
      <c r="F488" s="139"/>
      <c r="G488" s="30">
        <f t="shared" ref="G488:H490" si="15">SUM(G489)</f>
        <v>0</v>
      </c>
      <c r="H488" s="30">
        <f t="shared" si="15"/>
        <v>0</v>
      </c>
      <c r="I488" s="20" t="e">
        <f t="shared" si="14"/>
        <v>#DIV/0!</v>
      </c>
    </row>
    <row r="489" spans="1:12" ht="15" hidden="1" customHeight="1">
      <c r="A489" s="95" t="s">
        <v>181</v>
      </c>
      <c r="B489" s="138"/>
      <c r="C489" s="138" t="s">
        <v>180</v>
      </c>
      <c r="D489" s="138" t="s">
        <v>180</v>
      </c>
      <c r="E489" s="138"/>
      <c r="F489" s="139"/>
      <c r="G489" s="30">
        <f t="shared" si="15"/>
        <v>0</v>
      </c>
      <c r="H489" s="30">
        <f t="shared" si="15"/>
        <v>0</v>
      </c>
      <c r="I489" s="20" t="e">
        <f t="shared" si="14"/>
        <v>#DIV/0!</v>
      </c>
    </row>
    <row r="490" spans="1:12" ht="28.5" hidden="1" customHeight="1">
      <c r="A490" s="95" t="s">
        <v>182</v>
      </c>
      <c r="B490" s="138"/>
      <c r="C490" s="138" t="s">
        <v>180</v>
      </c>
      <c r="D490" s="138" t="s">
        <v>180</v>
      </c>
      <c r="E490" s="138" t="s">
        <v>183</v>
      </c>
      <c r="F490" s="139"/>
      <c r="G490" s="30">
        <f t="shared" si="15"/>
        <v>0</v>
      </c>
      <c r="H490" s="30">
        <f t="shared" si="15"/>
        <v>0</v>
      </c>
      <c r="I490" s="20" t="e">
        <f t="shared" si="14"/>
        <v>#DIV/0!</v>
      </c>
    </row>
    <row r="491" spans="1:12" ht="15" hidden="1" customHeight="1">
      <c r="A491" s="95" t="s">
        <v>184</v>
      </c>
      <c r="B491" s="138"/>
      <c r="C491" s="138" t="s">
        <v>180</v>
      </c>
      <c r="D491" s="138" t="s">
        <v>180</v>
      </c>
      <c r="E491" s="138" t="s">
        <v>183</v>
      </c>
      <c r="F491" s="139" t="s">
        <v>185</v>
      </c>
      <c r="G491" s="30"/>
      <c r="H491" s="30"/>
      <c r="I491" s="20" t="e">
        <f t="shared" si="14"/>
        <v>#DIV/0!</v>
      </c>
    </row>
    <row r="492" spans="1:12" ht="15" hidden="1" customHeight="1">
      <c r="A492" s="95" t="s">
        <v>190</v>
      </c>
      <c r="B492" s="138"/>
      <c r="C492" s="138" t="s">
        <v>191</v>
      </c>
      <c r="D492" s="138"/>
      <c r="E492" s="138"/>
      <c r="F492" s="139"/>
      <c r="G492" s="30">
        <f t="shared" ref="G492:H494" si="16">SUM(G493)</f>
        <v>0</v>
      </c>
      <c r="H492" s="30">
        <f t="shared" si="16"/>
        <v>0</v>
      </c>
      <c r="I492" s="20" t="e">
        <f t="shared" si="14"/>
        <v>#DIV/0!</v>
      </c>
    </row>
    <row r="493" spans="1:12" ht="15" hidden="1" customHeight="1">
      <c r="A493" s="95" t="s">
        <v>662</v>
      </c>
      <c r="B493" s="138"/>
      <c r="C493" s="138" t="s">
        <v>191</v>
      </c>
      <c r="D493" s="142" t="s">
        <v>836</v>
      </c>
      <c r="E493" s="158"/>
      <c r="F493" s="159"/>
      <c r="G493" s="30">
        <f t="shared" si="16"/>
        <v>0</v>
      </c>
      <c r="H493" s="30">
        <f t="shared" si="16"/>
        <v>0</v>
      </c>
      <c r="I493" s="20" t="e">
        <f t="shared" si="14"/>
        <v>#DIV/0!</v>
      </c>
    </row>
    <row r="494" spans="1:12" ht="15" hidden="1" customHeight="1">
      <c r="A494" s="95" t="s">
        <v>663</v>
      </c>
      <c r="B494" s="138"/>
      <c r="C494" s="138" t="s">
        <v>191</v>
      </c>
      <c r="D494" s="142" t="s">
        <v>836</v>
      </c>
      <c r="E494" s="158" t="s">
        <v>664</v>
      </c>
      <c r="F494" s="159"/>
      <c r="G494" s="30">
        <f t="shared" si="16"/>
        <v>0</v>
      </c>
      <c r="H494" s="30">
        <f t="shared" si="16"/>
        <v>0</v>
      </c>
      <c r="I494" s="20" t="e">
        <f t="shared" si="14"/>
        <v>#DIV/0!</v>
      </c>
    </row>
    <row r="495" spans="1:12" ht="15" hidden="1" customHeight="1">
      <c r="A495" s="95" t="s">
        <v>665</v>
      </c>
      <c r="B495" s="138"/>
      <c r="C495" s="138" t="s">
        <v>191</v>
      </c>
      <c r="D495" s="142" t="s">
        <v>836</v>
      </c>
      <c r="E495" s="158" t="s">
        <v>664</v>
      </c>
      <c r="F495" s="159">
        <v>273</v>
      </c>
      <c r="G495" s="30"/>
      <c r="H495" s="30"/>
      <c r="I495" s="20" t="e">
        <f t="shared" si="14"/>
        <v>#DIV/0!</v>
      </c>
    </row>
    <row r="496" spans="1:12" s="19" customFormat="1" ht="15.75">
      <c r="A496" s="120" t="s">
        <v>179</v>
      </c>
      <c r="B496" s="169"/>
      <c r="C496" s="193" t="s">
        <v>180</v>
      </c>
      <c r="D496" s="193"/>
      <c r="E496" s="193"/>
      <c r="F496" s="194"/>
      <c r="G496" s="203">
        <f>SUM(G497+G554+G671+G709)</f>
        <v>1843970</v>
      </c>
      <c r="H496" s="203">
        <f>SUM(H497+H554+H671+H709)</f>
        <v>1827747.7</v>
      </c>
      <c r="I496" s="26">
        <f t="shared" si="14"/>
        <v>99.120251414068562</v>
      </c>
      <c r="J496" s="226"/>
      <c r="L496" s="19">
        <f>SUM(ведомствен.2013!G591+ведомствен.2013!G782+ведомствен.2013!G1139+ведомствен.2013!G1250+ведомствен.2013!G1502+ведомствен.2013!G1602)</f>
        <v>1843969.9999999998</v>
      </c>
    </row>
    <row r="497" spans="1:13" s="33" customFormat="1" ht="15">
      <c r="A497" s="95" t="s">
        <v>666</v>
      </c>
      <c r="B497" s="157"/>
      <c r="C497" s="142" t="s">
        <v>180</v>
      </c>
      <c r="D497" s="142" t="s">
        <v>836</v>
      </c>
      <c r="E497" s="142"/>
      <c r="F497" s="140"/>
      <c r="G497" s="30">
        <f>SUM(G501+G541)+G533+G498</f>
        <v>643524.19999999995</v>
      </c>
      <c r="H497" s="30">
        <f>SUM(H501+H541)+H533+H498</f>
        <v>632745.39999999991</v>
      </c>
      <c r="I497" s="20">
        <f t="shared" si="14"/>
        <v>98.325035795079657</v>
      </c>
      <c r="J497" s="237"/>
      <c r="K497" s="33">
        <f>SUM(J497:J763)</f>
        <v>1843970.0000000002</v>
      </c>
      <c r="L497" s="132">
        <f>SUM(G496-K497)</f>
        <v>-2.3283064365386963E-10</v>
      </c>
      <c r="M497" s="248">
        <f>SUM(K497-L496)</f>
        <v>4.6566128730773926E-10</v>
      </c>
    </row>
    <row r="498" spans="1:13" s="33" customFormat="1" ht="15">
      <c r="A498" s="115" t="s">
        <v>254</v>
      </c>
      <c r="B498" s="138"/>
      <c r="C498" s="142" t="s">
        <v>180</v>
      </c>
      <c r="D498" s="142" t="s">
        <v>836</v>
      </c>
      <c r="E498" s="138" t="s">
        <v>255</v>
      </c>
      <c r="F498" s="164"/>
      <c r="G498" s="81">
        <f>SUM(G499)</f>
        <v>1465.5</v>
      </c>
      <c r="H498" s="81">
        <f>SUM(H499)</f>
        <v>1465.5</v>
      </c>
      <c r="I498" s="20">
        <f t="shared" si="14"/>
        <v>100</v>
      </c>
      <c r="J498" s="237"/>
      <c r="L498" s="132"/>
      <c r="M498" s="248"/>
    </row>
    <row r="499" spans="1:13" s="33" customFormat="1" ht="28.5">
      <c r="A499" s="95" t="s">
        <v>1127</v>
      </c>
      <c r="B499" s="157"/>
      <c r="C499" s="142" t="s">
        <v>180</v>
      </c>
      <c r="D499" s="142" t="s">
        <v>836</v>
      </c>
      <c r="E499" s="138" t="s">
        <v>1128</v>
      </c>
      <c r="F499" s="140"/>
      <c r="G499" s="81">
        <f>SUM(G500)</f>
        <v>1465.5</v>
      </c>
      <c r="H499" s="81">
        <f>SUM(H500)</f>
        <v>1465.5</v>
      </c>
      <c r="I499" s="20">
        <f t="shared" si="14"/>
        <v>100</v>
      </c>
      <c r="J499" s="237"/>
      <c r="L499" s="132"/>
      <c r="M499" s="248"/>
    </row>
    <row r="500" spans="1:13" s="33" customFormat="1" ht="15">
      <c r="A500" s="95" t="s">
        <v>441</v>
      </c>
      <c r="B500" s="157"/>
      <c r="C500" s="142" t="s">
        <v>180</v>
      </c>
      <c r="D500" s="142" t="s">
        <v>836</v>
      </c>
      <c r="E500" s="138" t="s">
        <v>1128</v>
      </c>
      <c r="F500" s="140" t="s">
        <v>442</v>
      </c>
      <c r="G500" s="81">
        <v>1465.5</v>
      </c>
      <c r="H500" s="81">
        <v>1465.5</v>
      </c>
      <c r="I500" s="20">
        <f t="shared" si="14"/>
        <v>100</v>
      </c>
      <c r="J500" s="237">
        <f>SUM(ведомствен.2013!G1254)</f>
        <v>1465.5</v>
      </c>
      <c r="L500" s="132"/>
      <c r="M500" s="248"/>
    </row>
    <row r="501" spans="1:13" s="33" customFormat="1" ht="15">
      <c r="A501" s="95" t="s">
        <v>667</v>
      </c>
      <c r="B501" s="157"/>
      <c r="C501" s="142" t="s">
        <v>180</v>
      </c>
      <c r="D501" s="142" t="s">
        <v>836</v>
      </c>
      <c r="E501" s="142" t="s">
        <v>668</v>
      </c>
      <c r="F501" s="140"/>
      <c r="G501" s="30">
        <f>SUM(G502+G516)</f>
        <v>612926.6</v>
      </c>
      <c r="H501" s="30">
        <f>SUM(H502+H516)</f>
        <v>601971.19999999995</v>
      </c>
      <c r="I501" s="20">
        <f t="shared" si="14"/>
        <v>98.212608165480162</v>
      </c>
      <c r="J501" s="237"/>
      <c r="K501" s="33">
        <f>SUM(ведомствен.2013!G783+ведомствен.2013!G1251+ведомствен.2013!G596)</f>
        <v>643524.19999999995</v>
      </c>
    </row>
    <row r="502" spans="1:13" s="33" customFormat="1" ht="27.75" customHeight="1">
      <c r="A502" s="95" t="s">
        <v>953</v>
      </c>
      <c r="B502" s="157"/>
      <c r="C502" s="142" t="s">
        <v>180</v>
      </c>
      <c r="D502" s="142" t="s">
        <v>836</v>
      </c>
      <c r="E502" s="142" t="s">
        <v>137</v>
      </c>
      <c r="F502" s="140"/>
      <c r="G502" s="30">
        <f>SUM(G505)+G514+G507+G503</f>
        <v>529839.69999999995</v>
      </c>
      <c r="H502" s="30">
        <f>SUM(H505)+H514+H507+H503</f>
        <v>522371.5</v>
      </c>
      <c r="I502" s="20">
        <f t="shared" si="14"/>
        <v>98.590479346866616</v>
      </c>
      <c r="J502" s="237"/>
      <c r="K502" s="33">
        <f>SUM(J503:J553)</f>
        <v>642058.69999999995</v>
      </c>
      <c r="M502" s="132">
        <f>SUM(G497-K502)</f>
        <v>1465.5</v>
      </c>
    </row>
    <row r="503" spans="1:13" ht="57" hidden="1" customHeight="1">
      <c r="A503" s="95" t="s">
        <v>395</v>
      </c>
      <c r="B503" s="157"/>
      <c r="C503" s="142" t="s">
        <v>180</v>
      </c>
      <c r="D503" s="142" t="s">
        <v>836</v>
      </c>
      <c r="E503" s="142" t="s">
        <v>396</v>
      </c>
      <c r="F503" s="140"/>
      <c r="G503" s="30">
        <f>SUM(G504)</f>
        <v>0</v>
      </c>
      <c r="H503" s="30">
        <f>SUM(H504)</f>
        <v>0</v>
      </c>
      <c r="I503" s="20" t="e">
        <f t="shared" si="14"/>
        <v>#DIV/0!</v>
      </c>
    </row>
    <row r="504" spans="1:13" ht="15" hidden="1" customHeight="1">
      <c r="A504" s="95" t="s">
        <v>276</v>
      </c>
      <c r="B504" s="157"/>
      <c r="C504" s="142" t="s">
        <v>180</v>
      </c>
      <c r="D504" s="142" t="s">
        <v>836</v>
      </c>
      <c r="E504" s="142" t="s">
        <v>396</v>
      </c>
      <c r="F504" s="140" t="s">
        <v>132</v>
      </c>
      <c r="G504" s="30"/>
      <c r="H504" s="30"/>
      <c r="I504" s="20" t="e">
        <f t="shared" si="14"/>
        <v>#DIV/0!</v>
      </c>
      <c r="J504" s="225">
        <f>SUM(ведомствен.2013!G1258)</f>
        <v>0</v>
      </c>
    </row>
    <row r="505" spans="1:13" s="33" customFormat="1" ht="28.5">
      <c r="A505" s="95" t="s">
        <v>374</v>
      </c>
      <c r="B505" s="157"/>
      <c r="C505" s="142" t="s">
        <v>180</v>
      </c>
      <c r="D505" s="142" t="s">
        <v>836</v>
      </c>
      <c r="E505" s="142" t="s">
        <v>138</v>
      </c>
      <c r="F505" s="140"/>
      <c r="G505" s="30">
        <f>SUM(G506)</f>
        <v>523417.1</v>
      </c>
      <c r="H505" s="30">
        <f>SUM(H506)</f>
        <v>516066</v>
      </c>
      <c r="I505" s="20">
        <f t="shared" si="14"/>
        <v>98.595556010684405</v>
      </c>
      <c r="J505" s="237"/>
      <c r="K505" s="229">
        <f t="shared" ref="K505:K571" si="17">SUM(G505-J505)</f>
        <v>523417.1</v>
      </c>
    </row>
    <row r="506" spans="1:13" s="33" customFormat="1" ht="42.75">
      <c r="A506" s="97" t="s">
        <v>275</v>
      </c>
      <c r="B506" s="109"/>
      <c r="C506" s="142" t="s">
        <v>180</v>
      </c>
      <c r="D506" s="142" t="s">
        <v>836</v>
      </c>
      <c r="E506" s="142" t="s">
        <v>138</v>
      </c>
      <c r="F506" s="141" t="s">
        <v>51</v>
      </c>
      <c r="G506" s="30">
        <v>523417.1</v>
      </c>
      <c r="H506" s="30">
        <v>516066</v>
      </c>
      <c r="I506" s="20">
        <f t="shared" si="14"/>
        <v>98.595556010684405</v>
      </c>
      <c r="J506" s="237">
        <f>SUM(ведомствен.2013!G1260)</f>
        <v>523417.1</v>
      </c>
      <c r="K506" s="229">
        <f t="shared" si="17"/>
        <v>0</v>
      </c>
    </row>
    <row r="507" spans="1:13" s="33" customFormat="1" ht="21" customHeight="1">
      <c r="A507" s="97" t="s">
        <v>276</v>
      </c>
      <c r="B507" s="157"/>
      <c r="C507" s="142" t="s">
        <v>180</v>
      </c>
      <c r="D507" s="142" t="s">
        <v>836</v>
      </c>
      <c r="E507" s="142" t="s">
        <v>249</v>
      </c>
      <c r="F507" s="140"/>
      <c r="G507" s="30">
        <f>SUM(G513)+G509+G511</f>
        <v>3787.6</v>
      </c>
      <c r="H507" s="30">
        <f>SUM(H513)+H509+H511</f>
        <v>3771.0000000000005</v>
      </c>
      <c r="I507" s="20">
        <f t="shared" ref="I507:I570" si="18">SUM(H507/G507*100)</f>
        <v>99.56172774316191</v>
      </c>
      <c r="J507" s="237"/>
      <c r="K507" s="229"/>
    </row>
    <row r="508" spans="1:13" ht="30" customHeight="1">
      <c r="A508" s="97" t="s">
        <v>232</v>
      </c>
      <c r="B508" s="157"/>
      <c r="C508" s="142" t="s">
        <v>180</v>
      </c>
      <c r="D508" s="142" t="s">
        <v>836</v>
      </c>
      <c r="E508" s="142" t="s">
        <v>382</v>
      </c>
      <c r="F508" s="140"/>
      <c r="G508" s="30">
        <f>SUM(G509)</f>
        <v>1283.7</v>
      </c>
      <c r="H508" s="30">
        <f>SUM(H509)</f>
        <v>1283.7</v>
      </c>
      <c r="I508" s="20">
        <f t="shared" si="18"/>
        <v>100</v>
      </c>
      <c r="K508" s="229"/>
    </row>
    <row r="509" spans="1:13" ht="21.75" customHeight="1">
      <c r="A509" s="97" t="s">
        <v>231</v>
      </c>
      <c r="B509" s="157"/>
      <c r="C509" s="142" t="s">
        <v>180</v>
      </c>
      <c r="D509" s="142" t="s">
        <v>836</v>
      </c>
      <c r="E509" s="142" t="s">
        <v>382</v>
      </c>
      <c r="F509" s="140" t="s">
        <v>132</v>
      </c>
      <c r="G509" s="30">
        <v>1283.7</v>
      </c>
      <c r="H509" s="30">
        <v>1283.7</v>
      </c>
      <c r="I509" s="20">
        <f t="shared" si="18"/>
        <v>100</v>
      </c>
      <c r="J509" s="225">
        <f>SUM(ведомствен.2013!G1263)</f>
        <v>1283.7</v>
      </c>
      <c r="K509" s="229">
        <f t="shared" si="17"/>
        <v>0</v>
      </c>
    </row>
    <row r="510" spans="1:13" ht="30" customHeight="1">
      <c r="A510" s="97" t="s">
        <v>759</v>
      </c>
      <c r="B510" s="157"/>
      <c r="C510" s="142" t="s">
        <v>180</v>
      </c>
      <c r="D510" s="142" t="s">
        <v>836</v>
      </c>
      <c r="E510" s="142" t="s">
        <v>383</v>
      </c>
      <c r="F510" s="140"/>
      <c r="G510" s="30">
        <f>SUM(G511)</f>
        <v>1451.4</v>
      </c>
      <c r="H510" s="30">
        <f>SUM(H511)</f>
        <v>1451.4</v>
      </c>
      <c r="I510" s="20">
        <f t="shared" si="18"/>
        <v>100</v>
      </c>
      <c r="K510" s="229"/>
    </row>
    <row r="511" spans="1:13" ht="30" customHeight="1">
      <c r="A511" s="97" t="s">
        <v>231</v>
      </c>
      <c r="B511" s="157"/>
      <c r="C511" s="142" t="s">
        <v>180</v>
      </c>
      <c r="D511" s="142" t="s">
        <v>836</v>
      </c>
      <c r="E511" s="142" t="s">
        <v>383</v>
      </c>
      <c r="F511" s="140" t="s">
        <v>132</v>
      </c>
      <c r="G511" s="30">
        <v>1451.4</v>
      </c>
      <c r="H511" s="30">
        <v>1451.4</v>
      </c>
      <c r="I511" s="20">
        <f t="shared" si="18"/>
        <v>100</v>
      </c>
      <c r="J511" s="225">
        <f>SUM(ведомствен.2013!G1265)</f>
        <v>1451.4</v>
      </c>
      <c r="K511" s="229">
        <f t="shared" si="17"/>
        <v>0</v>
      </c>
    </row>
    <row r="512" spans="1:13" s="33" customFormat="1" ht="28.5">
      <c r="A512" s="95" t="s">
        <v>403</v>
      </c>
      <c r="B512" s="157"/>
      <c r="C512" s="142" t="s">
        <v>180</v>
      </c>
      <c r="D512" s="142" t="s">
        <v>836</v>
      </c>
      <c r="E512" s="142" t="s">
        <v>410</v>
      </c>
      <c r="F512" s="140"/>
      <c r="G512" s="30">
        <f>SUM(G513)</f>
        <v>1052.5</v>
      </c>
      <c r="H512" s="30">
        <f>SUM(H513)</f>
        <v>1035.9000000000001</v>
      </c>
      <c r="I512" s="20">
        <f t="shared" si="18"/>
        <v>98.422802850356305</v>
      </c>
      <c r="J512" s="237"/>
      <c r="K512" s="229"/>
    </row>
    <row r="513" spans="1:11" s="33" customFormat="1" ht="17.25" customHeight="1">
      <c r="A513" s="97" t="s">
        <v>231</v>
      </c>
      <c r="B513" s="157"/>
      <c r="C513" s="142" t="s">
        <v>180</v>
      </c>
      <c r="D513" s="142" t="s">
        <v>836</v>
      </c>
      <c r="E513" s="142" t="s">
        <v>410</v>
      </c>
      <c r="F513" s="140" t="s">
        <v>132</v>
      </c>
      <c r="G513" s="30">
        <v>1052.5</v>
      </c>
      <c r="H513" s="30">
        <v>1035.9000000000001</v>
      </c>
      <c r="I513" s="20">
        <f t="shared" si="18"/>
        <v>98.422802850356305</v>
      </c>
      <c r="J513" s="237">
        <f>SUM(ведомствен.2013!G1267)</f>
        <v>1052.5</v>
      </c>
      <c r="K513" s="229">
        <f t="shared" si="17"/>
        <v>0</v>
      </c>
    </row>
    <row r="514" spans="1:11" s="33" customFormat="1" ht="28.5">
      <c r="A514" s="97" t="s">
        <v>677</v>
      </c>
      <c r="B514" s="138"/>
      <c r="C514" s="160" t="s">
        <v>180</v>
      </c>
      <c r="D514" s="160" t="s">
        <v>836</v>
      </c>
      <c r="E514" s="160" t="s">
        <v>140</v>
      </c>
      <c r="F514" s="140"/>
      <c r="G514" s="30">
        <f>SUM(G515)</f>
        <v>2635</v>
      </c>
      <c r="H514" s="30">
        <f>SUM(H515)</f>
        <v>2534.5</v>
      </c>
      <c r="I514" s="20">
        <f t="shared" si="18"/>
        <v>96.185958254269451</v>
      </c>
      <c r="J514" s="237"/>
      <c r="K514" s="229"/>
    </row>
    <row r="515" spans="1:11" s="33" customFormat="1" ht="19.5" customHeight="1">
      <c r="A515" s="94" t="s">
        <v>276</v>
      </c>
      <c r="B515" s="109"/>
      <c r="C515" s="142" t="s">
        <v>180</v>
      </c>
      <c r="D515" s="142" t="s">
        <v>836</v>
      </c>
      <c r="E515" s="160" t="s">
        <v>140</v>
      </c>
      <c r="F515" s="141" t="s">
        <v>132</v>
      </c>
      <c r="G515" s="30">
        <v>2635</v>
      </c>
      <c r="H515" s="30">
        <v>2534.5</v>
      </c>
      <c r="I515" s="20">
        <f t="shared" si="18"/>
        <v>96.185958254269451</v>
      </c>
      <c r="J515" s="237">
        <f>SUM(ведомствен.2013!G1270)</f>
        <v>2635</v>
      </c>
      <c r="K515" s="229">
        <f t="shared" si="17"/>
        <v>0</v>
      </c>
    </row>
    <row r="516" spans="1:11" s="33" customFormat="1" ht="28.5">
      <c r="A516" s="95" t="s">
        <v>48</v>
      </c>
      <c r="B516" s="157"/>
      <c r="C516" s="142" t="s">
        <v>180</v>
      </c>
      <c r="D516" s="142" t="s">
        <v>836</v>
      </c>
      <c r="E516" s="142" t="s">
        <v>669</v>
      </c>
      <c r="F516" s="140"/>
      <c r="G516" s="30">
        <f>SUM(G524+G517)+G519+G520</f>
        <v>83086.900000000009</v>
      </c>
      <c r="H516" s="30">
        <f>SUM(H524+H517)+H519+H520</f>
        <v>79599.7</v>
      </c>
      <c r="I516" s="20">
        <f t="shared" si="18"/>
        <v>95.802948479242801</v>
      </c>
      <c r="J516" s="237"/>
      <c r="K516" s="229"/>
    </row>
    <row r="517" spans="1:11" s="33" customFormat="1" ht="18.75" customHeight="1">
      <c r="A517" s="97" t="s">
        <v>49</v>
      </c>
      <c r="B517" s="109"/>
      <c r="C517" s="160" t="s">
        <v>180</v>
      </c>
      <c r="D517" s="160" t="s">
        <v>836</v>
      </c>
      <c r="E517" s="160" t="s">
        <v>669</v>
      </c>
      <c r="F517" s="141" t="s">
        <v>498</v>
      </c>
      <c r="G517" s="30">
        <v>82202.3</v>
      </c>
      <c r="H517" s="30">
        <v>78753.3</v>
      </c>
      <c r="I517" s="20">
        <f t="shared" si="18"/>
        <v>95.804253652270063</v>
      </c>
      <c r="J517" s="237">
        <f>SUM(ведомствен.2013!G1272)+ведомствен.2013!G786</f>
        <v>82202.3</v>
      </c>
      <c r="K517" s="229">
        <f t="shared" si="17"/>
        <v>0</v>
      </c>
    </row>
    <row r="518" spans="1:11" ht="57" hidden="1" customHeight="1">
      <c r="A518" s="95" t="s">
        <v>395</v>
      </c>
      <c r="B518" s="109"/>
      <c r="C518" s="160" t="s">
        <v>180</v>
      </c>
      <c r="D518" s="160" t="s">
        <v>836</v>
      </c>
      <c r="E518" s="160" t="s">
        <v>672</v>
      </c>
      <c r="F518" s="141"/>
      <c r="G518" s="30">
        <f>SUM(G519)</f>
        <v>0</v>
      </c>
      <c r="H518" s="30">
        <f>SUM(H519)</f>
        <v>0</v>
      </c>
      <c r="I518" s="20" t="e">
        <f t="shared" si="18"/>
        <v>#DIV/0!</v>
      </c>
      <c r="K518" s="229">
        <f t="shared" si="17"/>
        <v>0</v>
      </c>
    </row>
    <row r="519" spans="1:11" ht="15" hidden="1" customHeight="1">
      <c r="A519" s="97" t="s">
        <v>49</v>
      </c>
      <c r="B519" s="109"/>
      <c r="C519" s="160" t="s">
        <v>180</v>
      </c>
      <c r="D519" s="160" t="s">
        <v>836</v>
      </c>
      <c r="E519" s="160" t="s">
        <v>672</v>
      </c>
      <c r="F519" s="141" t="s">
        <v>498</v>
      </c>
      <c r="G519" s="30"/>
      <c r="H519" s="30"/>
      <c r="I519" s="20" t="e">
        <f t="shared" si="18"/>
        <v>#DIV/0!</v>
      </c>
      <c r="J519" s="225">
        <f>SUM(ведомствен.2013!G1274)</f>
        <v>0</v>
      </c>
      <c r="K519" s="229">
        <f t="shared" si="17"/>
        <v>0</v>
      </c>
    </row>
    <row r="520" spans="1:11" s="25" customFormat="1" ht="28.5" hidden="1" customHeight="1">
      <c r="A520" s="94" t="s">
        <v>384</v>
      </c>
      <c r="B520" s="142"/>
      <c r="C520" s="142" t="s">
        <v>180</v>
      </c>
      <c r="D520" s="142" t="s">
        <v>836</v>
      </c>
      <c r="E520" s="142" t="s">
        <v>385</v>
      </c>
      <c r="F520" s="140"/>
      <c r="G520" s="30">
        <f>SUM(G521:G522)</f>
        <v>0</v>
      </c>
      <c r="H520" s="30">
        <f>SUM(H521:H522)</f>
        <v>0</v>
      </c>
      <c r="I520" s="20" t="e">
        <f t="shared" si="18"/>
        <v>#DIV/0!</v>
      </c>
      <c r="J520" s="229"/>
      <c r="K520" s="229">
        <f t="shared" si="17"/>
        <v>0</v>
      </c>
    </row>
    <row r="521" spans="1:11" s="25" customFormat="1" ht="15" hidden="1" customHeight="1">
      <c r="A521" s="94" t="s">
        <v>49</v>
      </c>
      <c r="B521" s="146"/>
      <c r="C521" s="142" t="s">
        <v>180</v>
      </c>
      <c r="D521" s="142" t="s">
        <v>836</v>
      </c>
      <c r="E521" s="142" t="s">
        <v>385</v>
      </c>
      <c r="F521" s="140" t="s">
        <v>498</v>
      </c>
      <c r="G521" s="30"/>
      <c r="H521" s="30"/>
      <c r="I521" s="20" t="e">
        <f t="shared" si="18"/>
        <v>#DIV/0!</v>
      </c>
      <c r="J521" s="229">
        <f>SUM(ведомствен.2013!G1276)</f>
        <v>0</v>
      </c>
      <c r="K521" s="229">
        <f t="shared" si="17"/>
        <v>0</v>
      </c>
    </row>
    <row r="522" spans="1:11" s="25" customFormat="1" ht="15" hidden="1" customHeight="1">
      <c r="A522" s="94" t="s">
        <v>276</v>
      </c>
      <c r="B522" s="109"/>
      <c r="C522" s="142" t="s">
        <v>180</v>
      </c>
      <c r="D522" s="142" t="s">
        <v>836</v>
      </c>
      <c r="E522" s="142" t="s">
        <v>385</v>
      </c>
      <c r="F522" s="141" t="s">
        <v>132</v>
      </c>
      <c r="G522" s="30"/>
      <c r="H522" s="30"/>
      <c r="I522" s="20" t="e">
        <f t="shared" si="18"/>
        <v>#DIV/0!</v>
      </c>
      <c r="J522" s="229">
        <f>SUM(ведомствен.2013!G1277)</f>
        <v>0</v>
      </c>
      <c r="K522" s="229">
        <f t="shared" si="17"/>
        <v>0</v>
      </c>
    </row>
    <row r="523" spans="1:11" s="33" customFormat="1" ht="35.25" customHeight="1">
      <c r="A523" s="97" t="s">
        <v>677</v>
      </c>
      <c r="B523" s="138"/>
      <c r="C523" s="160" t="s">
        <v>180</v>
      </c>
      <c r="D523" s="160" t="s">
        <v>836</v>
      </c>
      <c r="E523" s="160" t="s">
        <v>678</v>
      </c>
      <c r="F523" s="140"/>
      <c r="G523" s="30">
        <f>SUM(G524)</f>
        <v>884.6</v>
      </c>
      <c r="H523" s="30">
        <f>SUM(H524)</f>
        <v>846.4</v>
      </c>
      <c r="I523" s="20">
        <f t="shared" si="18"/>
        <v>95.681664028939622</v>
      </c>
      <c r="J523" s="237"/>
      <c r="K523" s="229"/>
    </row>
    <row r="524" spans="1:11" s="33" customFormat="1" ht="15.75" customHeight="1">
      <c r="A524" s="97" t="s">
        <v>49</v>
      </c>
      <c r="B524" s="109"/>
      <c r="C524" s="160" t="s">
        <v>180</v>
      </c>
      <c r="D524" s="160" t="s">
        <v>836</v>
      </c>
      <c r="E524" s="160" t="s">
        <v>678</v>
      </c>
      <c r="F524" s="141" t="s">
        <v>498</v>
      </c>
      <c r="G524" s="30">
        <v>884.6</v>
      </c>
      <c r="H524" s="30">
        <v>846.4</v>
      </c>
      <c r="I524" s="20">
        <f t="shared" si="18"/>
        <v>95.681664028939622</v>
      </c>
      <c r="J524" s="237">
        <f>SUM(ведомствен.2013!G1279)</f>
        <v>884.6</v>
      </c>
      <c r="K524" s="229">
        <f t="shared" si="17"/>
        <v>0</v>
      </c>
    </row>
    <row r="525" spans="1:11" ht="57" hidden="1" customHeight="1">
      <c r="A525" s="97" t="s">
        <v>395</v>
      </c>
      <c r="B525" s="109"/>
      <c r="C525" s="160" t="s">
        <v>180</v>
      </c>
      <c r="D525" s="160" t="s">
        <v>836</v>
      </c>
      <c r="E525" s="160" t="s">
        <v>672</v>
      </c>
      <c r="F525" s="141"/>
      <c r="G525" s="30">
        <f>SUM(G526)</f>
        <v>0</v>
      </c>
      <c r="H525" s="30">
        <f>SUM(H526)</f>
        <v>0</v>
      </c>
      <c r="I525" s="20" t="e">
        <f t="shared" si="18"/>
        <v>#DIV/0!</v>
      </c>
      <c r="K525" s="229">
        <f t="shared" si="17"/>
        <v>0</v>
      </c>
    </row>
    <row r="526" spans="1:11" ht="28.5" hidden="1" customHeight="1">
      <c r="A526" s="97" t="s">
        <v>673</v>
      </c>
      <c r="B526" s="109"/>
      <c r="C526" s="160" t="s">
        <v>180</v>
      </c>
      <c r="D526" s="160" t="s">
        <v>836</v>
      </c>
      <c r="E526" s="160" t="s">
        <v>672</v>
      </c>
      <c r="F526" s="141" t="s">
        <v>674</v>
      </c>
      <c r="G526" s="30"/>
      <c r="H526" s="30"/>
      <c r="I526" s="20" t="e">
        <f t="shared" si="18"/>
        <v>#DIV/0!</v>
      </c>
      <c r="K526" s="229">
        <f t="shared" si="17"/>
        <v>0</v>
      </c>
    </row>
    <row r="527" spans="1:11" s="33" customFormat="1" ht="28.5" hidden="1" customHeight="1">
      <c r="A527" s="97" t="s">
        <v>675</v>
      </c>
      <c r="B527" s="138"/>
      <c r="C527" s="160" t="s">
        <v>180</v>
      </c>
      <c r="D527" s="160" t="s">
        <v>836</v>
      </c>
      <c r="E527" s="160" t="s">
        <v>676</v>
      </c>
      <c r="F527" s="140"/>
      <c r="G527" s="30">
        <f>SUM(G528)</f>
        <v>0</v>
      </c>
      <c r="H527" s="30">
        <f>SUM(H528)</f>
        <v>0</v>
      </c>
      <c r="I527" s="20" t="e">
        <f t="shared" si="18"/>
        <v>#DIV/0!</v>
      </c>
      <c r="J527" s="237"/>
      <c r="K527" s="229">
        <f t="shared" si="17"/>
        <v>0</v>
      </c>
    </row>
    <row r="528" spans="1:11" s="33" customFormat="1" ht="15" hidden="1" customHeight="1">
      <c r="A528" s="97" t="s">
        <v>497</v>
      </c>
      <c r="B528" s="109"/>
      <c r="C528" s="160" t="s">
        <v>180</v>
      </c>
      <c r="D528" s="160" t="s">
        <v>836</v>
      </c>
      <c r="E528" s="160" t="s">
        <v>676</v>
      </c>
      <c r="F528" s="141" t="s">
        <v>498</v>
      </c>
      <c r="G528" s="30"/>
      <c r="H528" s="30"/>
      <c r="I528" s="20" t="e">
        <f t="shared" si="18"/>
        <v>#DIV/0!</v>
      </c>
      <c r="J528" s="237"/>
      <c r="K528" s="229">
        <f t="shared" si="17"/>
        <v>0</v>
      </c>
    </row>
    <row r="529" spans="1:15" s="33" customFormat="1" ht="28.5" hidden="1" customHeight="1">
      <c r="A529" s="97" t="s">
        <v>677</v>
      </c>
      <c r="B529" s="109"/>
      <c r="C529" s="160" t="s">
        <v>180</v>
      </c>
      <c r="D529" s="160" t="s">
        <v>836</v>
      </c>
      <c r="E529" s="160" t="s">
        <v>678</v>
      </c>
      <c r="F529" s="141"/>
      <c r="G529" s="30">
        <f>SUM(G530)</f>
        <v>0</v>
      </c>
      <c r="H529" s="30">
        <f>SUM(H530)</f>
        <v>0</v>
      </c>
      <c r="I529" s="20" t="e">
        <f t="shared" si="18"/>
        <v>#DIV/0!</v>
      </c>
      <c r="J529" s="237"/>
      <c r="K529" s="229">
        <f t="shared" si="17"/>
        <v>0</v>
      </c>
    </row>
    <row r="530" spans="1:15" s="33" customFormat="1" ht="15" hidden="1" customHeight="1">
      <c r="A530" s="97" t="s">
        <v>497</v>
      </c>
      <c r="B530" s="109"/>
      <c r="C530" s="160" t="s">
        <v>180</v>
      </c>
      <c r="D530" s="160" t="s">
        <v>836</v>
      </c>
      <c r="E530" s="160" t="s">
        <v>678</v>
      </c>
      <c r="F530" s="141" t="s">
        <v>498</v>
      </c>
      <c r="G530" s="30"/>
      <c r="H530" s="30"/>
      <c r="I530" s="20" t="e">
        <f t="shared" si="18"/>
        <v>#DIV/0!</v>
      </c>
      <c r="J530" s="237"/>
      <c r="K530" s="229">
        <f t="shared" si="17"/>
        <v>0</v>
      </c>
    </row>
    <row r="531" spans="1:15" s="33" customFormat="1" ht="28.5" hidden="1" customHeight="1">
      <c r="A531" s="95" t="s">
        <v>679</v>
      </c>
      <c r="B531" s="138"/>
      <c r="C531" s="160" t="s">
        <v>180</v>
      </c>
      <c r="D531" s="160" t="s">
        <v>836</v>
      </c>
      <c r="E531" s="160" t="s">
        <v>680</v>
      </c>
      <c r="F531" s="141"/>
      <c r="G531" s="30">
        <f>SUM(G532)</f>
        <v>0</v>
      </c>
      <c r="H531" s="30">
        <f>SUM(H532)</f>
        <v>0</v>
      </c>
      <c r="I531" s="20" t="e">
        <f t="shared" si="18"/>
        <v>#DIV/0!</v>
      </c>
      <c r="J531" s="237"/>
      <c r="K531" s="229">
        <f t="shared" si="17"/>
        <v>0</v>
      </c>
    </row>
    <row r="532" spans="1:15" s="33" customFormat="1" ht="15" hidden="1" customHeight="1">
      <c r="A532" s="97" t="s">
        <v>497</v>
      </c>
      <c r="B532" s="138"/>
      <c r="C532" s="160" t="s">
        <v>180</v>
      </c>
      <c r="D532" s="160" t="s">
        <v>836</v>
      </c>
      <c r="E532" s="160" t="s">
        <v>680</v>
      </c>
      <c r="F532" s="141" t="s">
        <v>498</v>
      </c>
      <c r="G532" s="30"/>
      <c r="H532" s="30"/>
      <c r="I532" s="20" t="e">
        <f t="shared" si="18"/>
        <v>#DIV/0!</v>
      </c>
      <c r="J532" s="237"/>
      <c r="K532" s="229">
        <f t="shared" si="17"/>
        <v>0</v>
      </c>
    </row>
    <row r="533" spans="1:15" s="33" customFormat="1" ht="15.75" customHeight="1">
      <c r="A533" s="95" t="s">
        <v>932</v>
      </c>
      <c r="B533" s="109"/>
      <c r="C533" s="160" t="s">
        <v>180</v>
      </c>
      <c r="D533" s="160" t="s">
        <v>836</v>
      </c>
      <c r="E533" s="142" t="s">
        <v>933</v>
      </c>
      <c r="F533" s="141"/>
      <c r="G533" s="30">
        <f>SUM(G534)+G538</f>
        <v>4577.1000000000004</v>
      </c>
      <c r="H533" s="30">
        <f>SUM(H534)+H538</f>
        <v>4800.7000000000007</v>
      </c>
      <c r="I533" s="20">
        <f t="shared" si="18"/>
        <v>104.88518931200979</v>
      </c>
      <c r="J533" s="237"/>
      <c r="K533" s="229"/>
      <c r="O533" s="132">
        <f>SUM(G533+G541)</f>
        <v>29132.1</v>
      </c>
    </row>
    <row r="534" spans="1:15" s="33" customFormat="1" ht="45" customHeight="1">
      <c r="A534" s="95" t="s">
        <v>1069</v>
      </c>
      <c r="B534" s="109"/>
      <c r="C534" s="160" t="s">
        <v>180</v>
      </c>
      <c r="D534" s="160" t="s">
        <v>836</v>
      </c>
      <c r="E534" s="142" t="s">
        <v>682</v>
      </c>
      <c r="F534" s="141"/>
      <c r="G534" s="30">
        <f>SUM(G537+G535)+G536</f>
        <v>4577.1000000000004</v>
      </c>
      <c r="H534" s="30">
        <f>SUM(H537+H535)+H536</f>
        <v>4577.1000000000004</v>
      </c>
      <c r="I534" s="20">
        <f t="shared" si="18"/>
        <v>100</v>
      </c>
      <c r="J534" s="237"/>
      <c r="K534" s="229"/>
    </row>
    <row r="535" spans="1:15" ht="18" customHeight="1">
      <c r="A535" s="97" t="s">
        <v>49</v>
      </c>
      <c r="B535" s="109"/>
      <c r="C535" s="160" t="s">
        <v>180</v>
      </c>
      <c r="D535" s="160" t="s">
        <v>836</v>
      </c>
      <c r="E535" s="142" t="s">
        <v>682</v>
      </c>
      <c r="F535" s="141" t="s">
        <v>498</v>
      </c>
      <c r="G535" s="30">
        <v>2116.5</v>
      </c>
      <c r="H535" s="30">
        <v>2116.5</v>
      </c>
      <c r="I535" s="20">
        <f t="shared" si="18"/>
        <v>100</v>
      </c>
      <c r="J535" s="225">
        <f>SUM(ведомствен.2013!G1296)</f>
        <v>2116.5</v>
      </c>
      <c r="K535" s="229">
        <f t="shared" si="17"/>
        <v>0</v>
      </c>
    </row>
    <row r="536" spans="1:15" ht="15" hidden="1" customHeight="1">
      <c r="A536" s="98" t="s">
        <v>207</v>
      </c>
      <c r="B536" s="109"/>
      <c r="C536" s="160" t="s">
        <v>180</v>
      </c>
      <c r="D536" s="160" t="s">
        <v>836</v>
      </c>
      <c r="E536" s="142" t="s">
        <v>682</v>
      </c>
      <c r="F536" s="141" t="s">
        <v>208</v>
      </c>
      <c r="G536" s="30"/>
      <c r="H536" s="30"/>
      <c r="I536" s="20" t="e">
        <f t="shared" si="18"/>
        <v>#DIV/0!</v>
      </c>
      <c r="J536" s="225">
        <f>SUM(ведомствен.2013!G595)</f>
        <v>0</v>
      </c>
      <c r="K536" s="229">
        <f t="shared" si="17"/>
        <v>0</v>
      </c>
    </row>
    <row r="537" spans="1:15" ht="19.5" customHeight="1">
      <c r="A537" s="94" t="s">
        <v>276</v>
      </c>
      <c r="B537" s="109"/>
      <c r="C537" s="142" t="s">
        <v>180</v>
      </c>
      <c r="D537" s="142" t="s">
        <v>836</v>
      </c>
      <c r="E537" s="142" t="s">
        <v>682</v>
      </c>
      <c r="F537" s="141" t="s">
        <v>132</v>
      </c>
      <c r="G537" s="30">
        <v>2460.6</v>
      </c>
      <c r="H537" s="30">
        <v>2460.6</v>
      </c>
      <c r="I537" s="20">
        <f t="shared" si="18"/>
        <v>100</v>
      </c>
      <c r="J537" s="225">
        <f>SUM(ведомствен.2013!G1297)</f>
        <v>2460.6</v>
      </c>
      <c r="K537" s="229">
        <f t="shared" si="17"/>
        <v>0</v>
      </c>
    </row>
    <row r="538" spans="1:15" ht="30.75" customHeight="1">
      <c r="A538" s="94" t="s">
        <v>1135</v>
      </c>
      <c r="B538" s="109"/>
      <c r="C538" s="142" t="s">
        <v>180</v>
      </c>
      <c r="D538" s="142" t="s">
        <v>836</v>
      </c>
      <c r="E538" s="142" t="s">
        <v>1130</v>
      </c>
      <c r="F538" s="141"/>
      <c r="G538" s="30">
        <f>SUM(G539:G540)</f>
        <v>0</v>
      </c>
      <c r="H538" s="30">
        <f>SUM(H539:H540)</f>
        <v>223.6</v>
      </c>
      <c r="I538" s="20"/>
      <c r="K538" s="229"/>
    </row>
    <row r="539" spans="1:15" ht="19.5" customHeight="1">
      <c r="A539" s="97" t="s">
        <v>49</v>
      </c>
      <c r="B539" s="109"/>
      <c r="C539" s="160" t="s">
        <v>180</v>
      </c>
      <c r="D539" s="160" t="s">
        <v>836</v>
      </c>
      <c r="E539" s="142" t="s">
        <v>1130</v>
      </c>
      <c r="F539" s="141" t="s">
        <v>498</v>
      </c>
      <c r="G539" s="30"/>
      <c r="H539" s="30">
        <v>27.9</v>
      </c>
      <c r="I539" s="20"/>
      <c r="K539" s="229"/>
    </row>
    <row r="540" spans="1:15" ht="19.5" customHeight="1">
      <c r="A540" s="94" t="s">
        <v>276</v>
      </c>
      <c r="B540" s="109"/>
      <c r="C540" s="142" t="s">
        <v>180</v>
      </c>
      <c r="D540" s="142" t="s">
        <v>836</v>
      </c>
      <c r="E540" s="142" t="s">
        <v>1130</v>
      </c>
      <c r="F540" s="141" t="s">
        <v>132</v>
      </c>
      <c r="G540" s="30"/>
      <c r="H540" s="30">
        <v>195.7</v>
      </c>
      <c r="I540" s="20"/>
      <c r="K540" s="229"/>
    </row>
    <row r="541" spans="1:15" ht="15">
      <c r="A541" s="95" t="s">
        <v>200</v>
      </c>
      <c r="B541" s="157"/>
      <c r="C541" s="154" t="s">
        <v>180</v>
      </c>
      <c r="D541" s="154" t="s">
        <v>836</v>
      </c>
      <c r="E541" s="154" t="s">
        <v>201</v>
      </c>
      <c r="F541" s="144"/>
      <c r="G541" s="30">
        <f>SUM(G549)+G542+G545</f>
        <v>24555</v>
      </c>
      <c r="H541" s="30">
        <f>SUM(H549)+H542+H545</f>
        <v>24508</v>
      </c>
      <c r="I541" s="20">
        <f t="shared" si="18"/>
        <v>99.808592954591731</v>
      </c>
      <c r="K541" s="229"/>
    </row>
    <row r="542" spans="1:15" s="25" customFormat="1" ht="42.75" hidden="1" customHeight="1">
      <c r="A542" s="94" t="s">
        <v>386</v>
      </c>
      <c r="B542" s="146"/>
      <c r="C542" s="154" t="s">
        <v>180</v>
      </c>
      <c r="D542" s="154" t="s">
        <v>836</v>
      </c>
      <c r="E542" s="154" t="s">
        <v>597</v>
      </c>
      <c r="F542" s="144"/>
      <c r="G542" s="30">
        <f>SUM(G544)+G543</f>
        <v>0</v>
      </c>
      <c r="H542" s="30">
        <f>SUM(H544)+H543</f>
        <v>0</v>
      </c>
      <c r="I542" s="20" t="e">
        <f t="shared" si="18"/>
        <v>#DIV/0!</v>
      </c>
      <c r="J542" s="229"/>
      <c r="K542" s="229">
        <f t="shared" si="17"/>
        <v>0</v>
      </c>
    </row>
    <row r="543" spans="1:15" s="25" customFormat="1" ht="15" hidden="1" customHeight="1">
      <c r="A543" s="97" t="s">
        <v>49</v>
      </c>
      <c r="B543" s="146"/>
      <c r="C543" s="154" t="s">
        <v>180</v>
      </c>
      <c r="D543" s="154" t="s">
        <v>836</v>
      </c>
      <c r="E543" s="154" t="s">
        <v>597</v>
      </c>
      <c r="F543" s="144" t="s">
        <v>498</v>
      </c>
      <c r="G543" s="30"/>
      <c r="H543" s="30"/>
      <c r="I543" s="20" t="e">
        <f t="shared" si="18"/>
        <v>#DIV/0!</v>
      </c>
      <c r="J543" s="229">
        <f>SUM(ведомствен.2013!G1303)</f>
        <v>0</v>
      </c>
      <c r="K543" s="229">
        <f t="shared" si="17"/>
        <v>0</v>
      </c>
    </row>
    <row r="544" spans="1:15" s="25" customFormat="1" ht="15" hidden="1" customHeight="1">
      <c r="A544" s="94" t="s">
        <v>276</v>
      </c>
      <c r="B544" s="146"/>
      <c r="C544" s="154" t="s">
        <v>180</v>
      </c>
      <c r="D544" s="154" t="s">
        <v>836</v>
      </c>
      <c r="E544" s="154" t="s">
        <v>597</v>
      </c>
      <c r="F544" s="144" t="s">
        <v>132</v>
      </c>
      <c r="G544" s="30"/>
      <c r="H544" s="30"/>
      <c r="I544" s="20" t="e">
        <f t="shared" si="18"/>
        <v>#DIV/0!</v>
      </c>
      <c r="J544" s="229">
        <f>SUM(ведомствен.2013!G1304)</f>
        <v>0</v>
      </c>
      <c r="K544" s="229">
        <f t="shared" si="17"/>
        <v>0</v>
      </c>
    </row>
    <row r="545" spans="1:12" s="25" customFormat="1" ht="28.5" customHeight="1">
      <c r="A545" s="95" t="s">
        <v>856</v>
      </c>
      <c r="B545" s="157"/>
      <c r="C545" s="154" t="s">
        <v>180</v>
      </c>
      <c r="D545" s="154" t="s">
        <v>836</v>
      </c>
      <c r="E545" s="154" t="s">
        <v>700</v>
      </c>
      <c r="F545" s="144"/>
      <c r="G545" s="30">
        <f>SUM(G546)+G547+G548</f>
        <v>24555</v>
      </c>
      <c r="H545" s="30">
        <f>SUM(H546)+H547+H548</f>
        <v>24508</v>
      </c>
      <c r="I545" s="20">
        <f t="shared" si="18"/>
        <v>99.808592954591731</v>
      </c>
      <c r="J545" s="229"/>
      <c r="K545" s="229"/>
    </row>
    <row r="546" spans="1:12" s="25" customFormat="1" ht="15" hidden="1" customHeight="1">
      <c r="A546" s="98" t="s">
        <v>207</v>
      </c>
      <c r="B546" s="109"/>
      <c r="C546" s="166" t="s">
        <v>180</v>
      </c>
      <c r="D546" s="166" t="s">
        <v>836</v>
      </c>
      <c r="E546" s="154" t="s">
        <v>700</v>
      </c>
      <c r="F546" s="167" t="s">
        <v>208</v>
      </c>
      <c r="G546" s="30"/>
      <c r="H546" s="30"/>
      <c r="I546" s="20" t="e">
        <f t="shared" si="18"/>
        <v>#DIV/0!</v>
      </c>
      <c r="J546" s="229">
        <f>SUM(ведомствен.2013!G598)</f>
        <v>0</v>
      </c>
      <c r="K546" s="229">
        <f t="shared" si="17"/>
        <v>0</v>
      </c>
    </row>
    <row r="547" spans="1:12" s="25" customFormat="1" ht="19.5" customHeight="1">
      <c r="A547" s="94" t="s">
        <v>441</v>
      </c>
      <c r="B547" s="146"/>
      <c r="C547" s="154" t="s">
        <v>180</v>
      </c>
      <c r="D547" s="154" t="s">
        <v>836</v>
      </c>
      <c r="E547" s="154" t="s">
        <v>700</v>
      </c>
      <c r="F547" s="144" t="s">
        <v>442</v>
      </c>
      <c r="G547" s="30">
        <v>15564.4</v>
      </c>
      <c r="H547" s="30">
        <v>15563.6</v>
      </c>
      <c r="I547" s="20">
        <f t="shared" si="18"/>
        <v>99.99486006527718</v>
      </c>
      <c r="J547" s="229">
        <f>SUM(ведомствен.2013!G1306)</f>
        <v>15564.4</v>
      </c>
      <c r="K547" s="229">
        <f t="shared" si="17"/>
        <v>0</v>
      </c>
    </row>
    <row r="548" spans="1:12" s="25" customFormat="1" ht="19.5" customHeight="1">
      <c r="A548" s="94" t="s">
        <v>276</v>
      </c>
      <c r="B548" s="146"/>
      <c r="C548" s="154" t="s">
        <v>180</v>
      </c>
      <c r="D548" s="154" t="s">
        <v>836</v>
      </c>
      <c r="E548" s="154" t="s">
        <v>700</v>
      </c>
      <c r="F548" s="144" t="s">
        <v>132</v>
      </c>
      <c r="G548" s="30">
        <v>8990.6</v>
      </c>
      <c r="H548" s="30">
        <v>8944.4</v>
      </c>
      <c r="I548" s="20">
        <f t="shared" si="18"/>
        <v>99.486129957956081</v>
      </c>
      <c r="J548" s="229">
        <f>SUM(ведомствен.2013!G1307)</f>
        <v>8990.6</v>
      </c>
      <c r="K548" s="229">
        <f t="shared" si="17"/>
        <v>0</v>
      </c>
    </row>
    <row r="549" spans="1:12" ht="42.75" hidden="1">
      <c r="A549" s="95" t="s">
        <v>52</v>
      </c>
      <c r="B549" s="157"/>
      <c r="C549" s="154" t="s">
        <v>180</v>
      </c>
      <c r="D549" s="154" t="s">
        <v>836</v>
      </c>
      <c r="E549" s="154" t="s">
        <v>53</v>
      </c>
      <c r="F549" s="144"/>
      <c r="G549" s="30">
        <f>SUM(G551,G552,G553)+G550</f>
        <v>0</v>
      </c>
      <c r="H549" s="30">
        <f>SUM(H551,H552,H553)+H550</f>
        <v>0</v>
      </c>
      <c r="I549" s="20" t="e">
        <f t="shared" si="18"/>
        <v>#DIV/0!</v>
      </c>
      <c r="J549" s="229"/>
      <c r="K549" s="229">
        <f t="shared" si="17"/>
        <v>0</v>
      </c>
    </row>
    <row r="550" spans="1:12" ht="15" hidden="1" customHeight="1">
      <c r="A550" s="98" t="s">
        <v>207</v>
      </c>
      <c r="B550" s="109"/>
      <c r="C550" s="160" t="s">
        <v>180</v>
      </c>
      <c r="D550" s="160" t="s">
        <v>836</v>
      </c>
      <c r="E550" s="154" t="s">
        <v>53</v>
      </c>
      <c r="F550" s="141" t="s">
        <v>208</v>
      </c>
      <c r="G550" s="30"/>
      <c r="H550" s="30"/>
      <c r="I550" s="20" t="e">
        <f t="shared" si="18"/>
        <v>#DIV/0!</v>
      </c>
      <c r="J550" s="229"/>
      <c r="K550" s="229">
        <f t="shared" si="17"/>
        <v>0</v>
      </c>
    </row>
    <row r="551" spans="1:12" s="25" customFormat="1" ht="15" hidden="1">
      <c r="A551" s="94" t="s">
        <v>441</v>
      </c>
      <c r="B551" s="146"/>
      <c r="C551" s="154" t="s">
        <v>180</v>
      </c>
      <c r="D551" s="154" t="s">
        <v>836</v>
      </c>
      <c r="E551" s="154" t="s">
        <v>53</v>
      </c>
      <c r="F551" s="144" t="s">
        <v>442</v>
      </c>
      <c r="G551" s="30"/>
      <c r="H551" s="30"/>
      <c r="I551" s="20" t="e">
        <f t="shared" si="18"/>
        <v>#DIV/0!</v>
      </c>
      <c r="J551" s="229">
        <f>SUM(ведомствен.2013!G1309)</f>
        <v>0</v>
      </c>
      <c r="K551" s="229">
        <f t="shared" si="17"/>
        <v>0</v>
      </c>
    </row>
    <row r="552" spans="1:12" ht="42.75" hidden="1">
      <c r="A552" s="95" t="s">
        <v>954</v>
      </c>
      <c r="B552" s="109"/>
      <c r="C552" s="166" t="s">
        <v>180</v>
      </c>
      <c r="D552" s="166" t="s">
        <v>836</v>
      </c>
      <c r="E552" s="154" t="s">
        <v>53</v>
      </c>
      <c r="F552" s="167" t="s">
        <v>51</v>
      </c>
      <c r="G552" s="30"/>
      <c r="H552" s="30"/>
      <c r="I552" s="20" t="e">
        <f t="shared" si="18"/>
        <v>#DIV/0!</v>
      </c>
      <c r="J552" s="229">
        <f>SUM(ведомствен.2013!G1310)</f>
        <v>0</v>
      </c>
      <c r="K552" s="229">
        <f t="shared" si="17"/>
        <v>0</v>
      </c>
    </row>
    <row r="553" spans="1:12" ht="15" hidden="1">
      <c r="A553" s="95" t="s">
        <v>276</v>
      </c>
      <c r="B553" s="109"/>
      <c r="C553" s="166" t="s">
        <v>180</v>
      </c>
      <c r="D553" s="166" t="s">
        <v>836</v>
      </c>
      <c r="E553" s="154" t="s">
        <v>53</v>
      </c>
      <c r="F553" s="167" t="s">
        <v>132</v>
      </c>
      <c r="G553" s="30"/>
      <c r="H553" s="30"/>
      <c r="I553" s="20" t="e">
        <f t="shared" si="18"/>
        <v>#DIV/0!</v>
      </c>
      <c r="J553" s="229">
        <f>SUM(ведомствен.2013!G1311)</f>
        <v>0</v>
      </c>
      <c r="K553" s="229">
        <f t="shared" si="17"/>
        <v>0</v>
      </c>
    </row>
    <row r="554" spans="1:12" s="33" customFormat="1" ht="15.75" customHeight="1">
      <c r="A554" s="95" t="s">
        <v>683</v>
      </c>
      <c r="B554" s="157"/>
      <c r="C554" s="142" t="s">
        <v>180</v>
      </c>
      <c r="D554" s="142" t="s">
        <v>838</v>
      </c>
      <c r="E554" s="142"/>
      <c r="F554" s="140"/>
      <c r="G554" s="30">
        <f>SUM(G560+G603+G634+G653)+G660+G627+G643+G555+G664</f>
        <v>999934.5</v>
      </c>
      <c r="H554" s="30">
        <f>SUM(H560+H603+H634+H653)+H660+H627+H643+H555+H664</f>
        <v>994882.50000000012</v>
      </c>
      <c r="I554" s="20">
        <f t="shared" si="18"/>
        <v>99.494766907232432</v>
      </c>
      <c r="J554" s="237"/>
      <c r="K554" s="229">
        <f t="shared" si="17"/>
        <v>999934.5</v>
      </c>
      <c r="L554" s="33">
        <f>SUM(J560:J670)</f>
        <v>999934.49999999988</v>
      </c>
    </row>
    <row r="555" spans="1:12" s="33" customFormat="1" ht="15" hidden="1" customHeight="1">
      <c r="A555" s="95" t="s">
        <v>748</v>
      </c>
      <c r="B555" s="157"/>
      <c r="C555" s="142" t="s">
        <v>180</v>
      </c>
      <c r="D555" s="142" t="s">
        <v>838</v>
      </c>
      <c r="E555" s="142" t="s">
        <v>750</v>
      </c>
      <c r="F555" s="140"/>
      <c r="G555" s="30">
        <f>SUM(G556+G558)</f>
        <v>0</v>
      </c>
      <c r="H555" s="30">
        <f>SUM(H556+H558)</f>
        <v>0</v>
      </c>
      <c r="I555" s="20" t="e">
        <f t="shared" si="18"/>
        <v>#DIV/0!</v>
      </c>
      <c r="J555" s="237"/>
      <c r="K555" s="229">
        <f t="shared" si="17"/>
        <v>0</v>
      </c>
    </row>
    <row r="556" spans="1:12" ht="15" hidden="1" customHeight="1">
      <c r="A556" s="95" t="s">
        <v>684</v>
      </c>
      <c r="B556" s="157"/>
      <c r="C556" s="142" t="s">
        <v>180</v>
      </c>
      <c r="D556" s="142" t="s">
        <v>838</v>
      </c>
      <c r="E556" s="142" t="s">
        <v>685</v>
      </c>
      <c r="F556" s="140"/>
      <c r="G556" s="30">
        <f>SUM(G557)</f>
        <v>0</v>
      </c>
      <c r="H556" s="30">
        <f>SUM(H557)</f>
        <v>0</v>
      </c>
      <c r="I556" s="20" t="e">
        <f t="shared" si="18"/>
        <v>#DIV/0!</v>
      </c>
      <c r="K556" s="229">
        <f t="shared" si="17"/>
        <v>0</v>
      </c>
    </row>
    <row r="557" spans="1:12" ht="15" hidden="1" customHeight="1">
      <c r="A557" s="97" t="s">
        <v>497</v>
      </c>
      <c r="B557" s="157"/>
      <c r="C557" s="142" t="s">
        <v>180</v>
      </c>
      <c r="D557" s="142" t="s">
        <v>838</v>
      </c>
      <c r="E557" s="142" t="s">
        <v>685</v>
      </c>
      <c r="F557" s="140" t="s">
        <v>498</v>
      </c>
      <c r="G557" s="30"/>
      <c r="H557" s="30"/>
      <c r="I557" s="20" t="e">
        <f t="shared" si="18"/>
        <v>#DIV/0!</v>
      </c>
      <c r="K557" s="229">
        <f t="shared" si="17"/>
        <v>0</v>
      </c>
    </row>
    <row r="558" spans="1:12" ht="15" hidden="1" customHeight="1">
      <c r="A558" s="95" t="s">
        <v>728</v>
      </c>
      <c r="B558" s="138"/>
      <c r="C558" s="142" t="s">
        <v>180</v>
      </c>
      <c r="D558" s="142" t="s">
        <v>838</v>
      </c>
      <c r="E558" s="138" t="s">
        <v>729</v>
      </c>
      <c r="F558" s="140"/>
      <c r="G558" s="30">
        <f>SUM(G559)</f>
        <v>0</v>
      </c>
      <c r="H558" s="30">
        <f>SUM(H559)</f>
        <v>0</v>
      </c>
      <c r="I558" s="20" t="e">
        <f t="shared" si="18"/>
        <v>#DIV/0!</v>
      </c>
      <c r="K558" s="229">
        <f t="shared" si="17"/>
        <v>0</v>
      </c>
    </row>
    <row r="559" spans="1:12" ht="15" hidden="1" customHeight="1">
      <c r="A559" s="97" t="s">
        <v>497</v>
      </c>
      <c r="B559" s="157"/>
      <c r="C559" s="142" t="s">
        <v>180</v>
      </c>
      <c r="D559" s="142" t="s">
        <v>838</v>
      </c>
      <c r="E559" s="142" t="s">
        <v>729</v>
      </c>
      <c r="F559" s="140" t="s">
        <v>498</v>
      </c>
      <c r="G559" s="30"/>
      <c r="H559" s="30"/>
      <c r="I559" s="20" t="e">
        <f t="shared" si="18"/>
        <v>#DIV/0!</v>
      </c>
      <c r="K559" s="229">
        <f t="shared" si="17"/>
        <v>0</v>
      </c>
    </row>
    <row r="560" spans="1:12" s="33" customFormat="1" ht="28.5" customHeight="1">
      <c r="A560" s="95" t="s">
        <v>686</v>
      </c>
      <c r="B560" s="157"/>
      <c r="C560" s="142" t="s">
        <v>180</v>
      </c>
      <c r="D560" s="142" t="s">
        <v>838</v>
      </c>
      <c r="E560" s="142" t="s">
        <v>687</v>
      </c>
      <c r="F560" s="140"/>
      <c r="G560" s="30">
        <f>SUM(G561+G582)</f>
        <v>687751.9</v>
      </c>
      <c r="H560" s="30">
        <f>SUM(H561+H582)</f>
        <v>683381.6</v>
      </c>
      <c r="I560" s="20">
        <f t="shared" si="18"/>
        <v>99.364552827843866</v>
      </c>
      <c r="J560" s="237"/>
      <c r="K560" s="229"/>
      <c r="L560" s="132">
        <f>SUM(G554-L554)</f>
        <v>1.1641532182693481E-10</v>
      </c>
    </row>
    <row r="561" spans="1:11" s="33" customFormat="1" ht="28.5" customHeight="1">
      <c r="A561" s="95" t="s">
        <v>953</v>
      </c>
      <c r="B561" s="157"/>
      <c r="C561" s="142" t="s">
        <v>180</v>
      </c>
      <c r="D561" s="142" t="s">
        <v>838</v>
      </c>
      <c r="E561" s="142" t="s">
        <v>141</v>
      </c>
      <c r="F561" s="140"/>
      <c r="G561" s="30">
        <f>SUM(G564+G575+G577+G579)+G566+G562</f>
        <v>324572.2</v>
      </c>
      <c r="H561" s="30">
        <f>SUM(H564+H575+H577+H579)+H566+H562</f>
        <v>322671.90000000002</v>
      </c>
      <c r="I561" s="20">
        <f t="shared" si="18"/>
        <v>99.414521638020759</v>
      </c>
      <c r="J561" s="237"/>
      <c r="K561" s="229"/>
    </row>
    <row r="562" spans="1:11" ht="57" hidden="1" customHeight="1">
      <c r="A562" s="95" t="s">
        <v>395</v>
      </c>
      <c r="B562" s="157"/>
      <c r="C562" s="142" t="s">
        <v>180</v>
      </c>
      <c r="D562" s="142" t="s">
        <v>838</v>
      </c>
      <c r="E562" s="142" t="s">
        <v>397</v>
      </c>
      <c r="F562" s="140"/>
      <c r="G562" s="30">
        <f>SUM(G563)</f>
        <v>0</v>
      </c>
      <c r="H562" s="30">
        <f>SUM(H563)</f>
        <v>0</v>
      </c>
      <c r="I562" s="20" t="e">
        <f t="shared" si="18"/>
        <v>#DIV/0!</v>
      </c>
      <c r="K562" s="229">
        <f t="shared" si="17"/>
        <v>0</v>
      </c>
    </row>
    <row r="563" spans="1:11" ht="15" hidden="1" customHeight="1">
      <c r="A563" s="95" t="s">
        <v>276</v>
      </c>
      <c r="B563" s="157"/>
      <c r="C563" s="142" t="s">
        <v>180</v>
      </c>
      <c r="D563" s="142" t="s">
        <v>838</v>
      </c>
      <c r="E563" s="142" t="s">
        <v>397</v>
      </c>
      <c r="F563" s="140" t="s">
        <v>132</v>
      </c>
      <c r="G563" s="30"/>
      <c r="H563" s="30"/>
      <c r="I563" s="20" t="e">
        <f t="shared" si="18"/>
        <v>#DIV/0!</v>
      </c>
      <c r="J563" s="225">
        <f>SUM(ведомствен.2013!G1321)</f>
        <v>0</v>
      </c>
      <c r="K563" s="229">
        <f t="shared" si="17"/>
        <v>0</v>
      </c>
    </row>
    <row r="564" spans="1:11" s="33" customFormat="1" ht="39.75" customHeight="1">
      <c r="A564" s="95" t="s">
        <v>374</v>
      </c>
      <c r="B564" s="157"/>
      <c r="C564" s="142" t="s">
        <v>180</v>
      </c>
      <c r="D564" s="142" t="s">
        <v>838</v>
      </c>
      <c r="E564" s="142" t="s">
        <v>142</v>
      </c>
      <c r="F564" s="140"/>
      <c r="G564" s="30">
        <f>SUM(G565)</f>
        <v>59848.9</v>
      </c>
      <c r="H564" s="30">
        <f>SUM(H565)</f>
        <v>58424.3</v>
      </c>
      <c r="I564" s="20">
        <f t="shared" si="18"/>
        <v>97.619672207843422</v>
      </c>
      <c r="J564" s="237"/>
      <c r="K564" s="229"/>
    </row>
    <row r="565" spans="1:11" s="33" customFormat="1" ht="48" customHeight="1">
      <c r="A565" s="95" t="s">
        <v>954</v>
      </c>
      <c r="B565" s="109"/>
      <c r="C565" s="142" t="s">
        <v>180</v>
      </c>
      <c r="D565" s="142" t="s">
        <v>838</v>
      </c>
      <c r="E565" s="142" t="s">
        <v>142</v>
      </c>
      <c r="F565" s="141" t="s">
        <v>51</v>
      </c>
      <c r="G565" s="30">
        <v>59848.9</v>
      </c>
      <c r="H565" s="30">
        <v>58424.3</v>
      </c>
      <c r="I565" s="20">
        <f t="shared" si="18"/>
        <v>97.619672207843422</v>
      </c>
      <c r="J565" s="237">
        <f>SUM(ведомствен.2013!G1323)</f>
        <v>59848.9</v>
      </c>
      <c r="K565" s="229">
        <f t="shared" si="17"/>
        <v>0</v>
      </c>
    </row>
    <row r="566" spans="1:11" s="33" customFormat="1" ht="14.25" customHeight="1">
      <c r="A566" s="97" t="s">
        <v>276</v>
      </c>
      <c r="B566" s="157"/>
      <c r="C566" s="142" t="s">
        <v>180</v>
      </c>
      <c r="D566" s="142" t="s">
        <v>838</v>
      </c>
      <c r="E566" s="142" t="s">
        <v>250</v>
      </c>
      <c r="F566" s="140"/>
      <c r="G566" s="30">
        <f>SUM(G574)+G572+G568+G570</f>
        <v>285.39999999999998</v>
      </c>
      <c r="H566" s="30">
        <f>SUM(H574)+H572+H568+H570</f>
        <v>285.39999999999998</v>
      </c>
      <c r="I566" s="20">
        <f t="shared" si="18"/>
        <v>100</v>
      </c>
      <c r="J566" s="237"/>
      <c r="K566" s="229"/>
    </row>
    <row r="567" spans="1:11" s="25" customFormat="1" ht="28.5" hidden="1" customHeight="1">
      <c r="A567" s="94" t="s">
        <v>268</v>
      </c>
      <c r="B567" s="142"/>
      <c r="C567" s="142" t="s">
        <v>180</v>
      </c>
      <c r="D567" s="142" t="s">
        <v>838</v>
      </c>
      <c r="E567" s="142" t="s">
        <v>267</v>
      </c>
      <c r="F567" s="140"/>
      <c r="G567" s="30">
        <f>SUM(G568)</f>
        <v>0</v>
      </c>
      <c r="H567" s="30">
        <f>SUM(H568)</f>
        <v>0</v>
      </c>
      <c r="I567" s="20" t="e">
        <f t="shared" si="18"/>
        <v>#DIV/0!</v>
      </c>
      <c r="J567" s="229"/>
      <c r="K567" s="229"/>
    </row>
    <row r="568" spans="1:11" s="25" customFormat="1" ht="15" hidden="1">
      <c r="A568" s="94" t="s">
        <v>276</v>
      </c>
      <c r="B568" s="142"/>
      <c r="C568" s="142" t="s">
        <v>180</v>
      </c>
      <c r="D568" s="142" t="s">
        <v>838</v>
      </c>
      <c r="E568" s="142" t="s">
        <v>267</v>
      </c>
      <c r="F568" s="140" t="s">
        <v>132</v>
      </c>
      <c r="G568" s="30"/>
      <c r="H568" s="30"/>
      <c r="I568" s="20" t="e">
        <f t="shared" si="18"/>
        <v>#DIV/0!</v>
      </c>
      <c r="J568" s="229">
        <f>SUM(ведомствен.2013!G605)</f>
        <v>0</v>
      </c>
      <c r="K568" s="229"/>
    </row>
    <row r="569" spans="1:11" s="25" customFormat="1" ht="28.5">
      <c r="A569" s="97" t="s">
        <v>839</v>
      </c>
      <c r="B569" s="157"/>
      <c r="C569" s="142" t="s">
        <v>180</v>
      </c>
      <c r="D569" s="142" t="s">
        <v>838</v>
      </c>
      <c r="E569" s="142" t="s">
        <v>843</v>
      </c>
      <c r="F569" s="140"/>
      <c r="G569" s="30">
        <f>SUM(G570)</f>
        <v>45</v>
      </c>
      <c r="H569" s="30">
        <f>SUM(H570)</f>
        <v>45</v>
      </c>
      <c r="I569" s="20">
        <f t="shared" si="18"/>
        <v>100</v>
      </c>
      <c r="J569" s="229"/>
      <c r="K569" s="229"/>
    </row>
    <row r="570" spans="1:11" s="25" customFormat="1" ht="24" customHeight="1">
      <c r="A570" s="97" t="s">
        <v>276</v>
      </c>
      <c r="B570" s="157"/>
      <c r="C570" s="142" t="s">
        <v>180</v>
      </c>
      <c r="D570" s="142" t="s">
        <v>838</v>
      </c>
      <c r="E570" s="142" t="s">
        <v>843</v>
      </c>
      <c r="F570" s="140" t="s">
        <v>132</v>
      </c>
      <c r="G570" s="30">
        <v>45</v>
      </c>
      <c r="H570" s="30">
        <v>45</v>
      </c>
      <c r="I570" s="20">
        <f t="shared" si="18"/>
        <v>100</v>
      </c>
      <c r="J570" s="229">
        <f>SUM(ведомствен.2013!G1326)</f>
        <v>45</v>
      </c>
      <c r="K570" s="229">
        <f t="shared" si="17"/>
        <v>0</v>
      </c>
    </row>
    <row r="571" spans="1:11" ht="28.5" hidden="1" customHeight="1">
      <c r="A571" s="95" t="s">
        <v>759</v>
      </c>
      <c r="B571" s="157"/>
      <c r="C571" s="142" t="s">
        <v>180</v>
      </c>
      <c r="D571" s="142" t="s">
        <v>838</v>
      </c>
      <c r="E571" s="142" t="s">
        <v>387</v>
      </c>
      <c r="F571" s="140"/>
      <c r="G571" s="30">
        <f>SUM(G572)</f>
        <v>0</v>
      </c>
      <c r="H571" s="30">
        <f>SUM(H572)</f>
        <v>0</v>
      </c>
      <c r="I571" s="20" t="e">
        <f t="shared" ref="I571:I634" si="19">SUM(H571/G571*100)</f>
        <v>#DIV/0!</v>
      </c>
      <c r="K571" s="229">
        <f t="shared" si="17"/>
        <v>0</v>
      </c>
    </row>
    <row r="572" spans="1:11" ht="15" hidden="1" customHeight="1">
      <c r="A572" s="97" t="s">
        <v>231</v>
      </c>
      <c r="B572" s="157"/>
      <c r="C572" s="142" t="s">
        <v>180</v>
      </c>
      <c r="D572" s="142" t="s">
        <v>838</v>
      </c>
      <c r="E572" s="142" t="s">
        <v>387</v>
      </c>
      <c r="F572" s="140" t="s">
        <v>132</v>
      </c>
      <c r="G572" s="30"/>
      <c r="H572" s="30"/>
      <c r="I572" s="20" t="e">
        <f t="shared" si="19"/>
        <v>#DIV/0!</v>
      </c>
      <c r="J572" s="225">
        <f>SUM(ведомствен.2013!G1328)</f>
        <v>0</v>
      </c>
      <c r="K572" s="229">
        <f t="shared" ref="K572:K633" si="20">SUM(G572-J572)</f>
        <v>0</v>
      </c>
    </row>
    <row r="573" spans="1:11" s="33" customFormat="1" ht="31.5" customHeight="1">
      <c r="A573" s="95" t="s">
        <v>403</v>
      </c>
      <c r="B573" s="157"/>
      <c r="C573" s="142" t="s">
        <v>180</v>
      </c>
      <c r="D573" s="142" t="s">
        <v>838</v>
      </c>
      <c r="E573" s="142" t="s">
        <v>411</v>
      </c>
      <c r="F573" s="140"/>
      <c r="G573" s="30">
        <f>SUM(G574)</f>
        <v>240.4</v>
      </c>
      <c r="H573" s="30">
        <f>SUM(H574)</f>
        <v>240.4</v>
      </c>
      <c r="I573" s="20">
        <f t="shared" si="19"/>
        <v>100</v>
      </c>
      <c r="J573" s="237"/>
      <c r="K573" s="229"/>
    </row>
    <row r="574" spans="1:11" s="33" customFormat="1" ht="24.75" customHeight="1">
      <c r="A574" s="97" t="s">
        <v>231</v>
      </c>
      <c r="B574" s="157"/>
      <c r="C574" s="142" t="s">
        <v>180</v>
      </c>
      <c r="D574" s="142" t="s">
        <v>838</v>
      </c>
      <c r="E574" s="142" t="s">
        <v>411</v>
      </c>
      <c r="F574" s="140" t="s">
        <v>132</v>
      </c>
      <c r="G574" s="30">
        <v>240.4</v>
      </c>
      <c r="H574" s="30">
        <v>240.4</v>
      </c>
      <c r="I574" s="20">
        <f t="shared" si="19"/>
        <v>100</v>
      </c>
      <c r="J574" s="237">
        <f>SUM(ведомствен.2013!G1330)</f>
        <v>240.4</v>
      </c>
      <c r="K574" s="229">
        <f t="shared" si="20"/>
        <v>0</v>
      </c>
    </row>
    <row r="575" spans="1:11" s="33" customFormat="1" ht="67.5" customHeight="1">
      <c r="A575" s="97" t="s">
        <v>57</v>
      </c>
      <c r="B575" s="109"/>
      <c r="C575" s="142" t="s">
        <v>180</v>
      </c>
      <c r="D575" s="142" t="s">
        <v>838</v>
      </c>
      <c r="E575" s="142" t="s">
        <v>143</v>
      </c>
      <c r="F575" s="141"/>
      <c r="G575" s="30">
        <f>SUM(G576)</f>
        <v>4596</v>
      </c>
      <c r="H575" s="30">
        <f>SUM(H576)</f>
        <v>4285.7</v>
      </c>
      <c r="I575" s="20">
        <f t="shared" si="19"/>
        <v>93.248476936466488</v>
      </c>
      <c r="J575" s="237"/>
      <c r="K575" s="229"/>
    </row>
    <row r="576" spans="1:11" s="33" customFormat="1" ht="48" customHeight="1">
      <c r="A576" s="95" t="s">
        <v>954</v>
      </c>
      <c r="B576" s="109"/>
      <c r="C576" s="142" t="s">
        <v>180</v>
      </c>
      <c r="D576" s="142" t="s">
        <v>838</v>
      </c>
      <c r="E576" s="142" t="s">
        <v>143</v>
      </c>
      <c r="F576" s="141" t="s">
        <v>51</v>
      </c>
      <c r="G576" s="30">
        <v>4596</v>
      </c>
      <c r="H576" s="30">
        <v>4285.7</v>
      </c>
      <c r="I576" s="20">
        <f t="shared" si="19"/>
        <v>93.248476936466488</v>
      </c>
      <c r="J576" s="237">
        <f>SUM(ведомствен.2013!G1332)</f>
        <v>4596</v>
      </c>
      <c r="K576" s="229">
        <f t="shared" si="20"/>
        <v>0</v>
      </c>
    </row>
    <row r="577" spans="1:11" s="33" customFormat="1" ht="51.75" customHeight="1">
      <c r="A577" s="97" t="s">
        <v>60</v>
      </c>
      <c r="B577" s="109"/>
      <c r="C577" s="142" t="s">
        <v>180</v>
      </c>
      <c r="D577" s="142" t="s">
        <v>838</v>
      </c>
      <c r="E577" s="142" t="s">
        <v>144</v>
      </c>
      <c r="F577" s="141"/>
      <c r="G577" s="30">
        <f>SUM(G578)</f>
        <v>341.5</v>
      </c>
      <c r="H577" s="30">
        <f>SUM(H578)</f>
        <v>288.60000000000002</v>
      </c>
      <c r="I577" s="20">
        <f t="shared" si="19"/>
        <v>84.509516837481698</v>
      </c>
      <c r="J577" s="237"/>
      <c r="K577" s="229"/>
    </row>
    <row r="578" spans="1:11" s="33" customFormat="1" ht="23.25" customHeight="1">
      <c r="A578" s="94" t="s">
        <v>276</v>
      </c>
      <c r="B578" s="109"/>
      <c r="C578" s="142" t="s">
        <v>180</v>
      </c>
      <c r="D578" s="142" t="s">
        <v>838</v>
      </c>
      <c r="E578" s="160" t="s">
        <v>144</v>
      </c>
      <c r="F578" s="141" t="s">
        <v>132</v>
      </c>
      <c r="G578" s="30">
        <v>341.5</v>
      </c>
      <c r="H578" s="30">
        <v>288.60000000000002</v>
      </c>
      <c r="I578" s="20">
        <f t="shared" si="19"/>
        <v>84.509516837481698</v>
      </c>
      <c r="J578" s="237">
        <f>SUM(ведомствен.2013!G1334)</f>
        <v>341.5</v>
      </c>
      <c r="K578" s="229">
        <f t="shared" si="20"/>
        <v>0</v>
      </c>
    </row>
    <row r="579" spans="1:11" s="33" customFormat="1" ht="35.25" customHeight="1">
      <c r="A579" s="97" t="s">
        <v>150</v>
      </c>
      <c r="B579" s="109"/>
      <c r="C579" s="142" t="s">
        <v>180</v>
      </c>
      <c r="D579" s="142" t="s">
        <v>838</v>
      </c>
      <c r="E579" s="142" t="s">
        <v>145</v>
      </c>
      <c r="F579" s="141"/>
      <c r="G579" s="30">
        <f>SUM(G581+G580)</f>
        <v>259500.4</v>
      </c>
      <c r="H579" s="30">
        <f>SUM(H581+H580)</f>
        <v>259387.9</v>
      </c>
      <c r="I579" s="20">
        <f t="shared" si="19"/>
        <v>99.956647465668652</v>
      </c>
      <c r="J579" s="237"/>
      <c r="K579" s="229"/>
    </row>
    <row r="580" spans="1:11" ht="18" customHeight="1">
      <c r="A580" s="97" t="s">
        <v>276</v>
      </c>
      <c r="B580" s="109"/>
      <c r="C580" s="142" t="s">
        <v>180</v>
      </c>
      <c r="D580" s="142" t="s">
        <v>838</v>
      </c>
      <c r="E580" s="142" t="s">
        <v>145</v>
      </c>
      <c r="F580" s="141" t="s">
        <v>132</v>
      </c>
      <c r="G580" s="30">
        <v>2310.5</v>
      </c>
      <c r="H580" s="30">
        <v>2278.4</v>
      </c>
      <c r="I580" s="20">
        <f t="shared" si="19"/>
        <v>98.610690326769102</v>
      </c>
      <c r="J580" s="226">
        <f>SUM(ведомствен.2013!G1336)</f>
        <v>2310.5</v>
      </c>
      <c r="K580" s="229">
        <f t="shared" si="20"/>
        <v>0</v>
      </c>
    </row>
    <row r="581" spans="1:11" s="33" customFormat="1" ht="45.75" customHeight="1">
      <c r="A581" s="97" t="s">
        <v>955</v>
      </c>
      <c r="B581" s="109"/>
      <c r="C581" s="142" t="s">
        <v>180</v>
      </c>
      <c r="D581" s="142" t="s">
        <v>838</v>
      </c>
      <c r="E581" s="142" t="s">
        <v>145</v>
      </c>
      <c r="F581" s="141" t="s">
        <v>440</v>
      </c>
      <c r="G581" s="30">
        <v>257189.9</v>
      </c>
      <c r="H581" s="30">
        <v>257109.5</v>
      </c>
      <c r="I581" s="20">
        <f t="shared" si="19"/>
        <v>99.968739052350031</v>
      </c>
      <c r="J581" s="237">
        <f>SUM(ведомствен.2013!G1337)</f>
        <v>257189.9</v>
      </c>
      <c r="K581" s="229">
        <f t="shared" si="20"/>
        <v>0</v>
      </c>
    </row>
    <row r="582" spans="1:11" s="33" customFormat="1" ht="32.25" customHeight="1">
      <c r="A582" s="95" t="s">
        <v>48</v>
      </c>
      <c r="B582" s="157"/>
      <c r="C582" s="142" t="s">
        <v>180</v>
      </c>
      <c r="D582" s="142" t="s">
        <v>838</v>
      </c>
      <c r="E582" s="142" t="s">
        <v>688</v>
      </c>
      <c r="F582" s="140"/>
      <c r="G582" s="30">
        <f>SUM(G583+G590+G592+G596+G601+G586+G588)+G599+G594</f>
        <v>363179.7</v>
      </c>
      <c r="H582" s="30">
        <f>SUM(H583+H590+H592+H596+H601+H586+H588)+H599+H594</f>
        <v>360709.69999999995</v>
      </c>
      <c r="I582" s="20">
        <f t="shared" si="19"/>
        <v>99.319895908278994</v>
      </c>
      <c r="J582" s="237"/>
      <c r="K582" s="229"/>
    </row>
    <row r="583" spans="1:11" s="33" customFormat="1" ht="19.5" customHeight="1">
      <c r="A583" s="97" t="s">
        <v>49</v>
      </c>
      <c r="B583" s="109"/>
      <c r="C583" s="142" t="s">
        <v>180</v>
      </c>
      <c r="D583" s="142" t="s">
        <v>838</v>
      </c>
      <c r="E583" s="142" t="s">
        <v>688</v>
      </c>
      <c r="F583" s="141" t="s">
        <v>498</v>
      </c>
      <c r="G583" s="30">
        <v>65694.3</v>
      </c>
      <c r="H583" s="30">
        <v>63654.6</v>
      </c>
      <c r="I583" s="20">
        <f t="shared" si="19"/>
        <v>96.895164420657494</v>
      </c>
      <c r="J583" s="237">
        <f>SUM(ведомствен.2013!G1339)+ведомствен.2013!G790</f>
        <v>65694.3</v>
      </c>
      <c r="K583" s="229">
        <f t="shared" si="20"/>
        <v>0</v>
      </c>
    </row>
    <row r="584" spans="1:11" s="33" customFormat="1" ht="42.75" hidden="1" customHeight="1">
      <c r="A584" s="97" t="s">
        <v>670</v>
      </c>
      <c r="B584" s="109"/>
      <c r="C584" s="142" t="s">
        <v>180</v>
      </c>
      <c r="D584" s="142" t="s">
        <v>838</v>
      </c>
      <c r="E584" s="142" t="s">
        <v>688</v>
      </c>
      <c r="F584" s="140" t="s">
        <v>671</v>
      </c>
      <c r="G584" s="30"/>
      <c r="H584" s="30"/>
      <c r="I584" s="20" t="e">
        <f t="shared" si="19"/>
        <v>#DIV/0!</v>
      </c>
      <c r="J584" s="237"/>
      <c r="K584" s="229">
        <f t="shared" si="20"/>
        <v>0</v>
      </c>
    </row>
    <row r="585" spans="1:11" s="33" customFormat="1" ht="28.5" hidden="1" customHeight="1">
      <c r="A585" s="97" t="s">
        <v>689</v>
      </c>
      <c r="B585" s="109"/>
      <c r="C585" s="142" t="s">
        <v>180</v>
      </c>
      <c r="D585" s="142" t="s">
        <v>838</v>
      </c>
      <c r="E585" s="142" t="s">
        <v>688</v>
      </c>
      <c r="F585" s="141" t="s">
        <v>690</v>
      </c>
      <c r="G585" s="30"/>
      <c r="H585" s="30"/>
      <c r="I585" s="20" t="e">
        <f t="shared" si="19"/>
        <v>#DIV/0!</v>
      </c>
      <c r="J585" s="237"/>
      <c r="K585" s="229">
        <f t="shared" si="20"/>
        <v>0</v>
      </c>
    </row>
    <row r="586" spans="1:11" s="33" customFormat="1" ht="57" hidden="1" customHeight="1">
      <c r="A586" s="97" t="s">
        <v>395</v>
      </c>
      <c r="B586" s="109"/>
      <c r="C586" s="142" t="s">
        <v>180</v>
      </c>
      <c r="D586" s="142" t="s">
        <v>838</v>
      </c>
      <c r="E586" s="160" t="s">
        <v>691</v>
      </c>
      <c r="F586" s="141"/>
      <c r="G586" s="30">
        <f>SUM(G587)</f>
        <v>0</v>
      </c>
      <c r="H586" s="30">
        <f>SUM(H587)</f>
        <v>0</v>
      </c>
      <c r="I586" s="20" t="e">
        <f t="shared" si="19"/>
        <v>#DIV/0!</v>
      </c>
      <c r="J586" s="237"/>
      <c r="K586" s="229">
        <f t="shared" si="20"/>
        <v>0</v>
      </c>
    </row>
    <row r="587" spans="1:11" s="33" customFormat="1" ht="15" hidden="1" customHeight="1">
      <c r="A587" s="97" t="s">
        <v>497</v>
      </c>
      <c r="B587" s="109"/>
      <c r="C587" s="142" t="s">
        <v>180</v>
      </c>
      <c r="D587" s="142" t="s">
        <v>838</v>
      </c>
      <c r="E587" s="160" t="s">
        <v>691</v>
      </c>
      <c r="F587" s="141" t="s">
        <v>498</v>
      </c>
      <c r="G587" s="30"/>
      <c r="H587" s="30"/>
      <c r="I587" s="20" t="e">
        <f t="shared" si="19"/>
        <v>#DIV/0!</v>
      </c>
      <c r="J587" s="237">
        <f>SUM(ведомствен.2013!G1341)</f>
        <v>0</v>
      </c>
      <c r="K587" s="229">
        <f t="shared" si="20"/>
        <v>0</v>
      </c>
    </row>
    <row r="588" spans="1:11" s="33" customFormat="1" ht="28.5" hidden="1" customHeight="1">
      <c r="A588" s="97" t="s">
        <v>692</v>
      </c>
      <c r="B588" s="109"/>
      <c r="C588" s="142" t="s">
        <v>180</v>
      </c>
      <c r="D588" s="142" t="s">
        <v>838</v>
      </c>
      <c r="E588" s="160" t="s">
        <v>693</v>
      </c>
      <c r="F588" s="141"/>
      <c r="G588" s="30">
        <f>SUM(G589)</f>
        <v>0</v>
      </c>
      <c r="H588" s="30">
        <f>SUM(H589)</f>
        <v>0</v>
      </c>
      <c r="I588" s="20" t="e">
        <f t="shared" si="19"/>
        <v>#DIV/0!</v>
      </c>
      <c r="J588" s="237"/>
      <c r="K588" s="229">
        <f t="shared" si="20"/>
        <v>0</v>
      </c>
    </row>
    <row r="589" spans="1:11" s="33" customFormat="1" ht="15" hidden="1" customHeight="1">
      <c r="A589" s="97" t="s">
        <v>497</v>
      </c>
      <c r="B589" s="109"/>
      <c r="C589" s="142" t="s">
        <v>180</v>
      </c>
      <c r="D589" s="142" t="s">
        <v>838</v>
      </c>
      <c r="E589" s="160" t="s">
        <v>693</v>
      </c>
      <c r="F589" s="141" t="s">
        <v>498</v>
      </c>
      <c r="G589" s="30"/>
      <c r="H589" s="30"/>
      <c r="I589" s="20" t="e">
        <f t="shared" si="19"/>
        <v>#DIV/0!</v>
      </c>
      <c r="J589" s="237"/>
      <c r="K589" s="229">
        <f t="shared" si="20"/>
        <v>0</v>
      </c>
    </row>
    <row r="590" spans="1:11" s="33" customFormat="1" ht="60.75" customHeight="1">
      <c r="A590" s="97" t="s">
        <v>57</v>
      </c>
      <c r="B590" s="109"/>
      <c r="C590" s="142" t="s">
        <v>180</v>
      </c>
      <c r="D590" s="142" t="s">
        <v>838</v>
      </c>
      <c r="E590" s="142" t="s">
        <v>58</v>
      </c>
      <c r="F590" s="141"/>
      <c r="G590" s="30">
        <f>SUM(G591)</f>
        <v>5456</v>
      </c>
      <c r="H590" s="30">
        <f>SUM(H591)</f>
        <v>5126.3</v>
      </c>
      <c r="I590" s="20">
        <f t="shared" si="19"/>
        <v>93.957111436950143</v>
      </c>
      <c r="J590" s="237"/>
      <c r="K590" s="229"/>
    </row>
    <row r="591" spans="1:11" s="33" customFormat="1" ht="22.5" customHeight="1">
      <c r="A591" s="97" t="s">
        <v>49</v>
      </c>
      <c r="B591" s="109"/>
      <c r="C591" s="142" t="s">
        <v>180</v>
      </c>
      <c r="D591" s="142" t="s">
        <v>838</v>
      </c>
      <c r="E591" s="142" t="s">
        <v>58</v>
      </c>
      <c r="F591" s="141" t="s">
        <v>498</v>
      </c>
      <c r="G591" s="30">
        <v>5456</v>
      </c>
      <c r="H591" s="30">
        <v>5126.3</v>
      </c>
      <c r="I591" s="20">
        <f t="shared" si="19"/>
        <v>93.957111436950143</v>
      </c>
      <c r="J591" s="237">
        <f>SUM(ведомствен.2013!G1347)</f>
        <v>5456</v>
      </c>
      <c r="K591" s="229">
        <f t="shared" si="20"/>
        <v>0</v>
      </c>
    </row>
    <row r="592" spans="1:11" ht="42.75" hidden="1" customHeight="1">
      <c r="A592" s="95" t="s">
        <v>1010</v>
      </c>
      <c r="B592" s="138"/>
      <c r="C592" s="142" t="s">
        <v>180</v>
      </c>
      <c r="D592" s="142" t="s">
        <v>838</v>
      </c>
      <c r="E592" s="142" t="s">
        <v>59</v>
      </c>
      <c r="F592" s="141"/>
      <c r="G592" s="30">
        <f>SUM(G593)</f>
        <v>0</v>
      </c>
      <c r="H592" s="30">
        <f>SUM(H593)</f>
        <v>0</v>
      </c>
      <c r="I592" s="20" t="e">
        <f t="shared" si="19"/>
        <v>#DIV/0!</v>
      </c>
      <c r="K592" s="229">
        <f t="shared" si="20"/>
        <v>0</v>
      </c>
    </row>
    <row r="593" spans="1:11" s="33" customFormat="1" ht="15" hidden="1" customHeight="1">
      <c r="A593" s="97" t="s">
        <v>497</v>
      </c>
      <c r="B593" s="109"/>
      <c r="C593" s="142" t="s">
        <v>180</v>
      </c>
      <c r="D593" s="142" t="s">
        <v>838</v>
      </c>
      <c r="E593" s="142" t="s">
        <v>59</v>
      </c>
      <c r="F593" s="141" t="s">
        <v>498</v>
      </c>
      <c r="G593" s="30"/>
      <c r="H593" s="30"/>
      <c r="I593" s="20" t="e">
        <f t="shared" si="19"/>
        <v>#DIV/0!</v>
      </c>
      <c r="J593" s="237"/>
      <c r="K593" s="229">
        <f t="shared" si="20"/>
        <v>0</v>
      </c>
    </row>
    <row r="594" spans="1:11" ht="28.5" hidden="1">
      <c r="A594" s="95" t="s">
        <v>384</v>
      </c>
      <c r="B594" s="138"/>
      <c r="C594" s="142" t="s">
        <v>180</v>
      </c>
      <c r="D594" s="142" t="s">
        <v>838</v>
      </c>
      <c r="E594" s="142" t="s">
        <v>388</v>
      </c>
      <c r="F594" s="141"/>
      <c r="G594" s="30">
        <f>SUM(G595)</f>
        <v>0</v>
      </c>
      <c r="H594" s="30">
        <f>SUM(H595)</f>
        <v>0</v>
      </c>
      <c r="I594" s="20" t="e">
        <f t="shared" si="19"/>
        <v>#DIV/0!</v>
      </c>
      <c r="K594" s="229">
        <f t="shared" si="20"/>
        <v>0</v>
      </c>
    </row>
    <row r="595" spans="1:11" ht="15" hidden="1">
      <c r="A595" s="97" t="s">
        <v>497</v>
      </c>
      <c r="B595" s="138"/>
      <c r="C595" s="142" t="s">
        <v>180</v>
      </c>
      <c r="D595" s="142" t="s">
        <v>838</v>
      </c>
      <c r="E595" s="142" t="s">
        <v>388</v>
      </c>
      <c r="F595" s="141" t="s">
        <v>498</v>
      </c>
      <c r="G595" s="30"/>
      <c r="H595" s="30"/>
      <c r="I595" s="20" t="e">
        <f t="shared" si="19"/>
        <v>#DIV/0!</v>
      </c>
      <c r="J595" s="225">
        <f>SUM(ведомствен.2013!G1350)</f>
        <v>0</v>
      </c>
      <c r="K595" s="229">
        <f t="shared" si="20"/>
        <v>0</v>
      </c>
    </row>
    <row r="596" spans="1:11" ht="45" customHeight="1">
      <c r="A596" s="97" t="s">
        <v>60</v>
      </c>
      <c r="B596" s="109"/>
      <c r="C596" s="142" t="s">
        <v>180</v>
      </c>
      <c r="D596" s="142" t="s">
        <v>838</v>
      </c>
      <c r="E596" s="142" t="s">
        <v>61</v>
      </c>
      <c r="F596" s="141"/>
      <c r="G596" s="30">
        <f>SUM(G597)</f>
        <v>456.2</v>
      </c>
      <c r="H596" s="30">
        <f>SUM(H597)</f>
        <v>361.5</v>
      </c>
      <c r="I596" s="20">
        <f t="shared" si="19"/>
        <v>79.24156071898291</v>
      </c>
      <c r="K596" s="229"/>
    </row>
    <row r="597" spans="1:11" s="33" customFormat="1" ht="18.75" customHeight="1">
      <c r="A597" s="97" t="s">
        <v>49</v>
      </c>
      <c r="B597" s="109"/>
      <c r="C597" s="142" t="s">
        <v>180</v>
      </c>
      <c r="D597" s="142" t="s">
        <v>838</v>
      </c>
      <c r="E597" s="142" t="s">
        <v>61</v>
      </c>
      <c r="F597" s="141" t="s">
        <v>498</v>
      </c>
      <c r="G597" s="30">
        <v>456.2</v>
      </c>
      <c r="H597" s="30">
        <v>361.5</v>
      </c>
      <c r="I597" s="20">
        <f t="shared" si="19"/>
        <v>79.24156071898291</v>
      </c>
      <c r="J597" s="237">
        <f>SUM(ведомствен.2013!G1351)</f>
        <v>456.2</v>
      </c>
      <c r="K597" s="229">
        <f t="shared" si="20"/>
        <v>0</v>
      </c>
    </row>
    <row r="598" spans="1:11" ht="28.5" hidden="1" customHeight="1">
      <c r="A598" s="95" t="s">
        <v>630</v>
      </c>
      <c r="B598" s="109"/>
      <c r="C598" s="142" t="s">
        <v>180</v>
      </c>
      <c r="D598" s="142" t="s">
        <v>838</v>
      </c>
      <c r="E598" s="142" t="s">
        <v>688</v>
      </c>
      <c r="F598" s="141" t="s">
        <v>631</v>
      </c>
      <c r="G598" s="30"/>
      <c r="H598" s="30"/>
      <c r="I598" s="20" t="e">
        <f t="shared" si="19"/>
        <v>#DIV/0!</v>
      </c>
      <c r="K598" s="229">
        <f t="shared" si="20"/>
        <v>0</v>
      </c>
    </row>
    <row r="599" spans="1:11" ht="57" hidden="1" customHeight="1">
      <c r="A599" s="97" t="s">
        <v>632</v>
      </c>
      <c r="B599" s="109"/>
      <c r="C599" s="142" t="s">
        <v>180</v>
      </c>
      <c r="D599" s="142" t="s">
        <v>838</v>
      </c>
      <c r="E599" s="142" t="s">
        <v>633</v>
      </c>
      <c r="F599" s="141"/>
      <c r="G599" s="30">
        <f>SUM(G600)</f>
        <v>0</v>
      </c>
      <c r="H599" s="30">
        <f>SUM(H600)</f>
        <v>0</v>
      </c>
      <c r="I599" s="20" t="e">
        <f t="shared" si="19"/>
        <v>#DIV/0!</v>
      </c>
      <c r="K599" s="229">
        <f t="shared" si="20"/>
        <v>0</v>
      </c>
    </row>
    <row r="600" spans="1:11" ht="15" hidden="1" customHeight="1">
      <c r="A600" s="97" t="s">
        <v>634</v>
      </c>
      <c r="B600" s="109"/>
      <c r="C600" s="142" t="s">
        <v>180</v>
      </c>
      <c r="D600" s="142" t="s">
        <v>838</v>
      </c>
      <c r="E600" s="142" t="s">
        <v>633</v>
      </c>
      <c r="F600" s="141" t="s">
        <v>635</v>
      </c>
      <c r="G600" s="30"/>
      <c r="H600" s="30"/>
      <c r="I600" s="20" t="e">
        <f t="shared" si="19"/>
        <v>#DIV/0!</v>
      </c>
      <c r="K600" s="229">
        <f t="shared" si="20"/>
        <v>0</v>
      </c>
    </row>
    <row r="601" spans="1:11" ht="48.75" customHeight="1">
      <c r="A601" s="97" t="s">
        <v>636</v>
      </c>
      <c r="B601" s="109"/>
      <c r="C601" s="142" t="s">
        <v>180</v>
      </c>
      <c r="D601" s="142" t="s">
        <v>838</v>
      </c>
      <c r="E601" s="142" t="s">
        <v>637</v>
      </c>
      <c r="F601" s="141"/>
      <c r="G601" s="30">
        <f>SUM(G602)</f>
        <v>291573.2</v>
      </c>
      <c r="H601" s="30">
        <f>SUM(H602)</f>
        <v>291567.3</v>
      </c>
      <c r="I601" s="20">
        <f t="shared" si="19"/>
        <v>99.99797649441031</v>
      </c>
      <c r="K601" s="229"/>
    </row>
    <row r="602" spans="1:11" ht="20.25" customHeight="1">
      <c r="A602" s="97" t="s">
        <v>49</v>
      </c>
      <c r="B602" s="109"/>
      <c r="C602" s="142" t="s">
        <v>180</v>
      </c>
      <c r="D602" s="142" t="s">
        <v>838</v>
      </c>
      <c r="E602" s="142" t="s">
        <v>637</v>
      </c>
      <c r="F602" s="141" t="s">
        <v>498</v>
      </c>
      <c r="G602" s="30">
        <v>291573.2</v>
      </c>
      <c r="H602" s="30">
        <v>291567.3</v>
      </c>
      <c r="I602" s="20">
        <f t="shared" si="19"/>
        <v>99.99797649441031</v>
      </c>
      <c r="J602" s="237">
        <f>SUM(ведомствен.2013!G1356)</f>
        <v>291573.2</v>
      </c>
      <c r="K602" s="229">
        <f t="shared" si="20"/>
        <v>0</v>
      </c>
    </row>
    <row r="603" spans="1:11" ht="18" customHeight="1">
      <c r="A603" s="95" t="s">
        <v>638</v>
      </c>
      <c r="B603" s="138"/>
      <c r="C603" s="142" t="s">
        <v>180</v>
      </c>
      <c r="D603" s="142" t="s">
        <v>838</v>
      </c>
      <c r="E603" s="142" t="s">
        <v>639</v>
      </c>
      <c r="F603" s="140"/>
      <c r="G603" s="30">
        <f>SUM(G618)+G604</f>
        <v>159527.4</v>
      </c>
      <c r="H603" s="30">
        <f>SUM(H618)+H604</f>
        <v>160626.4</v>
      </c>
      <c r="I603" s="20">
        <f t="shared" si="19"/>
        <v>100.68890986752119</v>
      </c>
      <c r="K603" s="229"/>
    </row>
    <row r="604" spans="1:11" ht="27.75" customHeight="1">
      <c r="A604" s="95" t="s">
        <v>953</v>
      </c>
      <c r="B604" s="157"/>
      <c r="C604" s="142" t="s">
        <v>180</v>
      </c>
      <c r="D604" s="142" t="s">
        <v>838</v>
      </c>
      <c r="E604" s="142" t="s">
        <v>125</v>
      </c>
      <c r="F604" s="140"/>
      <c r="G604" s="30">
        <f>SUM(G607)+G616+G609+G605</f>
        <v>159527.4</v>
      </c>
      <c r="H604" s="30">
        <f>SUM(H607)+H616+H609+H605</f>
        <v>160626.4</v>
      </c>
      <c r="I604" s="20">
        <f t="shared" si="19"/>
        <v>100.68890986752119</v>
      </c>
      <c r="K604" s="229"/>
    </row>
    <row r="605" spans="1:11" ht="57" hidden="1" customHeight="1">
      <c r="A605" s="95" t="s">
        <v>395</v>
      </c>
      <c r="B605" s="157"/>
      <c r="C605" s="142" t="s">
        <v>180</v>
      </c>
      <c r="D605" s="142" t="s">
        <v>838</v>
      </c>
      <c r="E605" s="142" t="s">
        <v>398</v>
      </c>
      <c r="F605" s="140"/>
      <c r="G605" s="30">
        <f>SUM(G606)</f>
        <v>0</v>
      </c>
      <c r="H605" s="30">
        <f>SUM(H606)</f>
        <v>0</v>
      </c>
      <c r="I605" s="20" t="e">
        <f t="shared" si="19"/>
        <v>#DIV/0!</v>
      </c>
      <c r="K605" s="229">
        <f t="shared" si="20"/>
        <v>0</v>
      </c>
    </row>
    <row r="606" spans="1:11" ht="15" hidden="1" customHeight="1">
      <c r="A606" s="95" t="s">
        <v>276</v>
      </c>
      <c r="B606" s="157"/>
      <c r="C606" s="142" t="s">
        <v>180</v>
      </c>
      <c r="D606" s="142" t="s">
        <v>838</v>
      </c>
      <c r="E606" s="142" t="s">
        <v>398</v>
      </c>
      <c r="F606" s="140" t="s">
        <v>132</v>
      </c>
      <c r="G606" s="30"/>
      <c r="H606" s="30"/>
      <c r="I606" s="20" t="e">
        <f t="shared" si="19"/>
        <v>#DIV/0!</v>
      </c>
      <c r="J606" s="225">
        <f>SUM(ведомствен.2013!G1361)</f>
        <v>0</v>
      </c>
      <c r="K606" s="229">
        <f t="shared" si="20"/>
        <v>0</v>
      </c>
    </row>
    <row r="607" spans="1:11" ht="43.5" customHeight="1">
      <c r="A607" s="95" t="s">
        <v>151</v>
      </c>
      <c r="B607" s="157"/>
      <c r="C607" s="142" t="s">
        <v>180</v>
      </c>
      <c r="D607" s="142" t="s">
        <v>838</v>
      </c>
      <c r="E607" s="142" t="s">
        <v>126</v>
      </c>
      <c r="F607" s="140"/>
      <c r="G607" s="30">
        <f>SUM(G608)</f>
        <v>158454.5</v>
      </c>
      <c r="H607" s="30">
        <f>SUM(H608)</f>
        <v>159554</v>
      </c>
      <c r="I607" s="20">
        <f t="shared" si="19"/>
        <v>100.69389004414518</v>
      </c>
      <c r="K607" s="229"/>
    </row>
    <row r="608" spans="1:11" ht="44.25" customHeight="1">
      <c r="A608" s="97" t="s">
        <v>275</v>
      </c>
      <c r="B608" s="109"/>
      <c r="C608" s="142" t="s">
        <v>180</v>
      </c>
      <c r="D608" s="142" t="s">
        <v>838</v>
      </c>
      <c r="E608" s="142" t="s">
        <v>126</v>
      </c>
      <c r="F608" s="141" t="s">
        <v>51</v>
      </c>
      <c r="G608" s="30">
        <v>158454.5</v>
      </c>
      <c r="H608" s="30">
        <v>159554</v>
      </c>
      <c r="I608" s="20">
        <f t="shared" si="19"/>
        <v>100.69389004414518</v>
      </c>
      <c r="J608" s="225">
        <f>SUM(ведомствен.2013!G1507)+ведомствен.2013!G1363+ведомствен.2013!G1144</f>
        <v>158454.5</v>
      </c>
      <c r="K608" s="229">
        <f t="shared" si="20"/>
        <v>0</v>
      </c>
    </row>
    <row r="609" spans="1:11" ht="18.75" customHeight="1">
      <c r="A609" s="97" t="s">
        <v>276</v>
      </c>
      <c r="B609" s="157"/>
      <c r="C609" s="142" t="s">
        <v>180</v>
      </c>
      <c r="D609" s="142" t="s">
        <v>838</v>
      </c>
      <c r="E609" s="142" t="s">
        <v>245</v>
      </c>
      <c r="F609" s="140"/>
      <c r="G609" s="30">
        <f>SUM(G615+G612+G610)</f>
        <v>1032.4000000000001</v>
      </c>
      <c r="H609" s="30">
        <f>SUM(H615+H612+H610)</f>
        <v>1031.9000000000001</v>
      </c>
      <c r="I609" s="20">
        <f t="shared" si="19"/>
        <v>99.951569159240606</v>
      </c>
      <c r="K609" s="229"/>
    </row>
    <row r="610" spans="1:11" ht="34.5" customHeight="1">
      <c r="A610" s="97" t="s">
        <v>839</v>
      </c>
      <c r="B610" s="109"/>
      <c r="C610" s="142" t="s">
        <v>180</v>
      </c>
      <c r="D610" s="142" t="s">
        <v>838</v>
      </c>
      <c r="E610" s="142" t="s">
        <v>840</v>
      </c>
      <c r="F610" s="141"/>
      <c r="G610" s="30">
        <f>SUM(G611)</f>
        <v>291.8</v>
      </c>
      <c r="H610" s="30">
        <f>SUM(H611)</f>
        <v>291.8</v>
      </c>
      <c r="I610" s="20">
        <f t="shared" si="19"/>
        <v>100</v>
      </c>
      <c r="K610" s="229"/>
    </row>
    <row r="611" spans="1:11" ht="23.25" customHeight="1">
      <c r="A611" s="97" t="s">
        <v>276</v>
      </c>
      <c r="B611" s="109"/>
      <c r="C611" s="142" t="s">
        <v>180</v>
      </c>
      <c r="D611" s="142" t="s">
        <v>838</v>
      </c>
      <c r="E611" s="142" t="s">
        <v>840</v>
      </c>
      <c r="F611" s="141" t="s">
        <v>132</v>
      </c>
      <c r="G611" s="30">
        <v>291.8</v>
      </c>
      <c r="H611" s="30">
        <v>291.8</v>
      </c>
      <c r="I611" s="20">
        <f t="shared" si="19"/>
        <v>100</v>
      </c>
      <c r="J611" s="225">
        <f>SUM(ведомствен.2013!G1510)</f>
        <v>291.8</v>
      </c>
      <c r="K611" s="229">
        <f t="shared" si="20"/>
        <v>0</v>
      </c>
    </row>
    <row r="612" spans="1:11" ht="34.5" customHeight="1">
      <c r="A612" s="97" t="s">
        <v>759</v>
      </c>
      <c r="B612" s="157"/>
      <c r="C612" s="142" t="s">
        <v>180</v>
      </c>
      <c r="D612" s="142" t="s">
        <v>838</v>
      </c>
      <c r="E612" s="142" t="s">
        <v>415</v>
      </c>
      <c r="F612" s="140"/>
      <c r="G612" s="30">
        <f>SUM(G613)</f>
        <v>410</v>
      </c>
      <c r="H612" s="30">
        <f>SUM(H613)</f>
        <v>409.5</v>
      </c>
      <c r="I612" s="20">
        <f t="shared" si="19"/>
        <v>99.878048780487802</v>
      </c>
      <c r="K612" s="229"/>
    </row>
    <row r="613" spans="1:11" ht="21.75" customHeight="1">
      <c r="A613" s="97" t="s">
        <v>231</v>
      </c>
      <c r="B613" s="157"/>
      <c r="C613" s="142" t="s">
        <v>180</v>
      </c>
      <c r="D613" s="142" t="s">
        <v>838</v>
      </c>
      <c r="E613" s="142" t="s">
        <v>415</v>
      </c>
      <c r="F613" s="140" t="s">
        <v>132</v>
      </c>
      <c r="G613" s="30">
        <v>410</v>
      </c>
      <c r="H613" s="30">
        <v>409.5</v>
      </c>
      <c r="I613" s="20">
        <f t="shared" si="19"/>
        <v>99.878048780487802</v>
      </c>
      <c r="J613" s="225">
        <f>SUM(ведомствен.2013!G1147+ведомствен.2013!G1512)</f>
        <v>410</v>
      </c>
      <c r="K613" s="229">
        <f t="shared" si="20"/>
        <v>0</v>
      </c>
    </row>
    <row r="614" spans="1:11" ht="34.5" customHeight="1">
      <c r="A614" s="95" t="s">
        <v>403</v>
      </c>
      <c r="B614" s="157"/>
      <c r="C614" s="142" t="s">
        <v>180</v>
      </c>
      <c r="D614" s="142" t="s">
        <v>838</v>
      </c>
      <c r="E614" s="142" t="s">
        <v>409</v>
      </c>
      <c r="F614" s="140"/>
      <c r="G614" s="30">
        <f>SUM(G615)</f>
        <v>330.6</v>
      </c>
      <c r="H614" s="30">
        <f>SUM(H615)</f>
        <v>330.6</v>
      </c>
      <c r="I614" s="20">
        <f t="shared" si="19"/>
        <v>100</v>
      </c>
      <c r="K614" s="229"/>
    </row>
    <row r="615" spans="1:11" ht="23.25" customHeight="1">
      <c r="A615" s="97" t="s">
        <v>231</v>
      </c>
      <c r="B615" s="157"/>
      <c r="C615" s="142" t="s">
        <v>180</v>
      </c>
      <c r="D615" s="142" t="s">
        <v>838</v>
      </c>
      <c r="E615" s="142" t="s">
        <v>409</v>
      </c>
      <c r="F615" s="140" t="s">
        <v>132</v>
      </c>
      <c r="G615" s="30">
        <v>330.6</v>
      </c>
      <c r="H615" s="30">
        <v>330.6</v>
      </c>
      <c r="I615" s="20">
        <f t="shared" si="19"/>
        <v>100</v>
      </c>
      <c r="J615" s="225">
        <f>SUM(ведомствен.2013!G1149+ведомствен.2013!G1514)</f>
        <v>330.6</v>
      </c>
      <c r="K615" s="229">
        <f t="shared" si="20"/>
        <v>0</v>
      </c>
    </row>
    <row r="616" spans="1:11" ht="42.75">
      <c r="A616" s="97" t="s">
        <v>60</v>
      </c>
      <c r="B616" s="109"/>
      <c r="C616" s="142" t="s">
        <v>180</v>
      </c>
      <c r="D616" s="142" t="s">
        <v>838</v>
      </c>
      <c r="E616" s="142" t="s">
        <v>128</v>
      </c>
      <c r="F616" s="141"/>
      <c r="G616" s="30">
        <f>SUM(G617)</f>
        <v>40.5</v>
      </c>
      <c r="H616" s="30">
        <f>SUM(H617)</f>
        <v>40.5</v>
      </c>
      <c r="I616" s="20">
        <f t="shared" si="19"/>
        <v>100</v>
      </c>
      <c r="K616" s="229"/>
    </row>
    <row r="617" spans="1:11" ht="20.25" customHeight="1">
      <c r="A617" s="97" t="s">
        <v>276</v>
      </c>
      <c r="B617" s="109"/>
      <c r="C617" s="142" t="s">
        <v>180</v>
      </c>
      <c r="D617" s="142" t="s">
        <v>838</v>
      </c>
      <c r="E617" s="142" t="s">
        <v>128</v>
      </c>
      <c r="F617" s="141" t="s">
        <v>132</v>
      </c>
      <c r="G617" s="30">
        <v>40.5</v>
      </c>
      <c r="H617" s="30">
        <v>40.5</v>
      </c>
      <c r="I617" s="20">
        <f t="shared" si="19"/>
        <v>100</v>
      </c>
      <c r="J617" s="225">
        <f>SUM(ведомствен.2013!G1516)</f>
        <v>40.5</v>
      </c>
      <c r="K617" s="229">
        <f t="shared" si="20"/>
        <v>0</v>
      </c>
    </row>
    <row r="618" spans="1:11" ht="28.5" hidden="1" customHeight="1">
      <c r="A618" s="95" t="s">
        <v>48</v>
      </c>
      <c r="B618" s="157"/>
      <c r="C618" s="142" t="s">
        <v>180</v>
      </c>
      <c r="D618" s="142" t="s">
        <v>838</v>
      </c>
      <c r="E618" s="142" t="s">
        <v>640</v>
      </c>
      <c r="F618" s="140"/>
      <c r="G618" s="30">
        <f>SUM(G619+G624+G622)</f>
        <v>0</v>
      </c>
      <c r="H618" s="30">
        <f>SUM(H619+H624+H622)</f>
        <v>0</v>
      </c>
      <c r="I618" s="20" t="e">
        <f t="shared" si="19"/>
        <v>#DIV/0!</v>
      </c>
      <c r="K618" s="229">
        <f t="shared" si="20"/>
        <v>0</v>
      </c>
    </row>
    <row r="619" spans="1:11" ht="15" hidden="1" customHeight="1">
      <c r="A619" s="97" t="s">
        <v>49</v>
      </c>
      <c r="B619" s="109"/>
      <c r="C619" s="142" t="s">
        <v>180</v>
      </c>
      <c r="D619" s="142" t="s">
        <v>838</v>
      </c>
      <c r="E619" s="142" t="s">
        <v>640</v>
      </c>
      <c r="F619" s="141" t="s">
        <v>498</v>
      </c>
      <c r="G619" s="30"/>
      <c r="H619" s="30"/>
      <c r="I619" s="20" t="e">
        <f t="shared" si="19"/>
        <v>#DIV/0!</v>
      </c>
      <c r="J619" s="225">
        <f>SUM(ведомствен.2013!G793)</f>
        <v>0</v>
      </c>
      <c r="K619" s="229">
        <f t="shared" si="20"/>
        <v>0</v>
      </c>
    </row>
    <row r="620" spans="1:11" ht="42.75" hidden="1" customHeight="1">
      <c r="A620" s="97" t="s">
        <v>641</v>
      </c>
      <c r="B620" s="109"/>
      <c r="C620" s="142" t="s">
        <v>180</v>
      </c>
      <c r="D620" s="142" t="s">
        <v>838</v>
      </c>
      <c r="E620" s="142" t="s">
        <v>640</v>
      </c>
      <c r="F620" s="141" t="s">
        <v>642</v>
      </c>
      <c r="G620" s="30"/>
      <c r="H620" s="30"/>
      <c r="I620" s="20" t="e">
        <f t="shared" si="19"/>
        <v>#DIV/0!</v>
      </c>
      <c r="K620" s="229">
        <f t="shared" si="20"/>
        <v>0</v>
      </c>
    </row>
    <row r="621" spans="1:11" s="33" customFormat="1" ht="42.75" hidden="1" customHeight="1">
      <c r="A621" s="97" t="s">
        <v>670</v>
      </c>
      <c r="B621" s="109"/>
      <c r="C621" s="142" t="s">
        <v>180</v>
      </c>
      <c r="D621" s="142" t="s">
        <v>838</v>
      </c>
      <c r="E621" s="142" t="s">
        <v>640</v>
      </c>
      <c r="F621" s="140" t="s">
        <v>671</v>
      </c>
      <c r="G621" s="30"/>
      <c r="H621" s="30"/>
      <c r="I621" s="20" t="e">
        <f t="shared" si="19"/>
        <v>#DIV/0!</v>
      </c>
      <c r="J621" s="237"/>
      <c r="K621" s="229">
        <f t="shared" si="20"/>
        <v>0</v>
      </c>
    </row>
    <row r="622" spans="1:11" s="33" customFormat="1" ht="57" hidden="1" customHeight="1">
      <c r="A622" s="97" t="s">
        <v>395</v>
      </c>
      <c r="B622" s="109"/>
      <c r="C622" s="142" t="s">
        <v>180</v>
      </c>
      <c r="D622" s="142" t="s">
        <v>838</v>
      </c>
      <c r="E622" s="160" t="s">
        <v>643</v>
      </c>
      <c r="F622" s="141"/>
      <c r="G622" s="30">
        <f>SUM(G623)</f>
        <v>0</v>
      </c>
      <c r="H622" s="30">
        <f>SUM(H623)</f>
        <v>0</v>
      </c>
      <c r="I622" s="20" t="e">
        <f t="shared" si="19"/>
        <v>#DIV/0!</v>
      </c>
      <c r="J622" s="237"/>
      <c r="K622" s="229">
        <f t="shared" si="20"/>
        <v>0</v>
      </c>
    </row>
    <row r="623" spans="1:11" ht="15" hidden="1" customHeight="1">
      <c r="A623" s="97" t="s">
        <v>49</v>
      </c>
      <c r="B623" s="109"/>
      <c r="C623" s="142" t="s">
        <v>180</v>
      </c>
      <c r="D623" s="142" t="s">
        <v>838</v>
      </c>
      <c r="E623" s="160" t="s">
        <v>643</v>
      </c>
      <c r="F623" s="141" t="s">
        <v>498</v>
      </c>
      <c r="G623" s="30"/>
      <c r="H623" s="30"/>
      <c r="I623" s="20" t="e">
        <f t="shared" si="19"/>
        <v>#DIV/0!</v>
      </c>
      <c r="J623" s="225">
        <f>SUM(ведомствен.2013!G1378)</f>
        <v>0</v>
      </c>
      <c r="K623" s="229">
        <f t="shared" si="20"/>
        <v>0</v>
      </c>
    </row>
    <row r="624" spans="1:11" s="33" customFormat="1" ht="42.75" hidden="1" customHeight="1">
      <c r="A624" s="95" t="s">
        <v>1010</v>
      </c>
      <c r="B624" s="109"/>
      <c r="C624" s="142" t="s">
        <v>180</v>
      </c>
      <c r="D624" s="142" t="s">
        <v>838</v>
      </c>
      <c r="E624" s="142" t="s">
        <v>644</v>
      </c>
      <c r="F624" s="141"/>
      <c r="G624" s="30">
        <f>SUM(G625)</f>
        <v>0</v>
      </c>
      <c r="H624" s="30">
        <f>SUM(H625)</f>
        <v>0</v>
      </c>
      <c r="I624" s="20" t="e">
        <f t="shared" si="19"/>
        <v>#DIV/0!</v>
      </c>
      <c r="J624" s="237"/>
      <c r="K624" s="229">
        <f t="shared" si="20"/>
        <v>0</v>
      </c>
    </row>
    <row r="625" spans="1:11" ht="15" hidden="1" customHeight="1">
      <c r="A625" s="97" t="s">
        <v>497</v>
      </c>
      <c r="B625" s="109"/>
      <c r="C625" s="142" t="s">
        <v>180</v>
      </c>
      <c r="D625" s="142" t="s">
        <v>838</v>
      </c>
      <c r="E625" s="142" t="s">
        <v>644</v>
      </c>
      <c r="F625" s="141" t="s">
        <v>498</v>
      </c>
      <c r="G625" s="30"/>
      <c r="H625" s="30"/>
      <c r="I625" s="20" t="e">
        <f t="shared" si="19"/>
        <v>#DIV/0!</v>
      </c>
      <c r="K625" s="229">
        <f t="shared" si="20"/>
        <v>0</v>
      </c>
    </row>
    <row r="626" spans="1:11" ht="28.5" hidden="1" customHeight="1">
      <c r="A626" s="95" t="s">
        <v>630</v>
      </c>
      <c r="B626" s="109"/>
      <c r="C626" s="142" t="s">
        <v>180</v>
      </c>
      <c r="D626" s="142" t="s">
        <v>838</v>
      </c>
      <c r="E626" s="142" t="s">
        <v>640</v>
      </c>
      <c r="F626" s="141" t="s">
        <v>631</v>
      </c>
      <c r="G626" s="30"/>
      <c r="H626" s="30"/>
      <c r="I626" s="20" t="e">
        <f t="shared" si="19"/>
        <v>#DIV/0!</v>
      </c>
      <c r="K626" s="229">
        <f t="shared" si="20"/>
        <v>0</v>
      </c>
    </row>
    <row r="627" spans="1:11" s="2" customFormat="1" ht="17.25" customHeight="1">
      <c r="A627" s="95" t="s">
        <v>645</v>
      </c>
      <c r="B627" s="138"/>
      <c r="C627" s="142" t="s">
        <v>180</v>
      </c>
      <c r="D627" s="142" t="s">
        <v>838</v>
      </c>
      <c r="E627" s="142" t="s">
        <v>646</v>
      </c>
      <c r="F627" s="164"/>
      <c r="G627" s="30">
        <f>SUM(G628)</f>
        <v>56497.7</v>
      </c>
      <c r="H627" s="30">
        <f>SUM(H628)</f>
        <v>56494</v>
      </c>
      <c r="I627" s="20">
        <f t="shared" si="19"/>
        <v>99.993451060839661</v>
      </c>
      <c r="J627" s="232"/>
      <c r="K627" s="229"/>
    </row>
    <row r="628" spans="1:11" s="2" customFormat="1" ht="28.5" customHeight="1">
      <c r="A628" s="95" t="s">
        <v>48</v>
      </c>
      <c r="B628" s="138"/>
      <c r="C628" s="142" t="s">
        <v>180</v>
      </c>
      <c r="D628" s="142" t="s">
        <v>838</v>
      </c>
      <c r="E628" s="142" t="s">
        <v>647</v>
      </c>
      <c r="F628" s="164"/>
      <c r="G628" s="30">
        <f>SUM(G632+G630)+G629</f>
        <v>56497.7</v>
      </c>
      <c r="H628" s="30">
        <f>SUM(H632+H630)+H629</f>
        <v>56494</v>
      </c>
      <c r="I628" s="20">
        <f t="shared" si="19"/>
        <v>99.993451060839661</v>
      </c>
      <c r="J628" s="232"/>
      <c r="K628" s="229"/>
    </row>
    <row r="629" spans="1:11" s="2" customFormat="1" ht="15" hidden="1" customHeight="1">
      <c r="A629" s="97" t="s">
        <v>49</v>
      </c>
      <c r="B629" s="138"/>
      <c r="C629" s="142" t="s">
        <v>180</v>
      </c>
      <c r="D629" s="142" t="s">
        <v>838</v>
      </c>
      <c r="E629" s="138" t="s">
        <v>648</v>
      </c>
      <c r="F629" s="140" t="s">
        <v>498</v>
      </c>
      <c r="G629" s="30"/>
      <c r="H629" s="30"/>
      <c r="I629" s="20" t="e">
        <f t="shared" si="19"/>
        <v>#DIV/0!</v>
      </c>
      <c r="J629" s="232">
        <f>SUM(ведомствен.2013!G796)</f>
        <v>0</v>
      </c>
      <c r="K629" s="229">
        <f t="shared" si="20"/>
        <v>0</v>
      </c>
    </row>
    <row r="630" spans="1:11" s="2" customFormat="1" ht="47.25" customHeight="1">
      <c r="A630" s="97" t="s">
        <v>60</v>
      </c>
      <c r="B630" s="109"/>
      <c r="C630" s="142" t="s">
        <v>180</v>
      </c>
      <c r="D630" s="142" t="s">
        <v>838</v>
      </c>
      <c r="E630" s="142" t="s">
        <v>649</v>
      </c>
      <c r="F630" s="141"/>
      <c r="G630" s="30">
        <f>SUM(G631)</f>
        <v>38.5</v>
      </c>
      <c r="H630" s="30">
        <f>SUM(H631)</f>
        <v>34.799999999999997</v>
      </c>
      <c r="I630" s="20">
        <f t="shared" si="19"/>
        <v>90.389610389610382</v>
      </c>
      <c r="J630" s="232"/>
      <c r="K630" s="229"/>
    </row>
    <row r="631" spans="1:11" s="2" customFormat="1" ht="18.75" customHeight="1">
      <c r="A631" s="97" t="s">
        <v>49</v>
      </c>
      <c r="B631" s="138"/>
      <c r="C631" s="142" t="s">
        <v>180</v>
      </c>
      <c r="D631" s="142" t="s">
        <v>838</v>
      </c>
      <c r="E631" s="142" t="s">
        <v>649</v>
      </c>
      <c r="F631" s="140" t="s">
        <v>498</v>
      </c>
      <c r="G631" s="30">
        <v>38.5</v>
      </c>
      <c r="H631" s="30">
        <v>34.799999999999997</v>
      </c>
      <c r="I631" s="20">
        <f t="shared" si="19"/>
        <v>90.389610389610382</v>
      </c>
      <c r="J631" s="232">
        <f>SUM(ведомствен.2013!G798)</f>
        <v>38.5</v>
      </c>
      <c r="K631" s="229">
        <f t="shared" si="20"/>
        <v>0</v>
      </c>
    </row>
    <row r="632" spans="1:11" s="2" customFormat="1" ht="71.25" customHeight="1">
      <c r="A632" s="95" t="s">
        <v>862</v>
      </c>
      <c r="B632" s="138"/>
      <c r="C632" s="142" t="s">
        <v>180</v>
      </c>
      <c r="D632" s="142" t="s">
        <v>838</v>
      </c>
      <c r="E632" s="142" t="s">
        <v>653</v>
      </c>
      <c r="F632" s="164"/>
      <c r="G632" s="30">
        <f>SUM(G633)</f>
        <v>56459.199999999997</v>
      </c>
      <c r="H632" s="30">
        <f>SUM(H633)</f>
        <v>56459.199999999997</v>
      </c>
      <c r="I632" s="20">
        <f t="shared" si="19"/>
        <v>100</v>
      </c>
      <c r="J632" s="232"/>
      <c r="K632" s="229"/>
    </row>
    <row r="633" spans="1:11" s="2" customFormat="1" ht="15">
      <c r="A633" s="97" t="s">
        <v>49</v>
      </c>
      <c r="B633" s="138"/>
      <c r="C633" s="142" t="s">
        <v>180</v>
      </c>
      <c r="D633" s="142" t="s">
        <v>838</v>
      </c>
      <c r="E633" s="142" t="s">
        <v>653</v>
      </c>
      <c r="F633" s="164" t="s">
        <v>498</v>
      </c>
      <c r="G633" s="30">
        <v>56459.199999999997</v>
      </c>
      <c r="H633" s="30">
        <v>56459.199999999997</v>
      </c>
      <c r="I633" s="20">
        <f t="shared" si="19"/>
        <v>100</v>
      </c>
      <c r="J633" s="232">
        <f>SUM(ведомствен.2013!G800)</f>
        <v>56459.199999999997</v>
      </c>
      <c r="K633" s="229">
        <f t="shared" si="20"/>
        <v>0</v>
      </c>
    </row>
    <row r="634" spans="1:11" ht="18" customHeight="1">
      <c r="A634" s="95" t="s">
        <v>654</v>
      </c>
      <c r="B634" s="142"/>
      <c r="C634" s="142" t="s">
        <v>180</v>
      </c>
      <c r="D634" s="142" t="s">
        <v>838</v>
      </c>
      <c r="E634" s="142" t="s">
        <v>655</v>
      </c>
      <c r="F634" s="140"/>
      <c r="G634" s="30">
        <f>SUM(G635)</f>
        <v>37247.1</v>
      </c>
      <c r="H634" s="30">
        <f>SUM(H635)</f>
        <v>37246.300000000003</v>
      </c>
      <c r="I634" s="20">
        <f t="shared" si="19"/>
        <v>99.997852181780615</v>
      </c>
      <c r="K634" s="229"/>
    </row>
    <row r="635" spans="1:11" ht="26.25" customHeight="1">
      <c r="A635" s="95" t="s">
        <v>153</v>
      </c>
      <c r="B635" s="157"/>
      <c r="C635" s="142" t="s">
        <v>180</v>
      </c>
      <c r="D635" s="142" t="s">
        <v>838</v>
      </c>
      <c r="E635" s="142" t="s">
        <v>656</v>
      </c>
      <c r="F635" s="140"/>
      <c r="G635" s="30">
        <f>SUM(G637+G639+G641)+G636</f>
        <v>37247.1</v>
      </c>
      <c r="H635" s="30">
        <f>SUM(H637+H639+H641)+H636</f>
        <v>37246.300000000003</v>
      </c>
      <c r="I635" s="20">
        <f t="shared" ref="I635:I698" si="21">SUM(H635/G635*100)</f>
        <v>99.997852181780615</v>
      </c>
      <c r="K635" s="229"/>
    </row>
    <row r="636" spans="1:11" ht="15" hidden="1" customHeight="1">
      <c r="A636" s="97" t="s">
        <v>497</v>
      </c>
      <c r="B636" s="109"/>
      <c r="C636" s="142" t="s">
        <v>180</v>
      </c>
      <c r="D636" s="142" t="s">
        <v>838</v>
      </c>
      <c r="E636" s="142" t="s">
        <v>656</v>
      </c>
      <c r="F636" s="141" t="s">
        <v>498</v>
      </c>
      <c r="G636" s="30"/>
      <c r="H636" s="30"/>
      <c r="I636" s="20" t="e">
        <f t="shared" si="21"/>
        <v>#DIV/0!</v>
      </c>
      <c r="J636" s="225">
        <f>SUM(ведомствен.2013!G803)</f>
        <v>0</v>
      </c>
      <c r="K636" s="229">
        <f t="shared" ref="K636:K670" si="22">SUM(G636-J636)</f>
        <v>0</v>
      </c>
    </row>
    <row r="637" spans="1:11" s="33" customFormat="1" ht="57" hidden="1" customHeight="1">
      <c r="A637" s="97" t="s">
        <v>395</v>
      </c>
      <c r="B637" s="109"/>
      <c r="C637" s="142" t="s">
        <v>180</v>
      </c>
      <c r="D637" s="142" t="s">
        <v>838</v>
      </c>
      <c r="E637" s="160" t="s">
        <v>643</v>
      </c>
      <c r="F637" s="141"/>
      <c r="G637" s="30">
        <f>SUM(G638)</f>
        <v>0</v>
      </c>
      <c r="H637" s="30">
        <f>SUM(H638)</f>
        <v>0</v>
      </c>
      <c r="I637" s="20" t="e">
        <f t="shared" si="21"/>
        <v>#DIV/0!</v>
      </c>
      <c r="J637" s="237"/>
      <c r="K637" s="229">
        <f t="shared" si="22"/>
        <v>0</v>
      </c>
    </row>
    <row r="638" spans="1:11" s="33" customFormat="1" ht="28.5" hidden="1" customHeight="1">
      <c r="A638" s="97" t="s">
        <v>673</v>
      </c>
      <c r="B638" s="109"/>
      <c r="C638" s="142" t="s">
        <v>180</v>
      </c>
      <c r="D638" s="142" t="s">
        <v>838</v>
      </c>
      <c r="E638" s="160" t="s">
        <v>643</v>
      </c>
      <c r="F638" s="141" t="s">
        <v>674</v>
      </c>
      <c r="G638" s="30"/>
      <c r="H638" s="30"/>
      <c r="I638" s="20" t="e">
        <f t="shared" si="21"/>
        <v>#DIV/0!</v>
      </c>
      <c r="J638" s="237"/>
      <c r="K638" s="229">
        <f t="shared" si="22"/>
        <v>0</v>
      </c>
    </row>
    <row r="639" spans="1:11" ht="43.5" customHeight="1">
      <c r="A639" s="97" t="s">
        <v>60</v>
      </c>
      <c r="B639" s="109"/>
      <c r="C639" s="142" t="s">
        <v>180</v>
      </c>
      <c r="D639" s="142" t="s">
        <v>838</v>
      </c>
      <c r="E639" s="142" t="s">
        <v>657</v>
      </c>
      <c r="F639" s="141"/>
      <c r="G639" s="30">
        <f>SUM(G640)</f>
        <v>33.200000000000003</v>
      </c>
      <c r="H639" s="30">
        <f>SUM(H640)</f>
        <v>32.4</v>
      </c>
      <c r="I639" s="20">
        <f t="shared" si="21"/>
        <v>97.590361445783131</v>
      </c>
      <c r="K639" s="229"/>
    </row>
    <row r="640" spans="1:11" ht="16.5" customHeight="1">
      <c r="A640" s="97" t="s">
        <v>49</v>
      </c>
      <c r="B640" s="109"/>
      <c r="C640" s="142" t="s">
        <v>180</v>
      </c>
      <c r="D640" s="142" t="s">
        <v>838</v>
      </c>
      <c r="E640" s="142" t="s">
        <v>657</v>
      </c>
      <c r="F640" s="141" t="s">
        <v>498</v>
      </c>
      <c r="G640" s="30">
        <v>33.200000000000003</v>
      </c>
      <c r="H640" s="30">
        <v>32.4</v>
      </c>
      <c r="I640" s="20">
        <f t="shared" si="21"/>
        <v>97.590361445783131</v>
      </c>
      <c r="J640" s="237">
        <f>SUM(ведомствен.2013!G1380)</f>
        <v>33.200000000000003</v>
      </c>
      <c r="K640" s="229">
        <f t="shared" si="22"/>
        <v>0</v>
      </c>
    </row>
    <row r="641" spans="1:11" ht="78.75" customHeight="1">
      <c r="A641" s="97" t="s">
        <v>1018</v>
      </c>
      <c r="B641" s="109"/>
      <c r="C641" s="142" t="s">
        <v>180</v>
      </c>
      <c r="D641" s="142" t="s">
        <v>838</v>
      </c>
      <c r="E641" s="142" t="s">
        <v>658</v>
      </c>
      <c r="F641" s="141"/>
      <c r="G641" s="30">
        <f>SUM(G642)</f>
        <v>37213.9</v>
      </c>
      <c r="H641" s="30">
        <f>SUM(H642)</f>
        <v>37213.9</v>
      </c>
      <c r="I641" s="20">
        <f t="shared" si="21"/>
        <v>100</v>
      </c>
      <c r="K641" s="229"/>
    </row>
    <row r="642" spans="1:11" ht="15.75" customHeight="1">
      <c r="A642" s="97" t="s">
        <v>49</v>
      </c>
      <c r="B642" s="109"/>
      <c r="C642" s="142" t="s">
        <v>180</v>
      </c>
      <c r="D642" s="142" t="s">
        <v>838</v>
      </c>
      <c r="E642" s="142" t="s">
        <v>658</v>
      </c>
      <c r="F642" s="141" t="s">
        <v>498</v>
      </c>
      <c r="G642" s="30">
        <v>37213.9</v>
      </c>
      <c r="H642" s="30">
        <v>37213.9</v>
      </c>
      <c r="I642" s="20">
        <f t="shared" si="21"/>
        <v>100</v>
      </c>
      <c r="J642" s="237">
        <f>SUM(ведомствен.2013!G1382)</f>
        <v>37213.9</v>
      </c>
      <c r="K642" s="229">
        <f t="shared" si="22"/>
        <v>0</v>
      </c>
    </row>
    <row r="643" spans="1:11" ht="16.5" customHeight="1">
      <c r="A643" s="97" t="s">
        <v>659</v>
      </c>
      <c r="B643" s="109"/>
      <c r="C643" s="142" t="s">
        <v>180</v>
      </c>
      <c r="D643" s="142" t="s">
        <v>838</v>
      </c>
      <c r="E643" s="160" t="s">
        <v>660</v>
      </c>
      <c r="F643" s="141"/>
      <c r="G643" s="208">
        <f>SUM(G644)+G650</f>
        <v>37607.899999999994</v>
      </c>
      <c r="H643" s="208">
        <f>SUM(H644)+H650</f>
        <v>37397.399999999994</v>
      </c>
      <c r="I643" s="20">
        <f t="shared" si="21"/>
        <v>99.440277175806145</v>
      </c>
      <c r="K643" s="229"/>
    </row>
    <row r="644" spans="1:11" ht="20.25" customHeight="1">
      <c r="A644" s="95" t="s">
        <v>460</v>
      </c>
      <c r="B644" s="150"/>
      <c r="C644" s="142" t="s">
        <v>180</v>
      </c>
      <c r="D644" s="142" t="s">
        <v>838</v>
      </c>
      <c r="E644" s="142" t="s">
        <v>571</v>
      </c>
      <c r="F644" s="140"/>
      <c r="G644" s="81">
        <f>SUM(G645)</f>
        <v>5944.2</v>
      </c>
      <c r="H644" s="81">
        <f>SUM(H645)</f>
        <v>5733.7</v>
      </c>
      <c r="I644" s="20">
        <f t="shared" si="21"/>
        <v>96.458732882473669</v>
      </c>
      <c r="K644" s="229"/>
    </row>
    <row r="645" spans="1:11" ht="16.5" customHeight="1">
      <c r="A645" s="97" t="s">
        <v>558</v>
      </c>
      <c r="B645" s="150"/>
      <c r="C645" s="142" t="s">
        <v>180</v>
      </c>
      <c r="D645" s="142" t="s">
        <v>838</v>
      </c>
      <c r="E645" s="142" t="s">
        <v>559</v>
      </c>
      <c r="F645" s="140"/>
      <c r="G645" s="81">
        <f>SUM(G646)</f>
        <v>5944.2</v>
      </c>
      <c r="H645" s="81">
        <f>SUM(H646)</f>
        <v>5733.7</v>
      </c>
      <c r="I645" s="20">
        <f t="shared" si="21"/>
        <v>96.458732882473669</v>
      </c>
      <c r="K645" s="229"/>
    </row>
    <row r="646" spans="1:11" ht="20.25" customHeight="1">
      <c r="A646" s="97" t="s">
        <v>49</v>
      </c>
      <c r="B646" s="150"/>
      <c r="C646" s="142" t="s">
        <v>180</v>
      </c>
      <c r="D646" s="142" t="s">
        <v>838</v>
      </c>
      <c r="E646" s="142" t="s">
        <v>559</v>
      </c>
      <c r="F646" s="140" t="s">
        <v>498</v>
      </c>
      <c r="G646" s="81">
        <v>5944.2</v>
      </c>
      <c r="H646" s="81">
        <v>5733.7</v>
      </c>
      <c r="I646" s="20">
        <f t="shared" si="21"/>
        <v>96.458732882473669</v>
      </c>
      <c r="J646" s="225">
        <f>SUM(ведомствен.2013!G1390)</f>
        <v>5944.2</v>
      </c>
      <c r="K646" s="229">
        <f t="shared" si="22"/>
        <v>0</v>
      </c>
    </row>
    <row r="647" spans="1:11" ht="28.5" hidden="1" customHeight="1">
      <c r="A647" s="97" t="s">
        <v>692</v>
      </c>
      <c r="B647" s="109"/>
      <c r="C647" s="142" t="s">
        <v>180</v>
      </c>
      <c r="D647" s="142" t="s">
        <v>838</v>
      </c>
      <c r="E647" s="142" t="s">
        <v>433</v>
      </c>
      <c r="F647" s="141"/>
      <c r="G647" s="30">
        <f t="shared" ref="G647:H648" si="23">SUM(G648)</f>
        <v>0</v>
      </c>
      <c r="H647" s="30">
        <f t="shared" si="23"/>
        <v>0</v>
      </c>
      <c r="I647" s="20" t="e">
        <f t="shared" si="21"/>
        <v>#DIV/0!</v>
      </c>
      <c r="K647" s="229">
        <f t="shared" si="22"/>
        <v>0</v>
      </c>
    </row>
    <row r="648" spans="1:11" ht="28.5" hidden="1" customHeight="1">
      <c r="A648" s="97" t="s">
        <v>1011</v>
      </c>
      <c r="B648" s="109"/>
      <c r="C648" s="142" t="s">
        <v>180</v>
      </c>
      <c r="D648" s="142" t="s">
        <v>838</v>
      </c>
      <c r="E648" s="142" t="s">
        <v>434</v>
      </c>
      <c r="F648" s="141"/>
      <c r="G648" s="30">
        <f t="shared" si="23"/>
        <v>0</v>
      </c>
      <c r="H648" s="30">
        <f t="shared" si="23"/>
        <v>0</v>
      </c>
      <c r="I648" s="20" t="e">
        <f t="shared" si="21"/>
        <v>#DIV/0!</v>
      </c>
      <c r="K648" s="229">
        <f t="shared" si="22"/>
        <v>0</v>
      </c>
    </row>
    <row r="649" spans="1:11" ht="15" hidden="1" customHeight="1">
      <c r="A649" s="97" t="s">
        <v>497</v>
      </c>
      <c r="B649" s="109"/>
      <c r="C649" s="142" t="s">
        <v>180</v>
      </c>
      <c r="D649" s="142" t="s">
        <v>838</v>
      </c>
      <c r="E649" s="142" t="s">
        <v>434</v>
      </c>
      <c r="F649" s="141" t="s">
        <v>498</v>
      </c>
      <c r="G649" s="30"/>
      <c r="H649" s="30"/>
      <c r="I649" s="20" t="e">
        <f t="shared" si="21"/>
        <v>#DIV/0!</v>
      </c>
      <c r="K649" s="229">
        <f t="shared" si="22"/>
        <v>0</v>
      </c>
    </row>
    <row r="650" spans="1:11" s="131" customFormat="1" ht="15.75" customHeight="1">
      <c r="A650" s="94" t="s">
        <v>390</v>
      </c>
      <c r="B650" s="146"/>
      <c r="C650" s="142" t="s">
        <v>180</v>
      </c>
      <c r="D650" s="142" t="s">
        <v>838</v>
      </c>
      <c r="E650" s="142" t="s">
        <v>389</v>
      </c>
      <c r="F650" s="140"/>
      <c r="G650" s="30">
        <f>SUM(G651:G652)</f>
        <v>31663.699999999997</v>
      </c>
      <c r="H650" s="30">
        <f>SUM(H651:H652)</f>
        <v>31663.699999999997</v>
      </c>
      <c r="I650" s="20">
        <f t="shared" si="21"/>
        <v>100</v>
      </c>
      <c r="J650" s="238"/>
      <c r="K650" s="229">
        <f t="shared" si="22"/>
        <v>31663.699999999997</v>
      </c>
    </row>
    <row r="651" spans="1:11" s="36" customFormat="1" ht="15.75" customHeight="1">
      <c r="A651" s="97" t="s">
        <v>441</v>
      </c>
      <c r="B651" s="109"/>
      <c r="C651" s="142" t="s">
        <v>180</v>
      </c>
      <c r="D651" s="142" t="s">
        <v>838</v>
      </c>
      <c r="E651" s="142" t="s">
        <v>389</v>
      </c>
      <c r="F651" s="141" t="s">
        <v>442</v>
      </c>
      <c r="G651" s="30">
        <v>15784.8</v>
      </c>
      <c r="H651" s="30">
        <v>15784.8</v>
      </c>
      <c r="I651" s="20">
        <f t="shared" si="21"/>
        <v>100</v>
      </c>
      <c r="J651" s="239">
        <f>SUM(ведомствен.2013!G1392)</f>
        <v>15784.8</v>
      </c>
      <c r="K651" s="229">
        <f t="shared" si="22"/>
        <v>0</v>
      </c>
    </row>
    <row r="652" spans="1:11" s="36" customFormat="1" ht="23.25" customHeight="1">
      <c r="A652" s="94" t="s">
        <v>276</v>
      </c>
      <c r="B652" s="109"/>
      <c r="C652" s="142" t="s">
        <v>180</v>
      </c>
      <c r="D652" s="142" t="s">
        <v>838</v>
      </c>
      <c r="E652" s="142" t="s">
        <v>389</v>
      </c>
      <c r="F652" s="141" t="s">
        <v>132</v>
      </c>
      <c r="G652" s="30">
        <v>15878.9</v>
      </c>
      <c r="H652" s="30">
        <v>15878.9</v>
      </c>
      <c r="I652" s="20">
        <f t="shared" si="21"/>
        <v>100</v>
      </c>
      <c r="J652" s="239">
        <f>SUM(ведомствен.2013!G1393)</f>
        <v>15878.9</v>
      </c>
      <c r="K652" s="229">
        <f t="shared" si="22"/>
        <v>0</v>
      </c>
    </row>
    <row r="653" spans="1:11" ht="19.5" customHeight="1">
      <c r="A653" s="95" t="s">
        <v>663</v>
      </c>
      <c r="B653" s="142"/>
      <c r="C653" s="142" t="s">
        <v>180</v>
      </c>
      <c r="D653" s="142" t="s">
        <v>838</v>
      </c>
      <c r="E653" s="142" t="s">
        <v>435</v>
      </c>
      <c r="F653" s="140"/>
      <c r="G653" s="30">
        <f>SUM(G654+G657)</f>
        <v>11578.3</v>
      </c>
      <c r="H653" s="30">
        <f>SUM(H654+H657)</f>
        <v>9708.1999999999989</v>
      </c>
      <c r="I653" s="20">
        <f t="shared" si="21"/>
        <v>83.848233333045428</v>
      </c>
      <c r="K653" s="229"/>
    </row>
    <row r="654" spans="1:11" ht="21" customHeight="1">
      <c r="A654" s="119" t="s">
        <v>436</v>
      </c>
      <c r="B654" s="142"/>
      <c r="C654" s="142" t="s">
        <v>180</v>
      </c>
      <c r="D654" s="142" t="s">
        <v>838</v>
      </c>
      <c r="E654" s="142" t="s">
        <v>437</v>
      </c>
      <c r="F654" s="140"/>
      <c r="G654" s="30">
        <f>SUM(G655:G656)</f>
        <v>8733.5</v>
      </c>
      <c r="H654" s="30">
        <f>SUM(H655:H656)</f>
        <v>9053.5999999999985</v>
      </c>
      <c r="I654" s="20">
        <f t="shared" si="21"/>
        <v>103.6651972290605</v>
      </c>
      <c r="K654" s="229"/>
    </row>
    <row r="655" spans="1:11" ht="17.25" customHeight="1">
      <c r="A655" s="97" t="s">
        <v>497</v>
      </c>
      <c r="B655" s="142"/>
      <c r="C655" s="142" t="s">
        <v>180</v>
      </c>
      <c r="D655" s="142" t="s">
        <v>838</v>
      </c>
      <c r="E655" s="142" t="s">
        <v>437</v>
      </c>
      <c r="F655" s="140" t="s">
        <v>498</v>
      </c>
      <c r="G655" s="30">
        <v>5094.3</v>
      </c>
      <c r="H655" s="30">
        <v>5414.4</v>
      </c>
      <c r="I655" s="20">
        <f t="shared" si="21"/>
        <v>106.28349331605911</v>
      </c>
      <c r="J655" s="225">
        <f>SUM(ведомствен.2013!G1396)</f>
        <v>5094.3</v>
      </c>
      <c r="K655" s="229">
        <f t="shared" si="22"/>
        <v>0</v>
      </c>
    </row>
    <row r="656" spans="1:11" ht="21.75" customHeight="1">
      <c r="A656" s="94" t="s">
        <v>276</v>
      </c>
      <c r="B656" s="109"/>
      <c r="C656" s="142" t="s">
        <v>180</v>
      </c>
      <c r="D656" s="142" t="s">
        <v>838</v>
      </c>
      <c r="E656" s="142" t="s">
        <v>437</v>
      </c>
      <c r="F656" s="141" t="s">
        <v>132</v>
      </c>
      <c r="G656" s="81">
        <v>3639.2</v>
      </c>
      <c r="H656" s="81">
        <v>3639.2</v>
      </c>
      <c r="I656" s="20">
        <f t="shared" si="21"/>
        <v>100</v>
      </c>
      <c r="J656" s="225">
        <f>SUM(ведомствен.2013!G1397)</f>
        <v>3639.2</v>
      </c>
      <c r="K656" s="229">
        <f t="shared" si="22"/>
        <v>0</v>
      </c>
    </row>
    <row r="657" spans="1:11" ht="33.75" customHeight="1">
      <c r="A657" s="119" t="s">
        <v>438</v>
      </c>
      <c r="B657" s="142"/>
      <c r="C657" s="142" t="s">
        <v>180</v>
      </c>
      <c r="D657" s="142" t="s">
        <v>838</v>
      </c>
      <c r="E657" s="142" t="s">
        <v>439</v>
      </c>
      <c r="F657" s="140"/>
      <c r="G657" s="30">
        <f>SUM(G658:G659)</f>
        <v>2844.8</v>
      </c>
      <c r="H657" s="30">
        <f>SUM(H658:H659)</f>
        <v>654.6</v>
      </c>
      <c r="I657" s="20">
        <f t="shared" si="21"/>
        <v>23.010404949381329</v>
      </c>
      <c r="K657" s="229">
        <f t="shared" si="22"/>
        <v>2844.8</v>
      </c>
    </row>
    <row r="658" spans="1:11" ht="25.5" customHeight="1">
      <c r="A658" s="97" t="s">
        <v>49</v>
      </c>
      <c r="B658" s="142"/>
      <c r="C658" s="142" t="s">
        <v>180</v>
      </c>
      <c r="D658" s="142" t="s">
        <v>838</v>
      </c>
      <c r="E658" s="142" t="s">
        <v>439</v>
      </c>
      <c r="F658" s="140" t="s">
        <v>498</v>
      </c>
      <c r="G658" s="30">
        <v>1294.5999999999999</v>
      </c>
      <c r="H658" s="30"/>
      <c r="I658" s="20">
        <f t="shared" si="21"/>
        <v>0</v>
      </c>
      <c r="J658" s="237">
        <f>SUM(ведомствен.2013!G1399)</f>
        <v>1294.5999999999999</v>
      </c>
      <c r="K658" s="229">
        <f t="shared" si="22"/>
        <v>0</v>
      </c>
    </row>
    <row r="659" spans="1:11" ht="19.5" customHeight="1">
      <c r="A659" s="94" t="s">
        <v>276</v>
      </c>
      <c r="B659" s="109"/>
      <c r="C659" s="142" t="s">
        <v>180</v>
      </c>
      <c r="D659" s="142" t="s">
        <v>838</v>
      </c>
      <c r="E659" s="142" t="s">
        <v>439</v>
      </c>
      <c r="F659" s="141" t="s">
        <v>132</v>
      </c>
      <c r="G659" s="30">
        <v>1550.2</v>
      </c>
      <c r="H659" s="30">
        <v>654.6</v>
      </c>
      <c r="I659" s="20">
        <f t="shared" si="21"/>
        <v>42.22680944394272</v>
      </c>
      <c r="J659" s="237">
        <f>SUM(ведомствен.2013!G1400)</f>
        <v>1550.2</v>
      </c>
      <c r="K659" s="229">
        <f t="shared" si="22"/>
        <v>0</v>
      </c>
    </row>
    <row r="660" spans="1:11" s="110" customFormat="1" ht="23.25" customHeight="1">
      <c r="A660" s="94" t="s">
        <v>932</v>
      </c>
      <c r="B660" s="109"/>
      <c r="C660" s="142" t="s">
        <v>180</v>
      </c>
      <c r="D660" s="142" t="s">
        <v>838</v>
      </c>
      <c r="E660" s="142" t="s">
        <v>933</v>
      </c>
      <c r="F660" s="141"/>
      <c r="G660" s="81">
        <f>SUM(G661)</f>
        <v>2600</v>
      </c>
      <c r="H660" s="81">
        <f>SUM(H661)</f>
        <v>3019.3</v>
      </c>
      <c r="I660" s="20">
        <f t="shared" si="21"/>
        <v>116.12692307692309</v>
      </c>
    </row>
    <row r="661" spans="1:11" s="110" customFormat="1" ht="30.75" customHeight="1">
      <c r="A661" s="94" t="s">
        <v>1129</v>
      </c>
      <c r="B661" s="109"/>
      <c r="C661" s="142" t="s">
        <v>180</v>
      </c>
      <c r="D661" s="142" t="s">
        <v>838</v>
      </c>
      <c r="E661" s="142" t="s">
        <v>1130</v>
      </c>
      <c r="F661" s="141"/>
      <c r="G661" s="81">
        <f>SUM(G662:G663)</f>
        <v>2600</v>
      </c>
      <c r="H661" s="81">
        <f>SUM(H662:H663)</f>
        <v>3019.3</v>
      </c>
      <c r="I661" s="20">
        <f t="shared" si="21"/>
        <v>116.12692307692309</v>
      </c>
    </row>
    <row r="662" spans="1:11" s="110" customFormat="1" ht="30.75" customHeight="1">
      <c r="A662" s="97" t="s">
        <v>49</v>
      </c>
      <c r="B662" s="142"/>
      <c r="C662" s="142" t="s">
        <v>180</v>
      </c>
      <c r="D662" s="142" t="s">
        <v>838</v>
      </c>
      <c r="E662" s="142" t="s">
        <v>1130</v>
      </c>
      <c r="F662" s="140" t="s">
        <v>498</v>
      </c>
      <c r="G662" s="30"/>
      <c r="H662" s="30">
        <v>279.5</v>
      </c>
      <c r="I662" s="20"/>
    </row>
    <row r="663" spans="1:11" s="110" customFormat="1" ht="23.25" customHeight="1">
      <c r="A663" s="94" t="s">
        <v>276</v>
      </c>
      <c r="B663" s="109"/>
      <c r="C663" s="142" t="s">
        <v>180</v>
      </c>
      <c r="D663" s="142" t="s">
        <v>838</v>
      </c>
      <c r="E663" s="142" t="s">
        <v>1130</v>
      </c>
      <c r="F663" s="141" t="s">
        <v>132</v>
      </c>
      <c r="G663" s="81">
        <v>2600</v>
      </c>
      <c r="H663" s="81">
        <v>2739.8</v>
      </c>
      <c r="I663" s="20">
        <f t="shared" si="21"/>
        <v>105.37692307692308</v>
      </c>
      <c r="J663" s="307">
        <f>SUM(ведомствен.2013!G1404)</f>
        <v>2600</v>
      </c>
    </row>
    <row r="664" spans="1:11" ht="17.25" customHeight="1">
      <c r="A664" s="97" t="s">
        <v>200</v>
      </c>
      <c r="B664" s="169"/>
      <c r="C664" s="154" t="s">
        <v>180</v>
      </c>
      <c r="D664" s="154" t="s">
        <v>838</v>
      </c>
      <c r="E664" s="154" t="s">
        <v>201</v>
      </c>
      <c r="F664" s="144"/>
      <c r="G664" s="30">
        <f>SUM(G665)+G668</f>
        <v>7124.2000000000007</v>
      </c>
      <c r="H664" s="30">
        <f>SUM(H665)+H668</f>
        <v>7009.3</v>
      </c>
      <c r="I664" s="20">
        <f t="shared" si="21"/>
        <v>98.387187333314614</v>
      </c>
      <c r="K664" s="229"/>
    </row>
    <row r="665" spans="1:11" ht="42.75" hidden="1" customHeight="1">
      <c r="A665" s="94" t="s">
        <v>386</v>
      </c>
      <c r="B665" s="169"/>
      <c r="C665" s="154" t="s">
        <v>180</v>
      </c>
      <c r="D665" s="154" t="s">
        <v>838</v>
      </c>
      <c r="E665" s="154" t="s">
        <v>597</v>
      </c>
      <c r="F665" s="144"/>
      <c r="G665" s="30">
        <f>SUM(G667)+G666</f>
        <v>0</v>
      </c>
      <c r="H665" s="30">
        <f>SUM(H667)+H666</f>
        <v>0</v>
      </c>
      <c r="I665" s="20" t="e">
        <f t="shared" si="21"/>
        <v>#DIV/0!</v>
      </c>
      <c r="K665" s="229"/>
    </row>
    <row r="666" spans="1:11" ht="15" hidden="1" customHeight="1">
      <c r="A666" s="97" t="s">
        <v>49</v>
      </c>
      <c r="B666" s="168"/>
      <c r="C666" s="142" t="s">
        <v>180</v>
      </c>
      <c r="D666" s="142" t="s">
        <v>838</v>
      </c>
      <c r="E666" s="142" t="s">
        <v>597</v>
      </c>
      <c r="F666" s="141" t="s">
        <v>498</v>
      </c>
      <c r="G666" s="30"/>
      <c r="H666" s="30"/>
      <c r="I666" s="20" t="e">
        <f t="shared" si="21"/>
        <v>#DIV/0!</v>
      </c>
      <c r="J666" s="225">
        <f>SUM(ведомствен.2013!G1407)</f>
        <v>0</v>
      </c>
      <c r="K666" s="229"/>
    </row>
    <row r="667" spans="1:11" ht="15" hidden="1" customHeight="1">
      <c r="A667" s="97" t="s">
        <v>231</v>
      </c>
      <c r="B667" s="169"/>
      <c r="C667" s="154" t="s">
        <v>180</v>
      </c>
      <c r="D667" s="154" t="s">
        <v>838</v>
      </c>
      <c r="E667" s="154" t="s">
        <v>597</v>
      </c>
      <c r="F667" s="144" t="s">
        <v>132</v>
      </c>
      <c r="G667" s="30"/>
      <c r="H667" s="30"/>
      <c r="I667" s="20" t="e">
        <f t="shared" si="21"/>
        <v>#DIV/0!</v>
      </c>
      <c r="J667" s="225">
        <f>SUM(ведомствен.2013!G1153+ведомствен.2013!G1408)</f>
        <v>0</v>
      </c>
      <c r="K667" s="229"/>
    </row>
    <row r="668" spans="1:11" ht="20.25" customHeight="1">
      <c r="A668" s="98" t="s">
        <v>891</v>
      </c>
      <c r="B668" s="138"/>
      <c r="C668" s="142" t="s">
        <v>180</v>
      </c>
      <c r="D668" s="142" t="s">
        <v>838</v>
      </c>
      <c r="E668" s="142" t="s">
        <v>700</v>
      </c>
      <c r="F668" s="141"/>
      <c r="G668" s="204">
        <f>SUM(G669)+G670</f>
        <v>7124.2000000000007</v>
      </c>
      <c r="H668" s="204">
        <f>SUM(H669)+H670</f>
        <v>7009.3</v>
      </c>
      <c r="I668" s="20">
        <f t="shared" si="21"/>
        <v>98.387187333314614</v>
      </c>
      <c r="K668" s="229"/>
    </row>
    <row r="669" spans="1:11" ht="20.25" customHeight="1">
      <c r="A669" s="97" t="s">
        <v>441</v>
      </c>
      <c r="B669" s="138"/>
      <c r="C669" s="142" t="s">
        <v>180</v>
      </c>
      <c r="D669" s="142" t="s">
        <v>838</v>
      </c>
      <c r="E669" s="142" t="s">
        <v>700</v>
      </c>
      <c r="F669" s="141" t="s">
        <v>442</v>
      </c>
      <c r="G669" s="204">
        <v>4371.6000000000004</v>
      </c>
      <c r="H669" s="204">
        <v>4371.6000000000004</v>
      </c>
      <c r="I669" s="20">
        <f t="shared" si="21"/>
        <v>100</v>
      </c>
      <c r="J669" s="225">
        <f>SUM(ведомствен.2013!G1410)</f>
        <v>4371.6000000000004</v>
      </c>
      <c r="K669" s="229">
        <f t="shared" si="22"/>
        <v>0</v>
      </c>
    </row>
    <row r="670" spans="1:11" ht="20.25" customHeight="1">
      <c r="A670" s="94" t="s">
        <v>276</v>
      </c>
      <c r="B670" s="109"/>
      <c r="C670" s="142" t="s">
        <v>180</v>
      </c>
      <c r="D670" s="142" t="s">
        <v>838</v>
      </c>
      <c r="E670" s="142" t="s">
        <v>700</v>
      </c>
      <c r="F670" s="141" t="s">
        <v>132</v>
      </c>
      <c r="G670" s="30">
        <v>2752.6</v>
      </c>
      <c r="H670" s="30">
        <v>2637.7</v>
      </c>
      <c r="I670" s="20">
        <f t="shared" si="21"/>
        <v>95.825764731526547</v>
      </c>
      <c r="J670" s="225">
        <f>SUM(ведомствен.2013!G1411)</f>
        <v>2752.6</v>
      </c>
      <c r="K670" s="229">
        <f t="shared" si="22"/>
        <v>0</v>
      </c>
    </row>
    <row r="671" spans="1:11" ht="15">
      <c r="A671" s="95" t="s">
        <v>181</v>
      </c>
      <c r="B671" s="138"/>
      <c r="C671" s="138" t="s">
        <v>180</v>
      </c>
      <c r="D671" s="138" t="s">
        <v>180</v>
      </c>
      <c r="E671" s="138"/>
      <c r="F671" s="139"/>
      <c r="G671" s="30">
        <f>SUM(G676+G686+G697+G672+G701)</f>
        <v>41190.6</v>
      </c>
      <c r="H671" s="30">
        <f>SUM(H676+H686+H697+H672+H701)</f>
        <v>40973.100000000006</v>
      </c>
      <c r="I671" s="20">
        <f t="shared" si="21"/>
        <v>99.471966905070602</v>
      </c>
      <c r="K671" s="225">
        <f>SUM(J676:J708)</f>
        <v>41190.6</v>
      </c>
    </row>
    <row r="672" spans="1:11" ht="15" hidden="1">
      <c r="A672" s="95" t="s">
        <v>748</v>
      </c>
      <c r="B672" s="138"/>
      <c r="C672" s="138" t="s">
        <v>180</v>
      </c>
      <c r="D672" s="138" t="s">
        <v>180</v>
      </c>
      <c r="E672" s="138" t="s">
        <v>750</v>
      </c>
      <c r="F672" s="139"/>
      <c r="G672" s="30">
        <f>SUM(G673)</f>
        <v>0</v>
      </c>
      <c r="H672" s="30">
        <f>SUM(H673)</f>
        <v>0</v>
      </c>
      <c r="I672" s="20" t="e">
        <f t="shared" si="21"/>
        <v>#DIV/0!</v>
      </c>
    </row>
    <row r="673" spans="1:11" ht="15" hidden="1">
      <c r="A673" s="95" t="s">
        <v>728</v>
      </c>
      <c r="B673" s="138"/>
      <c r="C673" s="138" t="s">
        <v>180</v>
      </c>
      <c r="D673" s="138" t="s">
        <v>180</v>
      </c>
      <c r="E673" s="138" t="s">
        <v>729</v>
      </c>
      <c r="F673" s="139"/>
      <c r="G673" s="30">
        <f>SUM(G674+G675)</f>
        <v>0</v>
      </c>
      <c r="H673" s="30">
        <f>SUM(H674+H675)</f>
        <v>0</v>
      </c>
      <c r="I673" s="20" t="e">
        <f t="shared" si="21"/>
        <v>#DIV/0!</v>
      </c>
    </row>
    <row r="674" spans="1:11" ht="15" hidden="1">
      <c r="A674" s="97" t="s">
        <v>497</v>
      </c>
      <c r="B674" s="142"/>
      <c r="C674" s="138" t="s">
        <v>180</v>
      </c>
      <c r="D674" s="138" t="s">
        <v>180</v>
      </c>
      <c r="E674" s="138" t="s">
        <v>729</v>
      </c>
      <c r="F674" s="140" t="s">
        <v>498</v>
      </c>
      <c r="G674" s="30"/>
      <c r="H674" s="30"/>
      <c r="I674" s="20" t="e">
        <f t="shared" si="21"/>
        <v>#DIV/0!</v>
      </c>
    </row>
    <row r="675" spans="1:11" ht="15" hidden="1" customHeight="1">
      <c r="A675" s="97" t="s">
        <v>441</v>
      </c>
      <c r="B675" s="142"/>
      <c r="C675" s="138" t="s">
        <v>180</v>
      </c>
      <c r="D675" s="138" t="s">
        <v>180</v>
      </c>
      <c r="E675" s="138" t="s">
        <v>729</v>
      </c>
      <c r="F675" s="140" t="s">
        <v>442</v>
      </c>
      <c r="G675" s="30"/>
      <c r="H675" s="30"/>
      <c r="I675" s="20" t="e">
        <f t="shared" si="21"/>
        <v>#DIV/0!</v>
      </c>
    </row>
    <row r="676" spans="1:11" ht="15">
      <c r="A676" s="94" t="s">
        <v>443</v>
      </c>
      <c r="B676" s="142"/>
      <c r="C676" s="142" t="s">
        <v>180</v>
      </c>
      <c r="D676" s="142" t="s">
        <v>180</v>
      </c>
      <c r="E676" s="142" t="s">
        <v>444</v>
      </c>
      <c r="F676" s="140"/>
      <c r="G676" s="30">
        <f>SUM(G677+G684+G682)</f>
        <v>2272.1</v>
      </c>
      <c r="H676" s="30">
        <f>SUM(H677+H684+H682)</f>
        <v>2270.3000000000002</v>
      </c>
      <c r="I676" s="20">
        <f t="shared" si="21"/>
        <v>99.920778134765214</v>
      </c>
      <c r="K676" s="84">
        <f>SUM(G671-K671)</f>
        <v>0</v>
      </c>
    </row>
    <row r="677" spans="1:11" ht="35.25" customHeight="1">
      <c r="A677" s="94" t="s">
        <v>1009</v>
      </c>
      <c r="B677" s="142"/>
      <c r="C677" s="142" t="s">
        <v>180</v>
      </c>
      <c r="D677" s="142" t="s">
        <v>180</v>
      </c>
      <c r="E677" s="142" t="s">
        <v>399</v>
      </c>
      <c r="F677" s="140"/>
      <c r="G677" s="30">
        <f>SUM(G678)</f>
        <v>443.3</v>
      </c>
      <c r="H677" s="30">
        <f>SUM(H678)</f>
        <v>443.3</v>
      </c>
      <c r="I677" s="20">
        <f t="shared" si="21"/>
        <v>100</v>
      </c>
    </row>
    <row r="678" spans="1:11" ht="18" customHeight="1">
      <c r="A678" s="97" t="s">
        <v>49</v>
      </c>
      <c r="B678" s="142"/>
      <c r="C678" s="142" t="s">
        <v>180</v>
      </c>
      <c r="D678" s="142" t="s">
        <v>180</v>
      </c>
      <c r="E678" s="142" t="s">
        <v>399</v>
      </c>
      <c r="F678" s="140" t="s">
        <v>498</v>
      </c>
      <c r="G678" s="30">
        <v>443.3</v>
      </c>
      <c r="H678" s="30">
        <v>443.3</v>
      </c>
      <c r="I678" s="20">
        <f t="shared" si="21"/>
        <v>100</v>
      </c>
      <c r="J678" s="225">
        <f>SUM(ведомствен.2013!G1419)</f>
        <v>443.3</v>
      </c>
      <c r="K678" s="229">
        <f t="shared" ref="K678" si="24">SUM(G678-J678)</f>
        <v>0</v>
      </c>
    </row>
    <row r="679" spans="1:11" ht="15" hidden="1" customHeight="1">
      <c r="A679" s="95" t="s">
        <v>164</v>
      </c>
      <c r="B679" s="138"/>
      <c r="C679" s="142" t="s">
        <v>180</v>
      </c>
      <c r="D679" s="142" t="s">
        <v>180</v>
      </c>
      <c r="E679" s="142" t="s">
        <v>446</v>
      </c>
      <c r="F679" s="139" t="s">
        <v>165</v>
      </c>
      <c r="G679" s="30"/>
      <c r="H679" s="30"/>
      <c r="I679" s="20" t="e">
        <f t="shared" si="21"/>
        <v>#DIV/0!</v>
      </c>
    </row>
    <row r="680" spans="1:11" ht="15" hidden="1" customHeight="1">
      <c r="A680" s="95" t="s">
        <v>495</v>
      </c>
      <c r="B680" s="142"/>
      <c r="C680" s="142" t="s">
        <v>180</v>
      </c>
      <c r="D680" s="142" t="s">
        <v>180</v>
      </c>
      <c r="E680" s="142" t="s">
        <v>447</v>
      </c>
      <c r="F680" s="140"/>
      <c r="G680" s="30">
        <f>SUM(G681)</f>
        <v>0</v>
      </c>
      <c r="H680" s="30">
        <f>SUM(H681)</f>
        <v>0</v>
      </c>
      <c r="I680" s="20" t="e">
        <f t="shared" si="21"/>
        <v>#DIV/0!</v>
      </c>
    </row>
    <row r="681" spans="1:11" ht="15" hidden="1" customHeight="1">
      <c r="A681" s="97" t="s">
        <v>497</v>
      </c>
      <c r="B681" s="142"/>
      <c r="C681" s="142" t="s">
        <v>180</v>
      </c>
      <c r="D681" s="142" t="s">
        <v>180</v>
      </c>
      <c r="E681" s="142" t="s">
        <v>447</v>
      </c>
      <c r="F681" s="140" t="s">
        <v>498</v>
      </c>
      <c r="G681" s="30"/>
      <c r="H681" s="30"/>
      <c r="I681" s="20" t="e">
        <f t="shared" si="21"/>
        <v>#DIV/0!</v>
      </c>
    </row>
    <row r="682" spans="1:11" ht="42.75" hidden="1" customHeight="1">
      <c r="A682" s="97" t="s">
        <v>448</v>
      </c>
      <c r="B682" s="142"/>
      <c r="C682" s="142" t="s">
        <v>180</v>
      </c>
      <c r="D682" s="142" t="s">
        <v>180</v>
      </c>
      <c r="E682" s="142" t="s">
        <v>449</v>
      </c>
      <c r="F682" s="140"/>
      <c r="G682" s="30">
        <f>SUM(G683)</f>
        <v>0</v>
      </c>
      <c r="H682" s="30">
        <f>SUM(H683)</f>
        <v>0</v>
      </c>
      <c r="I682" s="20" t="e">
        <f t="shared" si="21"/>
        <v>#DIV/0!</v>
      </c>
    </row>
    <row r="683" spans="1:11" ht="15" hidden="1" customHeight="1">
      <c r="A683" s="97" t="s">
        <v>497</v>
      </c>
      <c r="B683" s="142"/>
      <c r="C683" s="142" t="s">
        <v>180</v>
      </c>
      <c r="D683" s="142" t="s">
        <v>180</v>
      </c>
      <c r="E683" s="142" t="s">
        <v>449</v>
      </c>
      <c r="F683" s="140" t="s">
        <v>498</v>
      </c>
      <c r="G683" s="30">
        <v>0</v>
      </c>
      <c r="H683" s="30">
        <v>0</v>
      </c>
      <c r="I683" s="20" t="e">
        <f t="shared" si="21"/>
        <v>#DIV/0!</v>
      </c>
      <c r="J683" s="225">
        <f>SUM(ведомствен.2013!G1165)</f>
        <v>0</v>
      </c>
    </row>
    <row r="684" spans="1:11" ht="35.25" customHeight="1">
      <c r="A684" s="95" t="s">
        <v>48</v>
      </c>
      <c r="B684" s="142"/>
      <c r="C684" s="142" t="s">
        <v>180</v>
      </c>
      <c r="D684" s="142" t="s">
        <v>180</v>
      </c>
      <c r="E684" s="142" t="s">
        <v>450</v>
      </c>
      <c r="F684" s="140"/>
      <c r="G684" s="30">
        <f>SUM(G685)</f>
        <v>1828.8</v>
      </c>
      <c r="H684" s="30">
        <f>SUM(H685)</f>
        <v>1827</v>
      </c>
      <c r="I684" s="20">
        <f t="shared" si="21"/>
        <v>99.9015748031496</v>
      </c>
    </row>
    <row r="685" spans="1:11" ht="18.75" customHeight="1">
      <c r="A685" s="97" t="s">
        <v>49</v>
      </c>
      <c r="B685" s="142"/>
      <c r="C685" s="142" t="s">
        <v>180</v>
      </c>
      <c r="D685" s="142" t="s">
        <v>180</v>
      </c>
      <c r="E685" s="142" t="s">
        <v>450</v>
      </c>
      <c r="F685" s="140" t="s">
        <v>498</v>
      </c>
      <c r="G685" s="30">
        <v>1828.8</v>
      </c>
      <c r="H685" s="30">
        <v>1827</v>
      </c>
      <c r="I685" s="20">
        <f t="shared" si="21"/>
        <v>99.9015748031496</v>
      </c>
      <c r="J685" s="225">
        <f>SUM(ведомствен.2013!G1421)</f>
        <v>1828.8</v>
      </c>
      <c r="K685" s="229">
        <f t="shared" ref="K685" si="25">SUM(G685-J685)</f>
        <v>0</v>
      </c>
    </row>
    <row r="686" spans="1:11" ht="21.75" customHeight="1">
      <c r="A686" s="119" t="s">
        <v>451</v>
      </c>
      <c r="B686" s="138"/>
      <c r="C686" s="138" t="s">
        <v>180</v>
      </c>
      <c r="D686" s="138" t="s">
        <v>180</v>
      </c>
      <c r="E686" s="138" t="s">
        <v>183</v>
      </c>
      <c r="F686" s="139"/>
      <c r="G686" s="30">
        <f>SUM(G687)</f>
        <v>36880.400000000001</v>
      </c>
      <c r="H686" s="30">
        <f>SUM(H687)</f>
        <v>36693.800000000003</v>
      </c>
      <c r="I686" s="20">
        <f t="shared" si="21"/>
        <v>99.494040194791822</v>
      </c>
    </row>
    <row r="687" spans="1:11" ht="33.75" customHeight="1">
      <c r="A687" s="99" t="s">
        <v>146</v>
      </c>
      <c r="B687" s="142"/>
      <c r="C687" s="142" t="s">
        <v>180</v>
      </c>
      <c r="D687" s="142" t="s">
        <v>180</v>
      </c>
      <c r="E687" s="142" t="s">
        <v>147</v>
      </c>
      <c r="F687" s="140"/>
      <c r="G687" s="30">
        <f>SUM(G688)+G692+G695</f>
        <v>36880.400000000001</v>
      </c>
      <c r="H687" s="30">
        <f>SUM(H688)+H692+H695</f>
        <v>36693.800000000003</v>
      </c>
      <c r="I687" s="20">
        <f t="shared" si="21"/>
        <v>99.494040194791822</v>
      </c>
    </row>
    <row r="688" spans="1:11" ht="42.75">
      <c r="A688" s="99" t="s">
        <v>148</v>
      </c>
      <c r="B688" s="142"/>
      <c r="C688" s="142" t="s">
        <v>180</v>
      </c>
      <c r="D688" s="142" t="s">
        <v>180</v>
      </c>
      <c r="E688" s="142" t="s">
        <v>149</v>
      </c>
      <c r="F688" s="140"/>
      <c r="G688" s="30">
        <f>SUM(G689:G691)</f>
        <v>3399.8999999999996</v>
      </c>
      <c r="H688" s="30">
        <f>SUM(H689:H691)</f>
        <v>3214.1</v>
      </c>
      <c r="I688" s="20">
        <f t="shared" si="21"/>
        <v>94.535133386276073</v>
      </c>
    </row>
    <row r="689" spans="1:11" ht="15.75" customHeight="1">
      <c r="A689" s="97" t="s">
        <v>49</v>
      </c>
      <c r="B689" s="142"/>
      <c r="C689" s="142" t="s">
        <v>180</v>
      </c>
      <c r="D689" s="142" t="s">
        <v>180</v>
      </c>
      <c r="E689" s="142" t="s">
        <v>149</v>
      </c>
      <c r="F689" s="140" t="s">
        <v>498</v>
      </c>
      <c r="G689" s="30">
        <v>2046.6</v>
      </c>
      <c r="H689" s="30">
        <v>1860.8</v>
      </c>
      <c r="I689" s="20">
        <f t="shared" si="21"/>
        <v>90.921528388546861</v>
      </c>
      <c r="J689" s="225">
        <f>SUM(ведомствен.2013!G1431)+ведомствен.2013!G1528</f>
        <v>2046.6</v>
      </c>
      <c r="K689" s="229">
        <f t="shared" ref="K689:K691" si="26">SUM(G689-J689)</f>
        <v>0</v>
      </c>
    </row>
    <row r="690" spans="1:11" ht="15" hidden="1" customHeight="1">
      <c r="A690" s="95" t="s">
        <v>164</v>
      </c>
      <c r="B690" s="142"/>
      <c r="C690" s="142" t="s">
        <v>180</v>
      </c>
      <c r="D690" s="142" t="s">
        <v>180</v>
      </c>
      <c r="E690" s="142" t="s">
        <v>149</v>
      </c>
      <c r="F690" s="140" t="s">
        <v>165</v>
      </c>
      <c r="G690" s="30"/>
      <c r="H690" s="30"/>
      <c r="I690" s="20" t="e">
        <f t="shared" si="21"/>
        <v>#DIV/0!</v>
      </c>
      <c r="J690" s="225">
        <f>SUM(ведомствен.2013!G1171)</f>
        <v>0</v>
      </c>
    </row>
    <row r="691" spans="1:11" ht="28.5" customHeight="1">
      <c r="A691" s="97" t="s">
        <v>231</v>
      </c>
      <c r="B691" s="138"/>
      <c r="C691" s="138" t="s">
        <v>180</v>
      </c>
      <c r="D691" s="138" t="s">
        <v>180</v>
      </c>
      <c r="E691" s="138" t="s">
        <v>149</v>
      </c>
      <c r="F691" s="139" t="s">
        <v>132</v>
      </c>
      <c r="G691" s="30">
        <v>1353.3</v>
      </c>
      <c r="H691" s="30">
        <v>1353.3</v>
      </c>
      <c r="I691" s="20">
        <f t="shared" si="21"/>
        <v>100</v>
      </c>
      <c r="J691" s="225">
        <f>SUM(ведомствен.2013!G1529+ведомствен.2013!G1432)</f>
        <v>1353.3</v>
      </c>
      <c r="K691" s="229">
        <f t="shared" si="26"/>
        <v>0</v>
      </c>
    </row>
    <row r="692" spans="1:11" ht="66" customHeight="1">
      <c r="A692" s="97" t="s">
        <v>632</v>
      </c>
      <c r="B692" s="109"/>
      <c r="C692" s="138" t="s">
        <v>180</v>
      </c>
      <c r="D692" s="138" t="s">
        <v>180</v>
      </c>
      <c r="E692" s="142" t="s">
        <v>416</v>
      </c>
      <c r="F692" s="141"/>
      <c r="G692" s="30">
        <f>SUM(G693:G694)</f>
        <v>6964.6</v>
      </c>
      <c r="H692" s="30">
        <f>SUM(H693:H694)</f>
        <v>6963.7999999999993</v>
      </c>
      <c r="I692" s="20">
        <f t="shared" si="21"/>
        <v>99.988513338885198</v>
      </c>
    </row>
    <row r="693" spans="1:11" ht="20.25" customHeight="1">
      <c r="A693" s="97" t="s">
        <v>49</v>
      </c>
      <c r="B693" s="109"/>
      <c r="C693" s="138" t="s">
        <v>180</v>
      </c>
      <c r="D693" s="138" t="s">
        <v>180</v>
      </c>
      <c r="E693" s="142" t="s">
        <v>416</v>
      </c>
      <c r="F693" s="141" t="s">
        <v>498</v>
      </c>
      <c r="G693" s="30">
        <v>3468.5</v>
      </c>
      <c r="H693" s="30">
        <v>3467.7</v>
      </c>
      <c r="I693" s="20">
        <f t="shared" si="21"/>
        <v>99.976935274614391</v>
      </c>
      <c r="J693" s="225">
        <f>SUM(ведомствен.2013!G1434)</f>
        <v>3468.5</v>
      </c>
    </row>
    <row r="694" spans="1:11" ht="20.25" customHeight="1">
      <c r="A694" s="97" t="s">
        <v>231</v>
      </c>
      <c r="B694" s="109"/>
      <c r="C694" s="138" t="s">
        <v>180</v>
      </c>
      <c r="D694" s="138" t="s">
        <v>180</v>
      </c>
      <c r="E694" s="142" t="s">
        <v>416</v>
      </c>
      <c r="F694" s="141" t="s">
        <v>132</v>
      </c>
      <c r="G694" s="30">
        <v>3496.1</v>
      </c>
      <c r="H694" s="30">
        <v>3496.1</v>
      </c>
      <c r="I694" s="20">
        <f t="shared" si="21"/>
        <v>100</v>
      </c>
      <c r="J694" s="225">
        <f>SUM(ведомствен.2013!G1435)</f>
        <v>3496.1</v>
      </c>
    </row>
    <row r="695" spans="1:11" ht="49.5" customHeight="1">
      <c r="A695" s="97" t="s">
        <v>454</v>
      </c>
      <c r="B695" s="138"/>
      <c r="C695" s="142" t="s">
        <v>180</v>
      </c>
      <c r="D695" s="138" t="s">
        <v>180</v>
      </c>
      <c r="E695" s="142" t="s">
        <v>417</v>
      </c>
      <c r="F695" s="139"/>
      <c r="G695" s="30">
        <f>SUM(G696)</f>
        <v>26515.9</v>
      </c>
      <c r="H695" s="30">
        <f>SUM(H696)</f>
        <v>26515.9</v>
      </c>
      <c r="I695" s="20">
        <f t="shared" si="21"/>
        <v>100</v>
      </c>
    </row>
    <row r="696" spans="1:11" ht="48.75" customHeight="1">
      <c r="A696" s="97" t="s">
        <v>392</v>
      </c>
      <c r="B696" s="138"/>
      <c r="C696" s="142" t="s">
        <v>180</v>
      </c>
      <c r="D696" s="138" t="s">
        <v>180</v>
      </c>
      <c r="E696" s="142" t="s">
        <v>417</v>
      </c>
      <c r="F696" s="139" t="s">
        <v>391</v>
      </c>
      <c r="G696" s="30">
        <v>26515.9</v>
      </c>
      <c r="H696" s="30">
        <v>26515.9</v>
      </c>
      <c r="I696" s="20">
        <f t="shared" si="21"/>
        <v>100</v>
      </c>
      <c r="J696" s="225">
        <f>SUM(ведомствен.2013!G1437)</f>
        <v>26515.9</v>
      </c>
    </row>
    <row r="697" spans="1:11" ht="18.75" customHeight="1">
      <c r="A697" s="95" t="s">
        <v>932</v>
      </c>
      <c r="B697" s="109"/>
      <c r="C697" s="142" t="s">
        <v>180</v>
      </c>
      <c r="D697" s="142" t="s">
        <v>180</v>
      </c>
      <c r="E697" s="142" t="s">
        <v>933</v>
      </c>
      <c r="F697" s="141"/>
      <c r="G697" s="30">
        <f>SUM(G698)</f>
        <v>314.39999999999998</v>
      </c>
      <c r="H697" s="30">
        <f>SUM(H698)</f>
        <v>289.5</v>
      </c>
      <c r="I697" s="20">
        <f t="shared" si="21"/>
        <v>92.080152671755727</v>
      </c>
    </row>
    <row r="698" spans="1:11" ht="45.75" customHeight="1">
      <c r="A698" s="126" t="s">
        <v>400</v>
      </c>
      <c r="B698" s="154"/>
      <c r="C698" s="154" t="s">
        <v>180</v>
      </c>
      <c r="D698" s="154" t="s">
        <v>180</v>
      </c>
      <c r="E698" s="154" t="s">
        <v>401</v>
      </c>
      <c r="F698" s="144"/>
      <c r="G698" s="204">
        <f>SUM(G699)</f>
        <v>314.39999999999998</v>
      </c>
      <c r="H698" s="204">
        <f>SUM(H699)</f>
        <v>289.5</v>
      </c>
      <c r="I698" s="20">
        <f t="shared" si="21"/>
        <v>92.080152671755727</v>
      </c>
    </row>
    <row r="699" spans="1:11" ht="17.25" customHeight="1">
      <c r="A699" s="126" t="s">
        <v>441</v>
      </c>
      <c r="B699" s="154"/>
      <c r="C699" s="154" t="s">
        <v>180</v>
      </c>
      <c r="D699" s="154" t="s">
        <v>180</v>
      </c>
      <c r="E699" s="154" t="s">
        <v>401</v>
      </c>
      <c r="F699" s="144" t="s">
        <v>442</v>
      </c>
      <c r="G699" s="204">
        <v>314.39999999999998</v>
      </c>
      <c r="H699" s="204">
        <v>289.5</v>
      </c>
      <c r="I699" s="20">
        <f t="shared" ref="I699:I762" si="27">SUM(H699/G699*100)</f>
        <v>92.080152671755727</v>
      </c>
      <c r="J699" s="225">
        <f>SUM(ведомствен.2013!G1440)</f>
        <v>314.39999999999998</v>
      </c>
    </row>
    <row r="700" spans="1:11" ht="15" hidden="1" customHeight="1">
      <c r="A700" s="97" t="s">
        <v>456</v>
      </c>
      <c r="B700" s="138"/>
      <c r="C700" s="142" t="s">
        <v>180</v>
      </c>
      <c r="D700" s="138" t="s">
        <v>180</v>
      </c>
      <c r="E700" s="142" t="s">
        <v>455</v>
      </c>
      <c r="F700" s="139" t="s">
        <v>457</v>
      </c>
      <c r="G700" s="30"/>
      <c r="H700" s="30"/>
      <c r="I700" s="20" t="e">
        <f t="shared" si="27"/>
        <v>#DIV/0!</v>
      </c>
    </row>
    <row r="701" spans="1:11" ht="14.25" customHeight="1">
      <c r="A701" s="97" t="s">
        <v>200</v>
      </c>
      <c r="B701" s="168"/>
      <c r="C701" s="142" t="s">
        <v>180</v>
      </c>
      <c r="D701" s="142" t="s">
        <v>180</v>
      </c>
      <c r="E701" s="142" t="s">
        <v>201</v>
      </c>
      <c r="F701" s="141"/>
      <c r="G701" s="30">
        <f>SUM(G706)+G702+G704</f>
        <v>1723.6999999999998</v>
      </c>
      <c r="H701" s="30">
        <f>SUM(H706)+H702+H704</f>
        <v>1719.5</v>
      </c>
      <c r="I701" s="20">
        <f t="shared" si="27"/>
        <v>99.75633810987992</v>
      </c>
    </row>
    <row r="702" spans="1:11" ht="42.75" hidden="1" customHeight="1">
      <c r="A702" s="98" t="s">
        <v>386</v>
      </c>
      <c r="B702" s="168"/>
      <c r="C702" s="142" t="s">
        <v>180</v>
      </c>
      <c r="D702" s="142" t="s">
        <v>180</v>
      </c>
      <c r="E702" s="142" t="s">
        <v>597</v>
      </c>
      <c r="F702" s="141"/>
      <c r="G702" s="30">
        <f>SUM(G703)</f>
        <v>0</v>
      </c>
      <c r="H702" s="30">
        <f>SUM(H703)</f>
        <v>0</v>
      </c>
      <c r="I702" s="20" t="e">
        <f t="shared" si="27"/>
        <v>#DIV/0!</v>
      </c>
    </row>
    <row r="703" spans="1:11" ht="15" hidden="1" customHeight="1">
      <c r="A703" s="97" t="s">
        <v>49</v>
      </c>
      <c r="B703" s="168"/>
      <c r="C703" s="142" t="s">
        <v>180</v>
      </c>
      <c r="D703" s="142" t="s">
        <v>180</v>
      </c>
      <c r="E703" s="142" t="s">
        <v>597</v>
      </c>
      <c r="F703" s="141" t="s">
        <v>498</v>
      </c>
      <c r="G703" s="30"/>
      <c r="H703" s="30"/>
      <c r="I703" s="20" t="e">
        <f t="shared" si="27"/>
        <v>#DIV/0!</v>
      </c>
      <c r="J703" s="225">
        <f>SUM(ведомствен.2013!G1177)</f>
        <v>0</v>
      </c>
    </row>
    <row r="704" spans="1:11" ht="30" customHeight="1">
      <c r="A704" s="97" t="s">
        <v>909</v>
      </c>
      <c r="B704" s="168"/>
      <c r="C704" s="142" t="s">
        <v>180</v>
      </c>
      <c r="D704" s="142" t="s">
        <v>180</v>
      </c>
      <c r="E704" s="142" t="s">
        <v>156</v>
      </c>
      <c r="F704" s="141"/>
      <c r="G704" s="30">
        <f>SUM(G705)</f>
        <v>1323.8</v>
      </c>
      <c r="H704" s="30">
        <f>SUM(H705)</f>
        <v>1323.8</v>
      </c>
      <c r="I704" s="20">
        <f t="shared" si="27"/>
        <v>100</v>
      </c>
    </row>
    <row r="705" spans="1:11" ht="22.5" customHeight="1">
      <c r="A705" s="97" t="s">
        <v>441</v>
      </c>
      <c r="B705" s="168"/>
      <c r="C705" s="142" t="s">
        <v>180</v>
      </c>
      <c r="D705" s="142" t="s">
        <v>180</v>
      </c>
      <c r="E705" s="142" t="s">
        <v>156</v>
      </c>
      <c r="F705" s="141" t="s">
        <v>442</v>
      </c>
      <c r="G705" s="30">
        <v>1323.8</v>
      </c>
      <c r="H705" s="30">
        <v>1323.8</v>
      </c>
      <c r="I705" s="20">
        <f t="shared" si="27"/>
        <v>100</v>
      </c>
      <c r="J705" s="225">
        <f>SUM(ведомствен.2013!G1446)</f>
        <v>1323.8</v>
      </c>
    </row>
    <row r="706" spans="1:11" ht="42.75">
      <c r="A706" s="98" t="s">
        <v>708</v>
      </c>
      <c r="B706" s="168"/>
      <c r="C706" s="142" t="s">
        <v>180</v>
      </c>
      <c r="D706" s="142" t="s">
        <v>180</v>
      </c>
      <c r="E706" s="142" t="s">
        <v>707</v>
      </c>
      <c r="F706" s="141"/>
      <c r="G706" s="30">
        <f>SUM(G707+G708)</f>
        <v>399.9</v>
      </c>
      <c r="H706" s="30">
        <f>SUM(H707+H708)</f>
        <v>395.7</v>
      </c>
      <c r="I706" s="20">
        <f t="shared" si="27"/>
        <v>98.949737434358596</v>
      </c>
    </row>
    <row r="707" spans="1:11" ht="22.5" customHeight="1">
      <c r="A707" s="97" t="s">
        <v>441</v>
      </c>
      <c r="B707" s="168"/>
      <c r="C707" s="142" t="s">
        <v>180</v>
      </c>
      <c r="D707" s="142" t="s">
        <v>180</v>
      </c>
      <c r="E707" s="142" t="s">
        <v>707</v>
      </c>
      <c r="F707" s="141" t="s">
        <v>442</v>
      </c>
      <c r="G707" s="30">
        <v>196.7</v>
      </c>
      <c r="H707" s="30">
        <v>196.7</v>
      </c>
      <c r="I707" s="20">
        <f t="shared" si="27"/>
        <v>100</v>
      </c>
      <c r="J707" s="225">
        <f>SUM(ведомствен.2013!G810+ведомствен.2013!G1448+ведомствен.2013!G1532)</f>
        <v>196.7</v>
      </c>
    </row>
    <row r="708" spans="1:11" ht="27.75" customHeight="1">
      <c r="A708" s="94" t="s">
        <v>276</v>
      </c>
      <c r="B708" s="168"/>
      <c r="C708" s="142" t="s">
        <v>180</v>
      </c>
      <c r="D708" s="142" t="s">
        <v>180</v>
      </c>
      <c r="E708" s="142" t="s">
        <v>707</v>
      </c>
      <c r="F708" s="141" t="s">
        <v>132</v>
      </c>
      <c r="G708" s="30">
        <v>203.2</v>
      </c>
      <c r="H708" s="30">
        <v>199</v>
      </c>
      <c r="I708" s="20">
        <f t="shared" si="27"/>
        <v>97.933070866141733</v>
      </c>
      <c r="J708" s="225">
        <f>SUM(ведомствен.2013!G1607+ведомствен.2013!G1533+ведомствен.2013!G1182)</f>
        <v>203.2</v>
      </c>
    </row>
    <row r="709" spans="1:11" ht="14.25" customHeight="1">
      <c r="A709" s="95" t="s">
        <v>458</v>
      </c>
      <c r="B709" s="138"/>
      <c r="C709" s="142" t="s">
        <v>180</v>
      </c>
      <c r="D709" s="142" t="s">
        <v>603</v>
      </c>
      <c r="E709" s="142"/>
      <c r="F709" s="140"/>
      <c r="G709" s="30">
        <f>SUM(G713+G717+G724+G743+G710)+G740</f>
        <v>159320.69999999998</v>
      </c>
      <c r="H709" s="30">
        <f>SUM(H713+H717+H724+H743+H710)+H740</f>
        <v>159146.69999999998</v>
      </c>
      <c r="I709" s="20">
        <f t="shared" si="27"/>
        <v>99.89078631966845</v>
      </c>
      <c r="K709">
        <f>SUM(J713:J763)</f>
        <v>159320.69999999998</v>
      </c>
    </row>
    <row r="710" spans="1:11" s="25" customFormat="1" ht="28.5" hidden="1" customHeight="1">
      <c r="A710" s="94" t="s">
        <v>502</v>
      </c>
      <c r="B710" s="142"/>
      <c r="C710" s="142" t="s">
        <v>180</v>
      </c>
      <c r="D710" s="142" t="s">
        <v>603</v>
      </c>
      <c r="E710" s="142" t="s">
        <v>783</v>
      </c>
      <c r="F710" s="140"/>
      <c r="G710" s="30">
        <f>SUM(G711)</f>
        <v>0</v>
      </c>
      <c r="H710" s="30">
        <f>SUM(H711)</f>
        <v>0</v>
      </c>
      <c r="I710" s="20" t="e">
        <f t="shared" si="27"/>
        <v>#DIV/0!</v>
      </c>
      <c r="J710" s="229"/>
    </row>
    <row r="711" spans="1:11" s="25" customFormat="1" ht="28.5" hidden="1" customHeight="1">
      <c r="A711" s="94" t="s">
        <v>459</v>
      </c>
      <c r="B711" s="142"/>
      <c r="C711" s="142" t="s">
        <v>180</v>
      </c>
      <c r="D711" s="142" t="s">
        <v>603</v>
      </c>
      <c r="E711" s="142" t="s">
        <v>206</v>
      </c>
      <c r="F711" s="140"/>
      <c r="G711" s="30">
        <f>SUM(G712)</f>
        <v>0</v>
      </c>
      <c r="H711" s="30">
        <f>SUM(H712)</f>
        <v>0</v>
      </c>
      <c r="I711" s="20" t="e">
        <f t="shared" si="27"/>
        <v>#DIV/0!</v>
      </c>
      <c r="J711" s="229"/>
    </row>
    <row r="712" spans="1:11" s="25" customFormat="1" ht="15" hidden="1" customHeight="1">
      <c r="A712" s="94" t="s">
        <v>70</v>
      </c>
      <c r="B712" s="142"/>
      <c r="C712" s="142" t="s">
        <v>180</v>
      </c>
      <c r="D712" s="142" t="s">
        <v>603</v>
      </c>
      <c r="E712" s="142" t="s">
        <v>206</v>
      </c>
      <c r="F712" s="140" t="s">
        <v>208</v>
      </c>
      <c r="G712" s="30"/>
      <c r="H712" s="30"/>
      <c r="I712" s="20" t="e">
        <f t="shared" si="27"/>
        <v>#DIV/0!</v>
      </c>
      <c r="J712" s="229"/>
    </row>
    <row r="713" spans="1:11" ht="15" hidden="1">
      <c r="A713" s="114" t="s">
        <v>659</v>
      </c>
      <c r="B713" s="150"/>
      <c r="C713" s="142" t="s">
        <v>180</v>
      </c>
      <c r="D713" s="142" t="s">
        <v>603</v>
      </c>
      <c r="E713" s="142" t="s">
        <v>660</v>
      </c>
      <c r="F713" s="140"/>
      <c r="G713" s="30">
        <f t="shared" ref="G713:H715" si="28">SUM(G714)</f>
        <v>0</v>
      </c>
      <c r="H713" s="30">
        <f t="shared" si="28"/>
        <v>0</v>
      </c>
      <c r="I713" s="20" t="e">
        <f t="shared" si="27"/>
        <v>#DIV/0!</v>
      </c>
    </row>
    <row r="714" spans="1:11" ht="15" hidden="1" customHeight="1">
      <c r="A714" s="95" t="s">
        <v>460</v>
      </c>
      <c r="B714" s="150"/>
      <c r="C714" s="142" t="s">
        <v>180</v>
      </c>
      <c r="D714" s="142" t="s">
        <v>603</v>
      </c>
      <c r="E714" s="142" t="s">
        <v>571</v>
      </c>
      <c r="F714" s="140"/>
      <c r="G714" s="30">
        <f t="shared" si="28"/>
        <v>0</v>
      </c>
      <c r="H714" s="30">
        <f t="shared" si="28"/>
        <v>0</v>
      </c>
      <c r="I714" s="20" t="e">
        <f t="shared" si="27"/>
        <v>#DIV/0!</v>
      </c>
    </row>
    <row r="715" spans="1:11" ht="28.5" hidden="1" customHeight="1">
      <c r="A715" s="97" t="s">
        <v>558</v>
      </c>
      <c r="B715" s="150"/>
      <c r="C715" s="142" t="s">
        <v>180</v>
      </c>
      <c r="D715" s="142" t="s">
        <v>603</v>
      </c>
      <c r="E715" s="142" t="s">
        <v>559</v>
      </c>
      <c r="F715" s="140"/>
      <c r="G715" s="30">
        <f t="shared" si="28"/>
        <v>0</v>
      </c>
      <c r="H715" s="30">
        <f t="shared" si="28"/>
        <v>0</v>
      </c>
      <c r="I715" s="20" t="e">
        <f t="shared" si="27"/>
        <v>#DIV/0!</v>
      </c>
    </row>
    <row r="716" spans="1:11" ht="15" hidden="1" customHeight="1">
      <c r="A716" s="97" t="s">
        <v>49</v>
      </c>
      <c r="B716" s="150"/>
      <c r="C716" s="142" t="s">
        <v>180</v>
      </c>
      <c r="D716" s="142" t="s">
        <v>603</v>
      </c>
      <c r="E716" s="142" t="s">
        <v>559</v>
      </c>
      <c r="F716" s="140" t="s">
        <v>498</v>
      </c>
      <c r="G716" s="30"/>
      <c r="H716" s="30"/>
      <c r="I716" s="20" t="e">
        <f t="shared" si="27"/>
        <v>#DIV/0!</v>
      </c>
      <c r="J716" s="225">
        <f>SUM(ведомствен.2013!G1453)</f>
        <v>0</v>
      </c>
    </row>
    <row r="717" spans="1:11" ht="57">
      <c r="A717" s="119" t="s">
        <v>560</v>
      </c>
      <c r="B717" s="138"/>
      <c r="C717" s="142" t="s">
        <v>180</v>
      </c>
      <c r="D717" s="142" t="s">
        <v>603</v>
      </c>
      <c r="E717" s="142" t="s">
        <v>561</v>
      </c>
      <c r="F717" s="140"/>
      <c r="G717" s="30">
        <f>SUM(G718)</f>
        <v>36838.300000000003</v>
      </c>
      <c r="H717" s="30">
        <f>SUM(H718)</f>
        <v>36664.300000000003</v>
      </c>
      <c r="I717" s="20">
        <f t="shared" si="27"/>
        <v>99.527665500308103</v>
      </c>
      <c r="K717" s="84">
        <f>SUM(G709-K709)</f>
        <v>0</v>
      </c>
    </row>
    <row r="718" spans="1:11" ht="33" customHeight="1">
      <c r="A718" s="95" t="s">
        <v>48</v>
      </c>
      <c r="B718" s="150"/>
      <c r="C718" s="142" t="s">
        <v>180</v>
      </c>
      <c r="D718" s="142" t="s">
        <v>603</v>
      </c>
      <c r="E718" s="142" t="s">
        <v>562</v>
      </c>
      <c r="F718" s="140"/>
      <c r="G718" s="30">
        <f>SUM(G719+G720+G722)</f>
        <v>36838.300000000003</v>
      </c>
      <c r="H718" s="30">
        <f>SUM(H719+H720+H722)</f>
        <v>36664.300000000003</v>
      </c>
      <c r="I718" s="20">
        <f t="shared" si="27"/>
        <v>99.527665500308103</v>
      </c>
    </row>
    <row r="719" spans="1:11" ht="18" customHeight="1">
      <c r="A719" s="97" t="s">
        <v>49</v>
      </c>
      <c r="B719" s="150"/>
      <c r="C719" s="142" t="s">
        <v>180</v>
      </c>
      <c r="D719" s="142" t="s">
        <v>603</v>
      </c>
      <c r="E719" s="142" t="s">
        <v>562</v>
      </c>
      <c r="F719" s="140" t="s">
        <v>498</v>
      </c>
      <c r="G719" s="30">
        <v>36838.300000000003</v>
      </c>
      <c r="H719" s="30">
        <v>36664.300000000003</v>
      </c>
      <c r="I719" s="20">
        <f t="shared" si="27"/>
        <v>99.527665500308103</v>
      </c>
      <c r="J719" s="225">
        <f>SUM(ведомствен.2013!G1456)+ведомствен.2013!G814</f>
        <v>36838.300000000003</v>
      </c>
    </row>
    <row r="720" spans="1:11" ht="28.5" hidden="1" customHeight="1">
      <c r="A720" s="97" t="s">
        <v>526</v>
      </c>
      <c r="B720" s="150"/>
      <c r="C720" s="142" t="s">
        <v>180</v>
      </c>
      <c r="D720" s="142" t="s">
        <v>603</v>
      </c>
      <c r="E720" s="142" t="s">
        <v>563</v>
      </c>
      <c r="F720" s="140"/>
      <c r="G720" s="30">
        <f>SUM(G721)</f>
        <v>0</v>
      </c>
      <c r="H720" s="30">
        <f>SUM(H721)</f>
        <v>0</v>
      </c>
      <c r="I720" s="20" t="e">
        <f t="shared" si="27"/>
        <v>#DIV/0!</v>
      </c>
    </row>
    <row r="721" spans="1:10" ht="15" hidden="1" customHeight="1">
      <c r="A721" s="97" t="s">
        <v>49</v>
      </c>
      <c r="B721" s="150"/>
      <c r="C721" s="142" t="s">
        <v>180</v>
      </c>
      <c r="D721" s="142" t="s">
        <v>603</v>
      </c>
      <c r="E721" s="142" t="s">
        <v>563</v>
      </c>
      <c r="F721" s="140" t="s">
        <v>498</v>
      </c>
      <c r="G721" s="30"/>
      <c r="H721" s="30"/>
      <c r="I721" s="20" t="e">
        <f t="shared" si="27"/>
        <v>#DIV/0!</v>
      </c>
      <c r="J721" s="225">
        <f>SUM(ведомствен.2013!G1458)</f>
        <v>0</v>
      </c>
    </row>
    <row r="722" spans="1:10" ht="42.75" hidden="1" customHeight="1">
      <c r="A722" s="95" t="s">
        <v>1010</v>
      </c>
      <c r="B722" s="109"/>
      <c r="C722" s="142" t="s">
        <v>180</v>
      </c>
      <c r="D722" s="142" t="s">
        <v>603</v>
      </c>
      <c r="E722" s="142" t="s">
        <v>564</v>
      </c>
      <c r="F722" s="141"/>
      <c r="G722" s="30">
        <f>SUM(G723)</f>
        <v>0</v>
      </c>
      <c r="H722" s="30">
        <f>SUM(H723)</f>
        <v>0</v>
      </c>
      <c r="I722" s="20" t="e">
        <f t="shared" si="27"/>
        <v>#DIV/0!</v>
      </c>
    </row>
    <row r="723" spans="1:10" ht="15" hidden="1" customHeight="1">
      <c r="A723" s="97" t="s">
        <v>497</v>
      </c>
      <c r="B723" s="150"/>
      <c r="C723" s="142" t="s">
        <v>180</v>
      </c>
      <c r="D723" s="142" t="s">
        <v>603</v>
      </c>
      <c r="E723" s="142" t="s">
        <v>564</v>
      </c>
      <c r="F723" s="140" t="s">
        <v>498</v>
      </c>
      <c r="G723" s="30"/>
      <c r="H723" s="30"/>
      <c r="I723" s="20" t="e">
        <f t="shared" si="27"/>
        <v>#DIV/0!</v>
      </c>
    </row>
    <row r="724" spans="1:10" ht="19.5" customHeight="1">
      <c r="A724" s="95" t="s">
        <v>932</v>
      </c>
      <c r="B724" s="109"/>
      <c r="C724" s="142" t="s">
        <v>180</v>
      </c>
      <c r="D724" s="142" t="s">
        <v>603</v>
      </c>
      <c r="E724" s="142" t="s">
        <v>933</v>
      </c>
      <c r="F724" s="141"/>
      <c r="G724" s="30">
        <f>SUM(G738)</f>
        <v>110000</v>
      </c>
      <c r="H724" s="30">
        <f>SUM(H738)</f>
        <v>110000</v>
      </c>
      <c r="I724" s="20">
        <f t="shared" si="27"/>
        <v>100</v>
      </c>
    </row>
    <row r="725" spans="1:10" ht="42.75" hidden="1">
      <c r="A725" s="95" t="s">
        <v>565</v>
      </c>
      <c r="B725" s="109"/>
      <c r="C725" s="142" t="s">
        <v>180</v>
      </c>
      <c r="D725" s="142" t="s">
        <v>603</v>
      </c>
      <c r="E725" s="142" t="s">
        <v>566</v>
      </c>
      <c r="F725" s="141"/>
      <c r="G725" s="30">
        <f>SUM(G726)</f>
        <v>0</v>
      </c>
      <c r="H725" s="30">
        <f>SUM(H726)</f>
        <v>0</v>
      </c>
      <c r="I725" s="20" t="e">
        <f t="shared" si="27"/>
        <v>#DIV/0!</v>
      </c>
    </row>
    <row r="726" spans="1:10" ht="15" hidden="1">
      <c r="A726" s="97" t="s">
        <v>497</v>
      </c>
      <c r="B726" s="109"/>
      <c r="C726" s="142" t="s">
        <v>180</v>
      </c>
      <c r="D726" s="142" t="s">
        <v>603</v>
      </c>
      <c r="E726" s="142" t="s">
        <v>566</v>
      </c>
      <c r="F726" s="141" t="s">
        <v>498</v>
      </c>
      <c r="G726" s="30"/>
      <c r="H726" s="30"/>
      <c r="I726" s="20" t="e">
        <f t="shared" si="27"/>
        <v>#DIV/0!</v>
      </c>
    </row>
    <row r="727" spans="1:10" ht="57" hidden="1">
      <c r="A727" s="95" t="s">
        <v>567</v>
      </c>
      <c r="B727" s="109"/>
      <c r="C727" s="142" t="s">
        <v>180</v>
      </c>
      <c r="D727" s="142" t="s">
        <v>603</v>
      </c>
      <c r="E727" s="142" t="s">
        <v>568</v>
      </c>
      <c r="F727" s="141"/>
      <c r="G727" s="30">
        <f>SUM(G728)</f>
        <v>0</v>
      </c>
      <c r="H727" s="30">
        <f>SUM(H728)</f>
        <v>0</v>
      </c>
      <c r="I727" s="20" t="e">
        <f t="shared" si="27"/>
        <v>#DIV/0!</v>
      </c>
    </row>
    <row r="728" spans="1:10" ht="28.5" hidden="1">
      <c r="A728" s="95" t="s">
        <v>692</v>
      </c>
      <c r="B728" s="109"/>
      <c r="C728" s="142" t="s">
        <v>180</v>
      </c>
      <c r="D728" s="142" t="s">
        <v>603</v>
      </c>
      <c r="E728" s="142" t="s">
        <v>568</v>
      </c>
      <c r="F728" s="141" t="s">
        <v>569</v>
      </c>
      <c r="G728" s="30"/>
      <c r="H728" s="30"/>
      <c r="I728" s="20" t="e">
        <f t="shared" si="27"/>
        <v>#DIV/0!</v>
      </c>
    </row>
    <row r="729" spans="1:10" ht="42.75" hidden="1">
      <c r="A729" s="95" t="s">
        <v>681</v>
      </c>
      <c r="B729" s="109"/>
      <c r="C729" s="142" t="s">
        <v>180</v>
      </c>
      <c r="D729" s="142" t="s">
        <v>603</v>
      </c>
      <c r="E729" s="142" t="s">
        <v>682</v>
      </c>
      <c r="F729" s="141"/>
      <c r="G729" s="30">
        <f>SUM(G730)</f>
        <v>0</v>
      </c>
      <c r="H729" s="30">
        <f>SUM(H730)</f>
        <v>0</v>
      </c>
      <c r="I729" s="20" t="e">
        <f t="shared" si="27"/>
        <v>#DIV/0!</v>
      </c>
    </row>
    <row r="730" spans="1:10" ht="15" hidden="1">
      <c r="A730" s="97" t="s">
        <v>497</v>
      </c>
      <c r="B730" s="109"/>
      <c r="C730" s="142" t="s">
        <v>180</v>
      </c>
      <c r="D730" s="142" t="s">
        <v>603</v>
      </c>
      <c r="E730" s="142" t="s">
        <v>682</v>
      </c>
      <c r="F730" s="141" t="s">
        <v>498</v>
      </c>
      <c r="G730" s="30"/>
      <c r="H730" s="30"/>
      <c r="I730" s="20" t="e">
        <f t="shared" si="27"/>
        <v>#DIV/0!</v>
      </c>
    </row>
    <row r="731" spans="1:10" ht="28.5" hidden="1">
      <c r="A731" s="97" t="s">
        <v>1012</v>
      </c>
      <c r="B731" s="109"/>
      <c r="C731" s="142" t="s">
        <v>180</v>
      </c>
      <c r="D731" s="142" t="s">
        <v>603</v>
      </c>
      <c r="E731" s="142" t="s">
        <v>570</v>
      </c>
      <c r="F731" s="141"/>
      <c r="G731" s="30">
        <f>SUM(G732)</f>
        <v>0</v>
      </c>
      <c r="H731" s="30">
        <f>SUM(H732)</f>
        <v>0</v>
      </c>
      <c r="I731" s="20" t="e">
        <f t="shared" si="27"/>
        <v>#DIV/0!</v>
      </c>
    </row>
    <row r="732" spans="1:10" ht="28.5" hidden="1">
      <c r="A732" s="95" t="s">
        <v>692</v>
      </c>
      <c r="B732" s="109"/>
      <c r="C732" s="142" t="s">
        <v>180</v>
      </c>
      <c r="D732" s="142" t="s">
        <v>603</v>
      </c>
      <c r="E732" s="142" t="s">
        <v>570</v>
      </c>
      <c r="F732" s="141" t="s">
        <v>569</v>
      </c>
      <c r="G732" s="30"/>
      <c r="H732" s="30"/>
      <c r="I732" s="20" t="e">
        <f t="shared" si="27"/>
        <v>#DIV/0!</v>
      </c>
    </row>
    <row r="733" spans="1:10" ht="28.5" hidden="1" customHeight="1">
      <c r="A733" s="95" t="s">
        <v>218</v>
      </c>
      <c r="B733" s="109"/>
      <c r="C733" s="142" t="s">
        <v>180</v>
      </c>
      <c r="D733" s="142" t="s">
        <v>603</v>
      </c>
      <c r="E733" s="142" t="s">
        <v>219</v>
      </c>
      <c r="F733" s="141"/>
      <c r="G733" s="30">
        <f>SUM(G734)+G742</f>
        <v>0</v>
      </c>
      <c r="H733" s="30">
        <f>SUM(H734)+H742</f>
        <v>0</v>
      </c>
      <c r="I733" s="20" t="e">
        <f t="shared" si="27"/>
        <v>#DIV/0!</v>
      </c>
    </row>
    <row r="734" spans="1:10" ht="15" hidden="1" customHeight="1">
      <c r="A734" s="97" t="s">
        <v>497</v>
      </c>
      <c r="B734" s="109"/>
      <c r="C734" s="142" t="s">
        <v>180</v>
      </c>
      <c r="D734" s="142" t="s">
        <v>603</v>
      </c>
      <c r="E734" s="142" t="s">
        <v>219</v>
      </c>
      <c r="F734" s="141" t="s">
        <v>498</v>
      </c>
      <c r="G734" s="30"/>
      <c r="H734" s="30"/>
      <c r="I734" s="20" t="e">
        <f t="shared" si="27"/>
        <v>#DIV/0!</v>
      </c>
      <c r="J734" s="225">
        <f>SUM(ведомствен.2013!G1473)</f>
        <v>0</v>
      </c>
    </row>
    <row r="735" spans="1:10" ht="15" hidden="1" customHeight="1">
      <c r="A735" s="97" t="s">
        <v>598</v>
      </c>
      <c r="B735" s="109"/>
      <c r="C735" s="142" t="s">
        <v>180</v>
      </c>
      <c r="D735" s="142" t="s">
        <v>603</v>
      </c>
      <c r="E735" s="142" t="s">
        <v>219</v>
      </c>
      <c r="F735" s="141" t="s">
        <v>674</v>
      </c>
      <c r="G735" s="30"/>
      <c r="H735" s="30"/>
      <c r="I735" s="20" t="e">
        <f t="shared" si="27"/>
        <v>#DIV/0!</v>
      </c>
    </row>
    <row r="736" spans="1:10" ht="71.25" hidden="1" customHeight="1">
      <c r="A736" s="117" t="s">
        <v>220</v>
      </c>
      <c r="B736" s="109"/>
      <c r="C736" s="142" t="s">
        <v>180</v>
      </c>
      <c r="D736" s="142" t="s">
        <v>603</v>
      </c>
      <c r="E736" s="142" t="s">
        <v>221</v>
      </c>
      <c r="F736" s="141"/>
      <c r="G736" s="30">
        <f>SUM(G737)</f>
        <v>0</v>
      </c>
      <c r="H736" s="30">
        <f>SUM(H737)</f>
        <v>0</v>
      </c>
      <c r="I736" s="20" t="e">
        <f t="shared" si="27"/>
        <v>#DIV/0!</v>
      </c>
    </row>
    <row r="737" spans="1:10" ht="15" hidden="1">
      <c r="A737" s="97" t="s">
        <v>497</v>
      </c>
      <c r="B737" s="109"/>
      <c r="C737" s="142" t="s">
        <v>180</v>
      </c>
      <c r="D737" s="142" t="s">
        <v>603</v>
      </c>
      <c r="E737" s="142" t="s">
        <v>221</v>
      </c>
      <c r="F737" s="141" t="s">
        <v>498</v>
      </c>
      <c r="G737" s="30"/>
      <c r="H737" s="30"/>
      <c r="I737" s="20" t="e">
        <f t="shared" si="27"/>
        <v>#DIV/0!</v>
      </c>
    </row>
    <row r="738" spans="1:10" ht="28.5">
      <c r="A738" s="95" t="s">
        <v>1031</v>
      </c>
      <c r="B738" s="138"/>
      <c r="C738" s="142" t="s">
        <v>180</v>
      </c>
      <c r="D738" s="142" t="s">
        <v>603</v>
      </c>
      <c r="E738" s="142" t="s">
        <v>77</v>
      </c>
      <c r="F738" s="140"/>
      <c r="G738" s="81">
        <f>SUM(G739)</f>
        <v>110000</v>
      </c>
      <c r="H738" s="81">
        <f>SUM(H739)</f>
        <v>110000</v>
      </c>
      <c r="I738" s="20">
        <f t="shared" si="27"/>
        <v>100</v>
      </c>
    </row>
    <row r="739" spans="1:10" ht="16.5" customHeight="1">
      <c r="A739" s="98" t="s">
        <v>207</v>
      </c>
      <c r="B739" s="138"/>
      <c r="C739" s="142" t="s">
        <v>180</v>
      </c>
      <c r="D739" s="142" t="s">
        <v>603</v>
      </c>
      <c r="E739" s="142" t="s">
        <v>77</v>
      </c>
      <c r="F739" s="140" t="s">
        <v>208</v>
      </c>
      <c r="G739" s="81">
        <v>110000</v>
      </c>
      <c r="H739" s="81">
        <v>110000</v>
      </c>
      <c r="I739" s="20">
        <f t="shared" si="27"/>
        <v>100</v>
      </c>
      <c r="J739" s="225">
        <f>SUM(ведомствен.2013!G609)</f>
        <v>110000</v>
      </c>
    </row>
    <row r="740" spans="1:10" ht="28.5" hidden="1" customHeight="1">
      <c r="A740" s="119" t="s">
        <v>378</v>
      </c>
      <c r="B740" s="138"/>
      <c r="C740" s="142" t="s">
        <v>180</v>
      </c>
      <c r="D740" s="142" t="s">
        <v>603</v>
      </c>
      <c r="E740" s="138" t="s">
        <v>379</v>
      </c>
      <c r="F740" s="141"/>
      <c r="G740" s="30">
        <f>SUM(G741)</f>
        <v>0</v>
      </c>
      <c r="H740" s="30">
        <f>SUM(H741)</f>
        <v>0</v>
      </c>
      <c r="I740" s="20" t="e">
        <f t="shared" si="27"/>
        <v>#DIV/0!</v>
      </c>
    </row>
    <row r="741" spans="1:10" ht="15" hidden="1" customHeight="1">
      <c r="A741" s="97" t="s">
        <v>49</v>
      </c>
      <c r="B741" s="138"/>
      <c r="C741" s="163" t="s">
        <v>940</v>
      </c>
      <c r="D741" s="163" t="s">
        <v>732</v>
      </c>
      <c r="E741" s="138" t="s">
        <v>379</v>
      </c>
      <c r="F741" s="139" t="s">
        <v>498</v>
      </c>
      <c r="G741" s="204"/>
      <c r="H741" s="204"/>
      <c r="I741" s="20" t="e">
        <f t="shared" si="27"/>
        <v>#DIV/0!</v>
      </c>
    </row>
    <row r="742" spans="1:10" ht="15" hidden="1" customHeight="1">
      <c r="A742" s="94" t="s">
        <v>276</v>
      </c>
      <c r="B742" s="109"/>
      <c r="C742" s="142" t="s">
        <v>180</v>
      </c>
      <c r="D742" s="142" t="s">
        <v>603</v>
      </c>
      <c r="E742" s="142" t="s">
        <v>219</v>
      </c>
      <c r="F742" s="141" t="s">
        <v>132</v>
      </c>
      <c r="G742" s="30"/>
      <c r="H742" s="30"/>
      <c r="I742" s="20" t="e">
        <f t="shared" si="27"/>
        <v>#DIV/0!</v>
      </c>
      <c r="J742" s="225">
        <f>SUM(ведомствен.2013!G1478)</f>
        <v>0</v>
      </c>
    </row>
    <row r="743" spans="1:10" s="35" customFormat="1" ht="16.5" customHeight="1">
      <c r="A743" s="97" t="s">
        <v>200</v>
      </c>
      <c r="B743" s="168"/>
      <c r="C743" s="142" t="s">
        <v>180</v>
      </c>
      <c r="D743" s="142" t="s">
        <v>603</v>
      </c>
      <c r="E743" s="142" t="s">
        <v>201</v>
      </c>
      <c r="F743" s="141"/>
      <c r="G743" s="30">
        <f>SUM(G744,G746,G748,G751,G754,G759,G755)+G758+G762</f>
        <v>12482.4</v>
      </c>
      <c r="H743" s="30">
        <f>SUM(H744,H746,H748,H751,H754,H759,H755)+H758+H762</f>
        <v>12482.4</v>
      </c>
      <c r="I743" s="20">
        <f t="shared" si="27"/>
        <v>100</v>
      </c>
      <c r="J743" s="240"/>
    </row>
    <row r="744" spans="1:10" s="35" customFormat="1" ht="42.75" hidden="1" customHeight="1">
      <c r="A744" s="94" t="s">
        <v>386</v>
      </c>
      <c r="B744" s="168"/>
      <c r="C744" s="142" t="s">
        <v>180</v>
      </c>
      <c r="D744" s="142" t="s">
        <v>603</v>
      </c>
      <c r="E744" s="142" t="s">
        <v>597</v>
      </c>
      <c r="F744" s="141"/>
      <c r="G744" s="30">
        <f>SUM(G745)</f>
        <v>0</v>
      </c>
      <c r="H744" s="30">
        <f>SUM(H745)</f>
        <v>0</v>
      </c>
      <c r="I744" s="20" t="e">
        <f t="shared" si="27"/>
        <v>#DIV/0!</v>
      </c>
      <c r="J744" s="240"/>
    </row>
    <row r="745" spans="1:10" ht="15" hidden="1" customHeight="1">
      <c r="A745" s="97" t="s">
        <v>49</v>
      </c>
      <c r="B745" s="168"/>
      <c r="C745" s="142" t="s">
        <v>599</v>
      </c>
      <c r="D745" s="142" t="s">
        <v>603</v>
      </c>
      <c r="E745" s="142" t="s">
        <v>597</v>
      </c>
      <c r="F745" s="141" t="s">
        <v>498</v>
      </c>
      <c r="G745" s="30"/>
      <c r="H745" s="30"/>
      <c r="I745" s="20" t="e">
        <f t="shared" si="27"/>
        <v>#DIV/0!</v>
      </c>
      <c r="J745" s="225">
        <f>SUM(ведомствен.2013!G1482)</f>
        <v>0</v>
      </c>
    </row>
    <row r="746" spans="1:10" s="35" customFormat="1" ht="42.75" hidden="1" customHeight="1">
      <c r="A746" s="98" t="s">
        <v>247</v>
      </c>
      <c r="B746" s="168"/>
      <c r="C746" s="142" t="s">
        <v>180</v>
      </c>
      <c r="D746" s="142" t="s">
        <v>603</v>
      </c>
      <c r="E746" s="142" t="s">
        <v>699</v>
      </c>
      <c r="F746" s="141"/>
      <c r="G746" s="30">
        <f>SUM(G747)</f>
        <v>0</v>
      </c>
      <c r="H746" s="30">
        <f>SUM(H747)</f>
        <v>0</v>
      </c>
      <c r="I746" s="20" t="e">
        <f t="shared" si="27"/>
        <v>#DIV/0!</v>
      </c>
      <c r="J746" s="225"/>
    </row>
    <row r="747" spans="1:10" s="35" customFormat="1" ht="15" hidden="1" customHeight="1">
      <c r="A747" s="97" t="s">
        <v>441</v>
      </c>
      <c r="B747" s="168"/>
      <c r="C747" s="142" t="s">
        <v>180</v>
      </c>
      <c r="D747" s="142" t="s">
        <v>603</v>
      </c>
      <c r="E747" s="142" t="s">
        <v>699</v>
      </c>
      <c r="F747" s="141" t="s">
        <v>442</v>
      </c>
      <c r="G747" s="30"/>
      <c r="H747" s="30"/>
      <c r="I747" s="20" t="e">
        <f t="shared" si="27"/>
        <v>#DIV/0!</v>
      </c>
      <c r="J747" s="225">
        <f>SUM(ведомствен.2013!G1186)</f>
        <v>0</v>
      </c>
    </row>
    <row r="748" spans="1:10" ht="18.75" customHeight="1">
      <c r="A748" s="98" t="s">
        <v>891</v>
      </c>
      <c r="B748" s="138"/>
      <c r="C748" s="142" t="s">
        <v>180</v>
      </c>
      <c r="D748" s="142" t="s">
        <v>603</v>
      </c>
      <c r="E748" s="142" t="s">
        <v>700</v>
      </c>
      <c r="F748" s="141"/>
      <c r="G748" s="204">
        <f>SUM(G749:G750)</f>
        <v>2202.4</v>
      </c>
      <c r="H748" s="204">
        <f>SUM(H749:H750)</f>
        <v>2202.4</v>
      </c>
      <c r="I748" s="20">
        <f t="shared" si="27"/>
        <v>100</v>
      </c>
    </row>
    <row r="749" spans="1:10" ht="16.5" customHeight="1">
      <c r="A749" s="97" t="s">
        <v>441</v>
      </c>
      <c r="B749" s="138"/>
      <c r="C749" s="142" t="s">
        <v>180</v>
      </c>
      <c r="D749" s="142" t="s">
        <v>603</v>
      </c>
      <c r="E749" s="142" t="s">
        <v>700</v>
      </c>
      <c r="F749" s="141" t="s">
        <v>442</v>
      </c>
      <c r="G749" s="204">
        <v>2202.4</v>
      </c>
      <c r="H749" s="204">
        <v>2202.4</v>
      </c>
      <c r="I749" s="20">
        <f t="shared" si="27"/>
        <v>100</v>
      </c>
      <c r="J749" s="225">
        <f>SUM(ведомствен.2013!G1484)</f>
        <v>2202.4</v>
      </c>
    </row>
    <row r="750" spans="1:10" ht="15" hidden="1" customHeight="1">
      <c r="A750" s="94" t="s">
        <v>276</v>
      </c>
      <c r="B750" s="109"/>
      <c r="C750" s="142" t="s">
        <v>180</v>
      </c>
      <c r="D750" s="142" t="s">
        <v>603</v>
      </c>
      <c r="E750" s="142" t="s">
        <v>700</v>
      </c>
      <c r="F750" s="141" t="s">
        <v>132</v>
      </c>
      <c r="G750" s="30"/>
      <c r="H750" s="30"/>
      <c r="I750" s="20" t="e">
        <f t="shared" si="27"/>
        <v>#DIV/0!</v>
      </c>
      <c r="J750" s="225">
        <f>SUM(ведомствен.2013!G1485)</f>
        <v>0</v>
      </c>
    </row>
    <row r="751" spans="1:10" ht="57" hidden="1" customHeight="1">
      <c r="A751" s="98" t="s">
        <v>572</v>
      </c>
      <c r="B751" s="138"/>
      <c r="C751" s="142" t="s">
        <v>180</v>
      </c>
      <c r="D751" s="142" t="s">
        <v>603</v>
      </c>
      <c r="E751" s="142" t="s">
        <v>702</v>
      </c>
      <c r="F751" s="141"/>
      <c r="G751" s="204">
        <f>SUM(G752:G753)</f>
        <v>0</v>
      </c>
      <c r="H751" s="204">
        <f>SUM(H752:H753)</f>
        <v>0</v>
      </c>
      <c r="I751" s="20" t="e">
        <f t="shared" si="27"/>
        <v>#DIV/0!</v>
      </c>
    </row>
    <row r="752" spans="1:10" ht="15" hidden="1" customHeight="1">
      <c r="A752" s="97" t="s">
        <v>441</v>
      </c>
      <c r="B752" s="138"/>
      <c r="C752" s="142" t="s">
        <v>180</v>
      </c>
      <c r="D752" s="142" t="s">
        <v>603</v>
      </c>
      <c r="E752" s="142" t="s">
        <v>702</v>
      </c>
      <c r="F752" s="141" t="s">
        <v>442</v>
      </c>
      <c r="G752" s="204"/>
      <c r="H752" s="204"/>
      <c r="I752" s="20" t="e">
        <f t="shared" si="27"/>
        <v>#DIV/0!</v>
      </c>
      <c r="J752" s="225">
        <f>SUM(ведомствен.2013!G1487)</f>
        <v>0</v>
      </c>
    </row>
    <row r="753" spans="1:12" ht="15" hidden="1" customHeight="1">
      <c r="A753" s="94" t="s">
        <v>276</v>
      </c>
      <c r="B753" s="109"/>
      <c r="C753" s="142" t="s">
        <v>180</v>
      </c>
      <c r="D753" s="142" t="s">
        <v>603</v>
      </c>
      <c r="E753" s="142" t="s">
        <v>702</v>
      </c>
      <c r="F753" s="141" t="s">
        <v>132</v>
      </c>
      <c r="G753" s="30"/>
      <c r="H753" s="30"/>
      <c r="I753" s="20" t="e">
        <f t="shared" si="27"/>
        <v>#DIV/0!</v>
      </c>
      <c r="J753" s="225">
        <f>SUM(ведомствен.2013!G1488)</f>
        <v>0</v>
      </c>
    </row>
    <row r="754" spans="1:12" ht="28.5" hidden="1" customHeight="1">
      <c r="A754" s="98" t="s">
        <v>703</v>
      </c>
      <c r="B754" s="138"/>
      <c r="C754" s="142" t="s">
        <v>180</v>
      </c>
      <c r="D754" s="142" t="s">
        <v>603</v>
      </c>
      <c r="E754" s="142" t="s">
        <v>704</v>
      </c>
      <c r="F754" s="141" t="s">
        <v>442</v>
      </c>
      <c r="G754" s="204"/>
      <c r="H754" s="204"/>
      <c r="I754" s="20" t="e">
        <f t="shared" si="27"/>
        <v>#DIV/0!</v>
      </c>
    </row>
    <row r="755" spans="1:12" ht="28.5" hidden="1" customHeight="1">
      <c r="A755" s="97" t="s">
        <v>157</v>
      </c>
      <c r="B755" s="138"/>
      <c r="C755" s="142" t="s">
        <v>180</v>
      </c>
      <c r="D755" s="142" t="s">
        <v>603</v>
      </c>
      <c r="E755" s="142" t="s">
        <v>156</v>
      </c>
      <c r="F755" s="141"/>
      <c r="G755" s="204">
        <f>SUM(G756)</f>
        <v>0</v>
      </c>
      <c r="H755" s="204">
        <f>SUM(H756)</f>
        <v>0</v>
      </c>
      <c r="I755" s="20" t="e">
        <f t="shared" si="27"/>
        <v>#DIV/0!</v>
      </c>
    </row>
    <row r="756" spans="1:12" ht="15" hidden="1" customHeight="1">
      <c r="A756" s="97" t="s">
        <v>441</v>
      </c>
      <c r="B756" s="138"/>
      <c r="C756" s="142" t="s">
        <v>180</v>
      </c>
      <c r="D756" s="142" t="s">
        <v>603</v>
      </c>
      <c r="E756" s="142" t="s">
        <v>156</v>
      </c>
      <c r="F756" s="141" t="s">
        <v>442</v>
      </c>
      <c r="G756" s="204"/>
      <c r="H756" s="204"/>
      <c r="I756" s="20" t="e">
        <f t="shared" si="27"/>
        <v>#DIV/0!</v>
      </c>
      <c r="J756" s="225">
        <f>SUM(ведомствен.2013!G1190)</f>
        <v>0</v>
      </c>
    </row>
    <row r="757" spans="1:12" ht="42.75" hidden="1">
      <c r="A757" s="97" t="s">
        <v>756</v>
      </c>
      <c r="B757" s="168"/>
      <c r="C757" s="142" t="s">
        <v>180</v>
      </c>
      <c r="D757" s="142" t="s">
        <v>603</v>
      </c>
      <c r="E757" s="142" t="s">
        <v>757</v>
      </c>
      <c r="F757" s="141"/>
      <c r="G757" s="30">
        <f>SUM(G758)</f>
        <v>0</v>
      </c>
      <c r="H757" s="30">
        <f>SUM(H758)</f>
        <v>0</v>
      </c>
      <c r="I757" s="20" t="e">
        <f t="shared" si="27"/>
        <v>#DIV/0!</v>
      </c>
    </row>
    <row r="758" spans="1:12" ht="15" hidden="1" customHeight="1">
      <c r="A758" s="97" t="s">
        <v>276</v>
      </c>
      <c r="B758" s="109"/>
      <c r="C758" s="142" t="s">
        <v>180</v>
      </c>
      <c r="D758" s="142" t="s">
        <v>603</v>
      </c>
      <c r="E758" s="142" t="s">
        <v>757</v>
      </c>
      <c r="F758" s="141" t="s">
        <v>132</v>
      </c>
      <c r="G758" s="30"/>
      <c r="H758" s="30"/>
      <c r="I758" s="20" t="e">
        <f t="shared" si="27"/>
        <v>#DIV/0!</v>
      </c>
      <c r="J758" s="225">
        <f>SUM(ведомствен.2013!G1192)</f>
        <v>0</v>
      </c>
    </row>
    <row r="759" spans="1:12" ht="15" hidden="1" customHeight="1">
      <c r="A759" s="98" t="s">
        <v>621</v>
      </c>
      <c r="B759" s="138"/>
      <c r="C759" s="142" t="s">
        <v>180</v>
      </c>
      <c r="D759" s="142" t="s">
        <v>603</v>
      </c>
      <c r="E759" s="142" t="s">
        <v>705</v>
      </c>
      <c r="F759" s="141"/>
      <c r="G759" s="204">
        <f>SUM(G760:G761)</f>
        <v>0</v>
      </c>
      <c r="H759" s="204">
        <f>SUM(H760:H761)</f>
        <v>0</v>
      </c>
      <c r="I759" s="20" t="e">
        <f t="shared" si="27"/>
        <v>#DIV/0!</v>
      </c>
    </row>
    <row r="760" spans="1:12" ht="15" hidden="1" customHeight="1">
      <c r="A760" s="97" t="s">
        <v>441</v>
      </c>
      <c r="B760" s="138"/>
      <c r="C760" s="142" t="s">
        <v>180</v>
      </c>
      <c r="D760" s="142" t="s">
        <v>603</v>
      </c>
      <c r="E760" s="142" t="s">
        <v>705</v>
      </c>
      <c r="F760" s="141" t="s">
        <v>442</v>
      </c>
      <c r="G760" s="204"/>
      <c r="H760" s="204"/>
      <c r="I760" s="20" t="e">
        <f t="shared" si="27"/>
        <v>#DIV/0!</v>
      </c>
      <c r="J760" s="225">
        <f>SUM(ведомствен.2013!G1490)</f>
        <v>0</v>
      </c>
    </row>
    <row r="761" spans="1:12" ht="15" hidden="1" customHeight="1">
      <c r="A761" s="97" t="s">
        <v>276</v>
      </c>
      <c r="B761" s="138"/>
      <c r="C761" s="142" t="s">
        <v>180</v>
      </c>
      <c r="D761" s="142" t="s">
        <v>603</v>
      </c>
      <c r="E761" s="142" t="s">
        <v>705</v>
      </c>
      <c r="F761" s="141" t="s">
        <v>132</v>
      </c>
      <c r="G761" s="204"/>
      <c r="H761" s="204"/>
      <c r="I761" s="20" t="e">
        <f t="shared" si="27"/>
        <v>#DIV/0!</v>
      </c>
      <c r="J761" s="225">
        <f>SUM(ведомствен.2013!G1491)</f>
        <v>0</v>
      </c>
    </row>
    <row r="762" spans="1:12" ht="36" customHeight="1">
      <c r="A762" s="98" t="s">
        <v>234</v>
      </c>
      <c r="B762" s="109"/>
      <c r="C762" s="142" t="s">
        <v>180</v>
      </c>
      <c r="D762" s="142" t="s">
        <v>603</v>
      </c>
      <c r="E762" s="142" t="s">
        <v>41</v>
      </c>
      <c r="F762" s="167"/>
      <c r="G762" s="30">
        <f>SUM(G763)</f>
        <v>10280</v>
      </c>
      <c r="H762" s="30">
        <f>SUM(H763)</f>
        <v>10280</v>
      </c>
      <c r="I762" s="20">
        <f t="shared" si="27"/>
        <v>100</v>
      </c>
    </row>
    <row r="763" spans="1:12" ht="19.5" customHeight="1">
      <c r="A763" s="98" t="s">
        <v>207</v>
      </c>
      <c r="B763" s="109"/>
      <c r="C763" s="142" t="s">
        <v>180</v>
      </c>
      <c r="D763" s="142" t="s">
        <v>603</v>
      </c>
      <c r="E763" s="142" t="s">
        <v>41</v>
      </c>
      <c r="F763" s="167" t="s">
        <v>208</v>
      </c>
      <c r="G763" s="30">
        <v>10280</v>
      </c>
      <c r="H763" s="30">
        <v>10280</v>
      </c>
      <c r="I763" s="20">
        <f t="shared" ref="I763:I826" si="29">SUM(H763/G763*100)</f>
        <v>100</v>
      </c>
      <c r="J763" s="240">
        <f>SUM(ведомствен.2013!G612)</f>
        <v>10280</v>
      </c>
    </row>
    <row r="764" spans="1:12" s="19" customFormat="1" ht="15.75">
      <c r="A764" s="120" t="s">
        <v>652</v>
      </c>
      <c r="B764" s="169"/>
      <c r="C764" s="193" t="s">
        <v>193</v>
      </c>
      <c r="D764" s="193"/>
      <c r="E764" s="193"/>
      <c r="F764" s="194"/>
      <c r="G764" s="203">
        <f>SUM(G765+G813)</f>
        <v>111847.9</v>
      </c>
      <c r="H764" s="203">
        <f>SUM(H765+H813)</f>
        <v>110537.2</v>
      </c>
      <c r="I764" s="26">
        <f t="shared" si="29"/>
        <v>98.828140716097494</v>
      </c>
      <c r="J764" s="226"/>
    </row>
    <row r="765" spans="1:12" ht="15">
      <c r="A765" s="95" t="s">
        <v>706</v>
      </c>
      <c r="B765" s="138"/>
      <c r="C765" s="142" t="s">
        <v>193</v>
      </c>
      <c r="D765" s="142" t="s">
        <v>836</v>
      </c>
      <c r="E765" s="142"/>
      <c r="F765" s="140"/>
      <c r="G765" s="30">
        <f>SUM(G766+G783+G797+G809)+G805</f>
        <v>96734.399999999994</v>
      </c>
      <c r="H765" s="30">
        <f>SUM(H766+H783+H797+H809)+H805</f>
        <v>95596.7</v>
      </c>
      <c r="I765" s="20">
        <f t="shared" si="29"/>
        <v>98.823893051489449</v>
      </c>
      <c r="K765">
        <f>SUM(J765:J830)</f>
        <v>111847.9</v>
      </c>
      <c r="L765">
        <f>SUM(ведомствен.2013!G1534)</f>
        <v>111847.9</v>
      </c>
    </row>
    <row r="766" spans="1:12" ht="28.5">
      <c r="A766" s="94" t="s">
        <v>195</v>
      </c>
      <c r="B766" s="138"/>
      <c r="C766" s="142" t="s">
        <v>193</v>
      </c>
      <c r="D766" s="142" t="s">
        <v>836</v>
      </c>
      <c r="E766" s="142" t="s">
        <v>209</v>
      </c>
      <c r="F766" s="140"/>
      <c r="G766" s="30">
        <f>SUM(G771+G781)+G767+G769</f>
        <v>49901.9</v>
      </c>
      <c r="H766" s="30">
        <f>SUM(H771+H781)+H767+H769</f>
        <v>49353.8</v>
      </c>
      <c r="I766" s="20">
        <f t="shared" si="29"/>
        <v>98.901645027544049</v>
      </c>
    </row>
    <row r="767" spans="1:12" ht="42.75">
      <c r="A767" s="97" t="s">
        <v>721</v>
      </c>
      <c r="B767" s="109"/>
      <c r="C767" s="142" t="s">
        <v>193</v>
      </c>
      <c r="D767" s="142" t="s">
        <v>836</v>
      </c>
      <c r="E767" s="142" t="s">
        <v>129</v>
      </c>
      <c r="F767" s="141"/>
      <c r="G767" s="30">
        <f>SUM(G768)</f>
        <v>389.5</v>
      </c>
      <c r="H767" s="30">
        <f>SUM(H768)</f>
        <v>389.5</v>
      </c>
      <c r="I767" s="20">
        <f t="shared" si="29"/>
        <v>100</v>
      </c>
    </row>
    <row r="768" spans="1:12" ht="15">
      <c r="A768" s="97" t="s">
        <v>49</v>
      </c>
      <c r="B768" s="138"/>
      <c r="C768" s="142" t="s">
        <v>193</v>
      </c>
      <c r="D768" s="142" t="s">
        <v>836</v>
      </c>
      <c r="E768" s="142" t="s">
        <v>129</v>
      </c>
      <c r="F768" s="140" t="s">
        <v>498</v>
      </c>
      <c r="G768" s="30">
        <v>389.5</v>
      </c>
      <c r="H768" s="30">
        <v>389.5</v>
      </c>
      <c r="I768" s="20">
        <f t="shared" si="29"/>
        <v>100</v>
      </c>
      <c r="J768" s="225">
        <f>ведомствен.2013!G1538</f>
        <v>389.5</v>
      </c>
      <c r="K768" s="229">
        <f t="shared" ref="K768:K770" si="30">SUM(G768-J768)</f>
        <v>0</v>
      </c>
    </row>
    <row r="769" spans="1:11" ht="28.5">
      <c r="A769" s="97" t="s">
        <v>1037</v>
      </c>
      <c r="B769" s="138"/>
      <c r="C769" s="142" t="s">
        <v>193</v>
      </c>
      <c r="D769" s="142" t="s">
        <v>836</v>
      </c>
      <c r="E769" s="142" t="s">
        <v>1038</v>
      </c>
      <c r="F769" s="140"/>
      <c r="G769" s="81">
        <f>SUM(G770)</f>
        <v>19.399999999999999</v>
      </c>
      <c r="H769" s="81">
        <f>SUM(H770)</f>
        <v>19.399999999999999</v>
      </c>
      <c r="I769" s="20">
        <f t="shared" si="29"/>
        <v>100</v>
      </c>
    </row>
    <row r="770" spans="1:11" ht="15">
      <c r="A770" s="97" t="s">
        <v>49</v>
      </c>
      <c r="B770" s="138"/>
      <c r="C770" s="142" t="s">
        <v>193</v>
      </c>
      <c r="D770" s="142" t="s">
        <v>836</v>
      </c>
      <c r="E770" s="142" t="s">
        <v>1038</v>
      </c>
      <c r="F770" s="140" t="s">
        <v>498</v>
      </c>
      <c r="G770" s="81">
        <v>19.399999999999999</v>
      </c>
      <c r="H770" s="81">
        <v>19.399999999999999</v>
      </c>
      <c r="I770" s="20">
        <f t="shared" si="29"/>
        <v>100</v>
      </c>
      <c r="J770" s="225">
        <f>SUM(ведомствен.2013!G1540)</f>
        <v>19.399999999999999</v>
      </c>
      <c r="K770" s="229">
        <f t="shared" si="30"/>
        <v>0</v>
      </c>
    </row>
    <row r="771" spans="1:11" ht="15">
      <c r="A771" s="95" t="s">
        <v>154</v>
      </c>
      <c r="B771" s="157"/>
      <c r="C771" s="142" t="s">
        <v>193</v>
      </c>
      <c r="D771" s="142" t="s">
        <v>836</v>
      </c>
      <c r="E771" s="142" t="s">
        <v>373</v>
      </c>
      <c r="F771" s="140"/>
      <c r="G771" s="30">
        <f>SUM(G772+G774)</f>
        <v>30214.2</v>
      </c>
      <c r="H771" s="30">
        <f>SUM(H772+H774)</f>
        <v>30214.2</v>
      </c>
      <c r="I771" s="20">
        <f t="shared" si="29"/>
        <v>100</v>
      </c>
    </row>
    <row r="772" spans="1:11" ht="28.5">
      <c r="A772" s="95" t="s">
        <v>374</v>
      </c>
      <c r="B772" s="157"/>
      <c r="C772" s="142" t="s">
        <v>193</v>
      </c>
      <c r="D772" s="142" t="s">
        <v>836</v>
      </c>
      <c r="E772" s="142" t="s">
        <v>375</v>
      </c>
      <c r="F772" s="140"/>
      <c r="G772" s="30">
        <f>SUM(G773)</f>
        <v>29900.2</v>
      </c>
      <c r="H772" s="30">
        <f>SUM(H773)</f>
        <v>29900.2</v>
      </c>
      <c r="I772" s="20">
        <f t="shared" si="29"/>
        <v>100</v>
      </c>
    </row>
    <row r="773" spans="1:11" ht="48" customHeight="1">
      <c r="A773" s="97" t="s">
        <v>275</v>
      </c>
      <c r="B773" s="109"/>
      <c r="C773" s="142" t="s">
        <v>193</v>
      </c>
      <c r="D773" s="142" t="s">
        <v>836</v>
      </c>
      <c r="E773" s="142" t="s">
        <v>375</v>
      </c>
      <c r="F773" s="141" t="s">
        <v>51</v>
      </c>
      <c r="G773" s="30">
        <v>29900.2</v>
      </c>
      <c r="H773" s="30">
        <v>29900.2</v>
      </c>
      <c r="I773" s="20">
        <f t="shared" si="29"/>
        <v>100</v>
      </c>
      <c r="J773" s="225">
        <f>ведомствен.2013!G1543</f>
        <v>29900.2</v>
      </c>
      <c r="K773" s="229">
        <f t="shared" ref="K773" si="31">SUM(G773-J773)</f>
        <v>0</v>
      </c>
    </row>
    <row r="774" spans="1:11" ht="21" customHeight="1">
      <c r="A774" s="95" t="s">
        <v>276</v>
      </c>
      <c r="B774" s="138"/>
      <c r="C774" s="142" t="s">
        <v>193</v>
      </c>
      <c r="D774" s="142" t="s">
        <v>836</v>
      </c>
      <c r="E774" s="138" t="s">
        <v>760</v>
      </c>
      <c r="F774" s="141"/>
      <c r="G774" s="30">
        <f>SUM(G775+G777+G779)</f>
        <v>314</v>
      </c>
      <c r="H774" s="30">
        <f>SUM(H775+H777+H779)</f>
        <v>314</v>
      </c>
      <c r="I774" s="20">
        <f t="shared" si="29"/>
        <v>100</v>
      </c>
    </row>
    <row r="775" spans="1:11" ht="30" customHeight="1">
      <c r="A775" s="95" t="s">
        <v>839</v>
      </c>
      <c r="B775" s="138"/>
      <c r="C775" s="142" t="s">
        <v>193</v>
      </c>
      <c r="D775" s="142" t="s">
        <v>836</v>
      </c>
      <c r="E775" s="138" t="s">
        <v>761</v>
      </c>
      <c r="F775" s="141"/>
      <c r="G775" s="30">
        <f>SUM(G776)</f>
        <v>200</v>
      </c>
      <c r="H775" s="30">
        <f>SUM(H776)</f>
        <v>200</v>
      </c>
      <c r="I775" s="20">
        <f t="shared" si="29"/>
        <v>100</v>
      </c>
    </row>
    <row r="776" spans="1:11" ht="30" customHeight="1">
      <c r="A776" s="95" t="s">
        <v>276</v>
      </c>
      <c r="B776" s="138"/>
      <c r="C776" s="142" t="s">
        <v>193</v>
      </c>
      <c r="D776" s="142" t="s">
        <v>836</v>
      </c>
      <c r="E776" s="138" t="s">
        <v>761</v>
      </c>
      <c r="F776" s="141" t="s">
        <v>132</v>
      </c>
      <c r="G776" s="30">
        <v>200</v>
      </c>
      <c r="H776" s="30">
        <v>200</v>
      </c>
      <c r="I776" s="20">
        <f t="shared" si="29"/>
        <v>100</v>
      </c>
      <c r="J776" s="225">
        <f>SUM(ведомствен.2013!G1546)</f>
        <v>200</v>
      </c>
      <c r="K776" s="229">
        <f t="shared" ref="K776:K779" si="32">SUM(G776-J776)</f>
        <v>0</v>
      </c>
    </row>
    <row r="777" spans="1:11" ht="36" customHeight="1">
      <c r="A777" s="97" t="s">
        <v>759</v>
      </c>
      <c r="B777" s="109"/>
      <c r="C777" s="142" t="s">
        <v>193</v>
      </c>
      <c r="D777" s="142" t="s">
        <v>836</v>
      </c>
      <c r="E777" s="142" t="s">
        <v>758</v>
      </c>
      <c r="F777" s="141"/>
      <c r="G777" s="30">
        <f>SUM(G778)</f>
        <v>30</v>
      </c>
      <c r="H777" s="30">
        <f>SUM(H778)</f>
        <v>30</v>
      </c>
      <c r="I777" s="20">
        <f t="shared" si="29"/>
        <v>100</v>
      </c>
    </row>
    <row r="778" spans="1:11" ht="22.5" customHeight="1">
      <c r="A778" s="97" t="s">
        <v>231</v>
      </c>
      <c r="B778" s="109"/>
      <c r="C778" s="142" t="s">
        <v>193</v>
      </c>
      <c r="D778" s="142" t="s">
        <v>836</v>
      </c>
      <c r="E778" s="142" t="s">
        <v>758</v>
      </c>
      <c r="F778" s="141" t="s">
        <v>132</v>
      </c>
      <c r="G778" s="30">
        <v>30</v>
      </c>
      <c r="H778" s="30">
        <v>30</v>
      </c>
      <c r="I778" s="20">
        <f t="shared" si="29"/>
        <v>100</v>
      </c>
      <c r="J778" s="225">
        <f>SUM(ведомствен.2013!G1548)</f>
        <v>30</v>
      </c>
      <c r="K778" s="229">
        <f t="shared" si="32"/>
        <v>0</v>
      </c>
    </row>
    <row r="779" spans="1:11" ht="31.5" customHeight="1">
      <c r="A779" s="97" t="s">
        <v>270</v>
      </c>
      <c r="B779" s="109"/>
      <c r="C779" s="142" t="s">
        <v>193</v>
      </c>
      <c r="D779" s="142" t="s">
        <v>836</v>
      </c>
      <c r="E779" s="142" t="s">
        <v>404</v>
      </c>
      <c r="F779" s="141"/>
      <c r="G779" s="30">
        <f>SUM(G780)</f>
        <v>84</v>
      </c>
      <c r="H779" s="30">
        <f>SUM(H780)</f>
        <v>84</v>
      </c>
      <c r="I779" s="20">
        <f t="shared" si="29"/>
        <v>100</v>
      </c>
      <c r="J779" s="225">
        <f>SUM(ведомствен.2013!G1549)</f>
        <v>84</v>
      </c>
      <c r="K779" s="229">
        <f t="shared" si="32"/>
        <v>0</v>
      </c>
    </row>
    <row r="780" spans="1:11" ht="21" customHeight="1">
      <c r="A780" s="97" t="s">
        <v>231</v>
      </c>
      <c r="B780" s="109"/>
      <c r="C780" s="142" t="s">
        <v>193</v>
      </c>
      <c r="D780" s="142" t="s">
        <v>836</v>
      </c>
      <c r="E780" s="142" t="s">
        <v>404</v>
      </c>
      <c r="F780" s="141" t="s">
        <v>132</v>
      </c>
      <c r="G780" s="30">
        <v>84</v>
      </c>
      <c r="H780" s="30">
        <v>84</v>
      </c>
      <c r="I780" s="20">
        <f t="shared" si="29"/>
        <v>100</v>
      </c>
    </row>
    <row r="781" spans="1:11" ht="27.75" customHeight="1">
      <c r="A781" s="95" t="s">
        <v>48</v>
      </c>
      <c r="B781" s="142"/>
      <c r="C781" s="142" t="s">
        <v>193</v>
      </c>
      <c r="D781" s="142" t="s">
        <v>836</v>
      </c>
      <c r="E781" s="142" t="s">
        <v>210</v>
      </c>
      <c r="F781" s="140"/>
      <c r="G781" s="30">
        <f>SUM(G782:G782)</f>
        <v>19278.8</v>
      </c>
      <c r="H781" s="30">
        <f>SUM(H782:H782)</f>
        <v>18730.7</v>
      </c>
      <c r="I781" s="20">
        <f t="shared" si="29"/>
        <v>97.156980724941391</v>
      </c>
    </row>
    <row r="782" spans="1:11" ht="18" customHeight="1">
      <c r="A782" s="97" t="s">
        <v>49</v>
      </c>
      <c r="B782" s="142"/>
      <c r="C782" s="142" t="s">
        <v>193</v>
      </c>
      <c r="D782" s="142" t="s">
        <v>836</v>
      </c>
      <c r="E782" s="142" t="s">
        <v>210</v>
      </c>
      <c r="F782" s="140" t="s">
        <v>498</v>
      </c>
      <c r="G782" s="30">
        <v>19278.8</v>
      </c>
      <c r="H782" s="30">
        <v>18730.7</v>
      </c>
      <c r="I782" s="20">
        <f t="shared" si="29"/>
        <v>97.156980724941391</v>
      </c>
      <c r="J782" s="225">
        <f>ведомствен.2013!G1552+ведомствен.2013!G825</f>
        <v>19278.8</v>
      </c>
      <c r="K782" s="229">
        <f t="shared" ref="K782" si="33">SUM(G782-J782)</f>
        <v>0</v>
      </c>
    </row>
    <row r="783" spans="1:11" ht="18" customHeight="1">
      <c r="A783" s="95" t="s">
        <v>712</v>
      </c>
      <c r="B783" s="138"/>
      <c r="C783" s="142" t="s">
        <v>193</v>
      </c>
      <c r="D783" s="142" t="s">
        <v>836</v>
      </c>
      <c r="E783" s="142" t="s">
        <v>713</v>
      </c>
      <c r="F783" s="140"/>
      <c r="G783" s="30">
        <f>SUM(G784)+G794</f>
        <v>5634.6</v>
      </c>
      <c r="H783" s="30">
        <f>SUM(H784)+H794</f>
        <v>5633.9000000000005</v>
      </c>
      <c r="I783" s="20">
        <f t="shared" si="29"/>
        <v>99.98757675788876</v>
      </c>
    </row>
    <row r="784" spans="1:11" ht="34.5" customHeight="1">
      <c r="A784" s="95" t="s">
        <v>154</v>
      </c>
      <c r="B784" s="157"/>
      <c r="C784" s="142" t="s">
        <v>193</v>
      </c>
      <c r="D784" s="142" t="s">
        <v>836</v>
      </c>
      <c r="E784" s="142" t="s">
        <v>130</v>
      </c>
      <c r="F784" s="140"/>
      <c r="G784" s="30">
        <f>SUM(G786)+G787</f>
        <v>5634.6</v>
      </c>
      <c r="H784" s="30">
        <f>SUM(H786)+H787</f>
        <v>5633.9000000000005</v>
      </c>
      <c r="I784" s="20">
        <f t="shared" si="29"/>
        <v>99.98757675788876</v>
      </c>
    </row>
    <row r="785" spans="1:11" ht="37.5" customHeight="1">
      <c r="A785" s="95" t="s">
        <v>374</v>
      </c>
      <c r="B785" s="157"/>
      <c r="C785" s="142" t="s">
        <v>193</v>
      </c>
      <c r="D785" s="142" t="s">
        <v>836</v>
      </c>
      <c r="E785" s="142" t="s">
        <v>131</v>
      </c>
      <c r="F785" s="140"/>
      <c r="G785" s="30">
        <f>SUM(G786)</f>
        <v>4911.6000000000004</v>
      </c>
      <c r="H785" s="30">
        <f>SUM(H786)</f>
        <v>4911.6000000000004</v>
      </c>
      <c r="I785" s="20">
        <f t="shared" si="29"/>
        <v>100</v>
      </c>
    </row>
    <row r="786" spans="1:11" ht="48" customHeight="1">
      <c r="A786" s="95" t="s">
        <v>954</v>
      </c>
      <c r="B786" s="109"/>
      <c r="C786" s="142" t="s">
        <v>193</v>
      </c>
      <c r="D786" s="142" t="s">
        <v>836</v>
      </c>
      <c r="E786" s="142" t="s">
        <v>131</v>
      </c>
      <c r="F786" s="141" t="s">
        <v>51</v>
      </c>
      <c r="G786" s="30">
        <v>4911.6000000000004</v>
      </c>
      <c r="H786" s="30">
        <v>4911.6000000000004</v>
      </c>
      <c r="I786" s="20">
        <f t="shared" si="29"/>
        <v>100</v>
      </c>
      <c r="J786" s="225">
        <f>SUM(ведомствен.2013!G1559)</f>
        <v>4911.6000000000004</v>
      </c>
      <c r="K786" s="229">
        <f t="shared" ref="K786" si="34">SUM(G786-J786)</f>
        <v>0</v>
      </c>
    </row>
    <row r="787" spans="1:11" ht="19.5" customHeight="1">
      <c r="A787" s="95" t="s">
        <v>276</v>
      </c>
      <c r="B787" s="138"/>
      <c r="C787" s="142" t="s">
        <v>193</v>
      </c>
      <c r="D787" s="142" t="s">
        <v>836</v>
      </c>
      <c r="E787" s="138" t="s">
        <v>406</v>
      </c>
      <c r="F787" s="141"/>
      <c r="G787" s="30">
        <f>SUM(G790+G788)+G792</f>
        <v>723</v>
      </c>
      <c r="H787" s="30">
        <f>SUM(H790+H788)+H792</f>
        <v>722.3</v>
      </c>
      <c r="I787" s="20">
        <f t="shared" si="29"/>
        <v>99.903181189488237</v>
      </c>
    </row>
    <row r="788" spans="1:11" ht="32.25" customHeight="1">
      <c r="A788" s="95" t="s">
        <v>839</v>
      </c>
      <c r="B788" s="109"/>
      <c r="C788" s="142" t="s">
        <v>193</v>
      </c>
      <c r="D788" s="142" t="s">
        <v>836</v>
      </c>
      <c r="E788" s="142" t="s">
        <v>841</v>
      </c>
      <c r="F788" s="141"/>
      <c r="G788" s="30">
        <f>SUM(G789)</f>
        <v>710</v>
      </c>
      <c r="H788" s="30">
        <f>SUM(H789)</f>
        <v>709.3</v>
      </c>
      <c r="I788" s="20">
        <f t="shared" si="29"/>
        <v>99.901408450704224</v>
      </c>
    </row>
    <row r="789" spans="1:11" ht="20.25" customHeight="1">
      <c r="A789" s="95" t="s">
        <v>276</v>
      </c>
      <c r="B789" s="109"/>
      <c r="C789" s="142" t="s">
        <v>193</v>
      </c>
      <c r="D789" s="142" t="s">
        <v>836</v>
      </c>
      <c r="E789" s="142" t="s">
        <v>841</v>
      </c>
      <c r="F789" s="141" t="s">
        <v>132</v>
      </c>
      <c r="G789" s="30">
        <v>710</v>
      </c>
      <c r="H789" s="30">
        <v>709.3</v>
      </c>
      <c r="I789" s="20">
        <f t="shared" si="29"/>
        <v>99.901408450704224</v>
      </c>
      <c r="J789" s="225">
        <f>SUM(ведомствен.2013!G1564)</f>
        <v>710</v>
      </c>
      <c r="K789" s="229">
        <f t="shared" ref="K789" si="35">SUM(G789-J789)</f>
        <v>0</v>
      </c>
    </row>
    <row r="790" spans="1:11" ht="28.5" hidden="1" customHeight="1">
      <c r="A790" s="97" t="s">
        <v>759</v>
      </c>
      <c r="B790" s="109"/>
      <c r="C790" s="142" t="s">
        <v>193</v>
      </c>
      <c r="D790" s="142" t="s">
        <v>836</v>
      </c>
      <c r="E790" s="142" t="s">
        <v>248</v>
      </c>
      <c r="F790" s="141"/>
      <c r="G790" s="30">
        <f>SUM(G791)</f>
        <v>0</v>
      </c>
      <c r="H790" s="30">
        <f>SUM(H791)</f>
        <v>0</v>
      </c>
      <c r="I790" s="20" t="e">
        <f t="shared" si="29"/>
        <v>#DIV/0!</v>
      </c>
    </row>
    <row r="791" spans="1:11" ht="15" hidden="1" customHeight="1">
      <c r="A791" s="97" t="s">
        <v>231</v>
      </c>
      <c r="B791" s="109"/>
      <c r="C791" s="142" t="s">
        <v>193</v>
      </c>
      <c r="D791" s="142" t="s">
        <v>836</v>
      </c>
      <c r="E791" s="142" t="s">
        <v>248</v>
      </c>
      <c r="F791" s="141" t="s">
        <v>132</v>
      </c>
      <c r="G791" s="30"/>
      <c r="H791" s="30"/>
      <c r="I791" s="20" t="e">
        <f t="shared" si="29"/>
        <v>#DIV/0!</v>
      </c>
      <c r="J791" s="225">
        <f>SUM(ведомствен.2013!G1566)</f>
        <v>0</v>
      </c>
    </row>
    <row r="792" spans="1:11" ht="33" customHeight="1">
      <c r="A792" s="97" t="s">
        <v>270</v>
      </c>
      <c r="B792" s="109"/>
      <c r="C792" s="142" t="s">
        <v>193</v>
      </c>
      <c r="D792" s="142" t="s">
        <v>836</v>
      </c>
      <c r="E792" s="142" t="s">
        <v>914</v>
      </c>
      <c r="F792" s="141"/>
      <c r="G792" s="81">
        <f>SUM(G793)</f>
        <v>13</v>
      </c>
      <c r="H792" s="81">
        <f>SUM(H793)</f>
        <v>13</v>
      </c>
      <c r="I792" s="20">
        <f t="shared" si="29"/>
        <v>100</v>
      </c>
    </row>
    <row r="793" spans="1:11" ht="18.75" customHeight="1">
      <c r="A793" s="97" t="s">
        <v>231</v>
      </c>
      <c r="B793" s="109"/>
      <c r="C793" s="142" t="s">
        <v>193</v>
      </c>
      <c r="D793" s="142" t="s">
        <v>836</v>
      </c>
      <c r="E793" s="142" t="s">
        <v>914</v>
      </c>
      <c r="F793" s="141" t="s">
        <v>132</v>
      </c>
      <c r="G793" s="81">
        <v>13</v>
      </c>
      <c r="H793" s="81">
        <v>13</v>
      </c>
      <c r="I793" s="20">
        <f t="shared" si="29"/>
        <v>100</v>
      </c>
      <c r="J793" s="225">
        <f>SUM(ведомствен.2013!G1568)</f>
        <v>13</v>
      </c>
      <c r="K793" s="229">
        <f t="shared" ref="K793" si="36">SUM(G793-J793)</f>
        <v>0</v>
      </c>
    </row>
    <row r="794" spans="1:11" ht="28.5" hidden="1" customHeight="1">
      <c r="A794" s="95" t="s">
        <v>48</v>
      </c>
      <c r="B794" s="142"/>
      <c r="C794" s="142" t="s">
        <v>193</v>
      </c>
      <c r="D794" s="142" t="s">
        <v>836</v>
      </c>
      <c r="E794" s="142" t="s">
        <v>714</v>
      </c>
      <c r="F794" s="140"/>
      <c r="G794" s="30">
        <f>SUM(G795:G795)</f>
        <v>0</v>
      </c>
      <c r="H794" s="30">
        <f>SUM(H795:H795)</f>
        <v>0</v>
      </c>
      <c r="I794" s="20" t="e">
        <f t="shared" si="29"/>
        <v>#DIV/0!</v>
      </c>
    </row>
    <row r="795" spans="1:11" ht="15" hidden="1" customHeight="1">
      <c r="A795" s="97" t="s">
        <v>49</v>
      </c>
      <c r="B795" s="142"/>
      <c r="C795" s="142" t="s">
        <v>193</v>
      </c>
      <c r="D795" s="142" t="s">
        <v>836</v>
      </c>
      <c r="E795" s="142" t="s">
        <v>714</v>
      </c>
      <c r="F795" s="140" t="s">
        <v>498</v>
      </c>
      <c r="G795" s="30"/>
      <c r="H795" s="30"/>
      <c r="I795" s="20" t="e">
        <f t="shared" si="29"/>
        <v>#DIV/0!</v>
      </c>
      <c r="J795" s="225">
        <f>SUM(ведомствен.2013!G828)</f>
        <v>0</v>
      </c>
    </row>
    <row r="796" spans="1:11" ht="15" hidden="1" customHeight="1">
      <c r="A796" s="97" t="s">
        <v>497</v>
      </c>
      <c r="B796" s="109"/>
      <c r="C796" s="142" t="s">
        <v>193</v>
      </c>
      <c r="D796" s="142" t="s">
        <v>836</v>
      </c>
      <c r="E796" s="142" t="s">
        <v>715</v>
      </c>
      <c r="F796" s="141" t="s">
        <v>498</v>
      </c>
      <c r="G796" s="30"/>
      <c r="H796" s="30"/>
      <c r="I796" s="20" t="e">
        <f t="shared" si="29"/>
        <v>#DIV/0!</v>
      </c>
    </row>
    <row r="797" spans="1:11" ht="15">
      <c r="A797" s="95" t="s">
        <v>716</v>
      </c>
      <c r="B797" s="138"/>
      <c r="C797" s="142" t="s">
        <v>193</v>
      </c>
      <c r="D797" s="142" t="s">
        <v>836</v>
      </c>
      <c r="E797" s="142" t="s">
        <v>717</v>
      </c>
      <c r="F797" s="140"/>
      <c r="G797" s="30">
        <f>SUM(G798)</f>
        <v>40777</v>
      </c>
      <c r="H797" s="30">
        <f>SUM(H798)</f>
        <v>40188.1</v>
      </c>
      <c r="I797" s="20">
        <f t="shared" si="29"/>
        <v>98.555803516688329</v>
      </c>
    </row>
    <row r="798" spans="1:11" ht="34.5" customHeight="1">
      <c r="A798" s="95" t="s">
        <v>48</v>
      </c>
      <c r="B798" s="157"/>
      <c r="C798" s="142" t="s">
        <v>193</v>
      </c>
      <c r="D798" s="142" t="s">
        <v>836</v>
      </c>
      <c r="E798" s="142" t="s">
        <v>718</v>
      </c>
      <c r="F798" s="140"/>
      <c r="G798" s="30">
        <f>SUM(G799+G801+G803)</f>
        <v>40777</v>
      </c>
      <c r="H798" s="30">
        <f>SUM(H799+H801+H803)</f>
        <v>40188.1</v>
      </c>
      <c r="I798" s="20">
        <f t="shared" si="29"/>
        <v>98.555803516688329</v>
      </c>
    </row>
    <row r="799" spans="1:11" ht="15.75" customHeight="1">
      <c r="A799" s="97" t="s">
        <v>49</v>
      </c>
      <c r="B799" s="109"/>
      <c r="C799" s="142" t="s">
        <v>193</v>
      </c>
      <c r="D799" s="142" t="s">
        <v>836</v>
      </c>
      <c r="E799" s="142" t="s">
        <v>718</v>
      </c>
      <c r="F799" s="141" t="s">
        <v>498</v>
      </c>
      <c r="G799" s="30">
        <v>38692.9</v>
      </c>
      <c r="H799" s="30">
        <v>38278.5</v>
      </c>
      <c r="I799" s="20">
        <f t="shared" si="29"/>
        <v>98.929002478490872</v>
      </c>
      <c r="J799" s="225">
        <f>SUM(ведомствен.2013!G1571)+ведомствен.2013!G831</f>
        <v>38692.9</v>
      </c>
      <c r="K799" s="229">
        <f t="shared" ref="K799" si="37">SUM(G799-J799)</f>
        <v>0</v>
      </c>
    </row>
    <row r="800" spans="1:11" ht="42.75" hidden="1" customHeight="1">
      <c r="A800" s="97" t="s">
        <v>709</v>
      </c>
      <c r="B800" s="109"/>
      <c r="C800" s="142" t="s">
        <v>193</v>
      </c>
      <c r="D800" s="142" t="s">
        <v>836</v>
      </c>
      <c r="E800" s="142" t="s">
        <v>718</v>
      </c>
      <c r="F800" s="141" t="s">
        <v>710</v>
      </c>
      <c r="G800" s="30"/>
      <c r="H800" s="30"/>
      <c r="I800" s="20" t="e">
        <f t="shared" si="29"/>
        <v>#DIV/0!</v>
      </c>
    </row>
    <row r="801" spans="1:11" ht="42.75" hidden="1" customHeight="1">
      <c r="A801" s="95" t="s">
        <v>1010</v>
      </c>
      <c r="B801" s="138"/>
      <c r="C801" s="142" t="s">
        <v>193</v>
      </c>
      <c r="D801" s="142" t="s">
        <v>836</v>
      </c>
      <c r="E801" s="142" t="s">
        <v>719</v>
      </c>
      <c r="F801" s="141"/>
      <c r="G801" s="30">
        <f>SUM(G802)</f>
        <v>0</v>
      </c>
      <c r="H801" s="30">
        <f>SUM(H802)</f>
        <v>0</v>
      </c>
      <c r="I801" s="20" t="e">
        <f t="shared" si="29"/>
        <v>#DIV/0!</v>
      </c>
    </row>
    <row r="802" spans="1:11" ht="15" hidden="1" customHeight="1">
      <c r="A802" s="97" t="s">
        <v>497</v>
      </c>
      <c r="B802" s="109"/>
      <c r="C802" s="142" t="s">
        <v>193</v>
      </c>
      <c r="D802" s="142" t="s">
        <v>836</v>
      </c>
      <c r="E802" s="142" t="s">
        <v>719</v>
      </c>
      <c r="F802" s="141" t="s">
        <v>498</v>
      </c>
      <c r="G802" s="30"/>
      <c r="H802" s="30"/>
      <c r="I802" s="20" t="e">
        <f t="shared" si="29"/>
        <v>#DIV/0!</v>
      </c>
    </row>
    <row r="803" spans="1:11" ht="47.25" customHeight="1">
      <c r="A803" s="97" t="s">
        <v>60</v>
      </c>
      <c r="B803" s="109"/>
      <c r="C803" s="142" t="s">
        <v>193</v>
      </c>
      <c r="D803" s="142" t="s">
        <v>836</v>
      </c>
      <c r="E803" s="142" t="s">
        <v>720</v>
      </c>
      <c r="F803" s="141"/>
      <c r="G803" s="30">
        <f>SUM(G804)</f>
        <v>2084.1</v>
      </c>
      <c r="H803" s="30">
        <f>SUM(H804)</f>
        <v>1909.6</v>
      </c>
      <c r="I803" s="20">
        <f t="shared" si="29"/>
        <v>91.627081234105844</v>
      </c>
    </row>
    <row r="804" spans="1:11" ht="16.5" customHeight="1">
      <c r="A804" s="97" t="s">
        <v>49</v>
      </c>
      <c r="B804" s="109"/>
      <c r="C804" s="142" t="s">
        <v>193</v>
      </c>
      <c r="D804" s="142" t="s">
        <v>836</v>
      </c>
      <c r="E804" s="142" t="s">
        <v>720</v>
      </c>
      <c r="F804" s="141" t="s">
        <v>498</v>
      </c>
      <c r="G804" s="30">
        <v>2084.1</v>
      </c>
      <c r="H804" s="30">
        <v>1909.6</v>
      </c>
      <c r="I804" s="20">
        <f t="shared" si="29"/>
        <v>91.627081234105844</v>
      </c>
      <c r="J804" s="225">
        <f>SUM(ведомствен.2013!G1576)</f>
        <v>2084.1</v>
      </c>
      <c r="K804" s="229">
        <f t="shared" ref="K804" si="38">SUM(G804-J804)</f>
        <v>0</v>
      </c>
    </row>
    <row r="805" spans="1:11" ht="18.75" customHeight="1">
      <c r="A805" s="95" t="s">
        <v>932</v>
      </c>
      <c r="B805" s="109"/>
      <c r="C805" s="142" t="s">
        <v>193</v>
      </c>
      <c r="D805" s="142" t="s">
        <v>836</v>
      </c>
      <c r="E805" s="142" t="s">
        <v>933</v>
      </c>
      <c r="F805" s="141"/>
      <c r="G805" s="81">
        <f>SUM(G806)</f>
        <v>420.9</v>
      </c>
      <c r="H805" s="81">
        <f>SUM(H806)</f>
        <v>420.9</v>
      </c>
      <c r="I805" s="20">
        <f t="shared" si="29"/>
        <v>100</v>
      </c>
    </row>
    <row r="806" spans="1:11" ht="45" customHeight="1">
      <c r="A806" s="97" t="s">
        <v>1039</v>
      </c>
      <c r="B806" s="109"/>
      <c r="C806" s="142" t="s">
        <v>193</v>
      </c>
      <c r="D806" s="142" t="s">
        <v>836</v>
      </c>
      <c r="E806" s="142" t="s">
        <v>1040</v>
      </c>
      <c r="F806" s="141"/>
      <c r="G806" s="81">
        <f>SUM(G807)</f>
        <v>420.9</v>
      </c>
      <c r="H806" s="81">
        <f>SUM(H807)</f>
        <v>420.9</v>
      </c>
      <c r="I806" s="20">
        <f t="shared" si="29"/>
        <v>100</v>
      </c>
    </row>
    <row r="807" spans="1:11" ht="22.5" customHeight="1">
      <c r="A807" s="97" t="s">
        <v>231</v>
      </c>
      <c r="B807" s="109"/>
      <c r="C807" s="142" t="s">
        <v>193</v>
      </c>
      <c r="D807" s="142" t="s">
        <v>836</v>
      </c>
      <c r="E807" s="142" t="s">
        <v>1040</v>
      </c>
      <c r="F807" s="141" t="s">
        <v>132</v>
      </c>
      <c r="G807" s="81">
        <v>420.9</v>
      </c>
      <c r="H807" s="81">
        <v>420.9</v>
      </c>
      <c r="I807" s="20">
        <f t="shared" si="29"/>
        <v>100</v>
      </c>
      <c r="J807" s="225">
        <f>SUM(ведомствен.2013!G1579)</f>
        <v>420.9</v>
      </c>
      <c r="K807" s="229">
        <f t="shared" ref="K807" si="39">SUM(G807-J807)</f>
        <v>0</v>
      </c>
    </row>
    <row r="808" spans="1:11" ht="15" hidden="1" customHeight="1">
      <c r="A808" s="97" t="s">
        <v>497</v>
      </c>
      <c r="B808" s="109"/>
      <c r="C808" s="142" t="s">
        <v>193</v>
      </c>
      <c r="D808" s="142" t="s">
        <v>836</v>
      </c>
      <c r="E808" s="142" t="s">
        <v>722</v>
      </c>
      <c r="F808" s="141" t="s">
        <v>498</v>
      </c>
      <c r="G808" s="30"/>
      <c r="H808" s="30"/>
      <c r="I808" s="20" t="e">
        <f t="shared" si="29"/>
        <v>#DIV/0!</v>
      </c>
    </row>
    <row r="809" spans="1:11" ht="15" hidden="1" customHeight="1">
      <c r="A809" s="97" t="s">
        <v>200</v>
      </c>
      <c r="B809" s="169"/>
      <c r="C809" s="154" t="s">
        <v>193</v>
      </c>
      <c r="D809" s="154" t="s">
        <v>836</v>
      </c>
      <c r="E809" s="154" t="s">
        <v>201</v>
      </c>
      <c r="F809" s="144"/>
      <c r="G809" s="30">
        <f>SUM(G810)</f>
        <v>0</v>
      </c>
      <c r="H809" s="30">
        <f>SUM(H810)</f>
        <v>0</v>
      </c>
      <c r="I809" s="20" t="e">
        <f t="shared" si="29"/>
        <v>#DIV/0!</v>
      </c>
    </row>
    <row r="810" spans="1:11" ht="42.75" hidden="1" customHeight="1">
      <c r="A810" s="115" t="s">
        <v>386</v>
      </c>
      <c r="B810" s="169"/>
      <c r="C810" s="154" t="s">
        <v>193</v>
      </c>
      <c r="D810" s="154" t="s">
        <v>836</v>
      </c>
      <c r="E810" s="154" t="s">
        <v>597</v>
      </c>
      <c r="F810" s="144"/>
      <c r="G810" s="30">
        <f>SUM(G811:G812)</f>
        <v>0</v>
      </c>
      <c r="H810" s="30">
        <f>SUM(H811:H812)</f>
        <v>0</v>
      </c>
      <c r="I810" s="20" t="e">
        <f t="shared" si="29"/>
        <v>#DIV/0!</v>
      </c>
    </row>
    <row r="811" spans="1:11" ht="15" hidden="1" customHeight="1">
      <c r="A811" s="97" t="s">
        <v>49</v>
      </c>
      <c r="B811" s="169"/>
      <c r="C811" s="154" t="s">
        <v>193</v>
      </c>
      <c r="D811" s="154" t="s">
        <v>836</v>
      </c>
      <c r="E811" s="154" t="s">
        <v>597</v>
      </c>
      <c r="F811" s="144" t="s">
        <v>498</v>
      </c>
      <c r="G811" s="30"/>
      <c r="H811" s="30"/>
      <c r="I811" s="20" t="e">
        <f t="shared" si="29"/>
        <v>#DIV/0!</v>
      </c>
      <c r="J811" s="225">
        <f>SUM(ведомствен.2013!G1583)</f>
        <v>0</v>
      </c>
    </row>
    <row r="812" spans="1:11" ht="15" hidden="1" customHeight="1">
      <c r="A812" s="97" t="s">
        <v>231</v>
      </c>
      <c r="B812" s="169"/>
      <c r="C812" s="154" t="s">
        <v>193</v>
      </c>
      <c r="D812" s="154" t="s">
        <v>836</v>
      </c>
      <c r="E812" s="154" t="s">
        <v>597</v>
      </c>
      <c r="F812" s="144" t="s">
        <v>132</v>
      </c>
      <c r="G812" s="30"/>
      <c r="H812" s="30"/>
      <c r="I812" s="20" t="e">
        <f t="shared" si="29"/>
        <v>#DIV/0!</v>
      </c>
      <c r="J812" s="225">
        <f>SUM(ведомствен.2013!G1584)</f>
        <v>0</v>
      </c>
    </row>
    <row r="813" spans="1:11" ht="24" customHeight="1">
      <c r="A813" s="119" t="s">
        <v>461</v>
      </c>
      <c r="B813" s="169"/>
      <c r="C813" s="154" t="s">
        <v>193</v>
      </c>
      <c r="D813" s="154" t="s">
        <v>191</v>
      </c>
      <c r="E813" s="154"/>
      <c r="F813" s="144"/>
      <c r="G813" s="30">
        <f>SUM(G817+G822)+G814+G820</f>
        <v>15113.5</v>
      </c>
      <c r="H813" s="30">
        <f>SUM(H817+H822)+H814+H820</f>
        <v>14940.5</v>
      </c>
      <c r="I813" s="20">
        <f t="shared" si="29"/>
        <v>98.855328017997152</v>
      </c>
    </row>
    <row r="814" spans="1:11" ht="15" hidden="1" customHeight="1">
      <c r="A814" s="95" t="s">
        <v>748</v>
      </c>
      <c r="B814" s="169"/>
      <c r="C814" s="142" t="s">
        <v>193</v>
      </c>
      <c r="D814" s="154" t="s">
        <v>191</v>
      </c>
      <c r="E814" s="142" t="s">
        <v>750</v>
      </c>
      <c r="F814" s="144"/>
      <c r="G814" s="30">
        <f>SUM(G815)</f>
        <v>0</v>
      </c>
      <c r="H814" s="30">
        <f>SUM(H815)</f>
        <v>0</v>
      </c>
      <c r="I814" s="20" t="e">
        <f t="shared" si="29"/>
        <v>#DIV/0!</v>
      </c>
    </row>
    <row r="815" spans="1:11" ht="15" hidden="1" customHeight="1">
      <c r="A815" s="95" t="s">
        <v>728</v>
      </c>
      <c r="B815" s="169"/>
      <c r="C815" s="142" t="s">
        <v>193</v>
      </c>
      <c r="D815" s="154" t="s">
        <v>191</v>
      </c>
      <c r="E815" s="142" t="s">
        <v>729</v>
      </c>
      <c r="F815" s="144"/>
      <c r="G815" s="30">
        <f>SUM(G816)</f>
        <v>0</v>
      </c>
      <c r="H815" s="30">
        <f>SUM(H816)</f>
        <v>0</v>
      </c>
      <c r="I815" s="20" t="e">
        <f t="shared" si="29"/>
        <v>#DIV/0!</v>
      </c>
    </row>
    <row r="816" spans="1:11" ht="28.5" hidden="1" customHeight="1">
      <c r="A816" s="95" t="s">
        <v>622</v>
      </c>
      <c r="B816" s="169"/>
      <c r="C816" s="142" t="s">
        <v>193</v>
      </c>
      <c r="D816" s="154" t="s">
        <v>191</v>
      </c>
      <c r="E816" s="142" t="s">
        <v>729</v>
      </c>
      <c r="F816" s="144" t="s">
        <v>623</v>
      </c>
      <c r="G816" s="30"/>
      <c r="H816" s="30"/>
      <c r="I816" s="20" t="e">
        <f t="shared" si="29"/>
        <v>#DIV/0!</v>
      </c>
    </row>
    <row r="817" spans="1:11" ht="62.25" customHeight="1">
      <c r="A817" s="119" t="s">
        <v>560</v>
      </c>
      <c r="B817" s="157"/>
      <c r="C817" s="142" t="s">
        <v>193</v>
      </c>
      <c r="D817" s="154" t="s">
        <v>191</v>
      </c>
      <c r="E817" s="142" t="s">
        <v>561</v>
      </c>
      <c r="F817" s="140"/>
      <c r="G817" s="30">
        <f>SUM(G818)</f>
        <v>6928.9</v>
      </c>
      <c r="H817" s="30">
        <f>SUM(H818)</f>
        <v>6764.1</v>
      </c>
      <c r="I817" s="20">
        <f t="shared" si="29"/>
        <v>97.621556091154446</v>
      </c>
    </row>
    <row r="818" spans="1:11" ht="30.75" customHeight="1">
      <c r="A818" s="95" t="s">
        <v>48</v>
      </c>
      <c r="B818" s="157"/>
      <c r="C818" s="142" t="s">
        <v>193</v>
      </c>
      <c r="D818" s="154" t="s">
        <v>191</v>
      </c>
      <c r="E818" s="142" t="s">
        <v>562</v>
      </c>
      <c r="F818" s="140"/>
      <c r="G818" s="30">
        <f>SUM(G819)</f>
        <v>6928.9</v>
      </c>
      <c r="H818" s="30">
        <f>SUM(H819)</f>
        <v>6764.1</v>
      </c>
      <c r="I818" s="20">
        <f t="shared" si="29"/>
        <v>97.621556091154446</v>
      </c>
    </row>
    <row r="819" spans="1:11" ht="16.5" customHeight="1">
      <c r="A819" s="97" t="s">
        <v>49</v>
      </c>
      <c r="B819" s="109"/>
      <c r="C819" s="142" t="s">
        <v>193</v>
      </c>
      <c r="D819" s="154" t="s">
        <v>191</v>
      </c>
      <c r="E819" s="142" t="s">
        <v>562</v>
      </c>
      <c r="F819" s="141" t="s">
        <v>498</v>
      </c>
      <c r="G819" s="30">
        <v>6928.9</v>
      </c>
      <c r="H819" s="30">
        <v>6764.1</v>
      </c>
      <c r="I819" s="20">
        <f t="shared" si="29"/>
        <v>97.621556091154446</v>
      </c>
      <c r="J819" s="225">
        <f>SUM(ведомствен.2013!G1591)+ведомствен.2013!G835</f>
        <v>6928.9</v>
      </c>
      <c r="K819" s="229">
        <f t="shared" ref="K819" si="40">SUM(G819-J819)</f>
        <v>0</v>
      </c>
    </row>
    <row r="820" spans="1:11" ht="28.5" hidden="1" customHeight="1">
      <c r="A820" s="119" t="s">
        <v>378</v>
      </c>
      <c r="B820" s="138"/>
      <c r="C820" s="154" t="s">
        <v>193</v>
      </c>
      <c r="D820" s="154" t="s">
        <v>191</v>
      </c>
      <c r="E820" s="138" t="s">
        <v>379</v>
      </c>
      <c r="F820" s="141"/>
      <c r="G820" s="30">
        <f>SUM(G821)</f>
        <v>0</v>
      </c>
      <c r="H820" s="30">
        <f>SUM(H821)</f>
        <v>0</v>
      </c>
      <c r="I820" s="20" t="e">
        <f t="shared" si="29"/>
        <v>#DIV/0!</v>
      </c>
    </row>
    <row r="821" spans="1:11" ht="15" hidden="1" customHeight="1">
      <c r="A821" s="97" t="s">
        <v>49</v>
      </c>
      <c r="B821" s="138"/>
      <c r="C821" s="154" t="s">
        <v>193</v>
      </c>
      <c r="D821" s="154" t="s">
        <v>191</v>
      </c>
      <c r="E821" s="138" t="s">
        <v>379</v>
      </c>
      <c r="F821" s="139" t="s">
        <v>498</v>
      </c>
      <c r="G821" s="204"/>
      <c r="H821" s="204"/>
      <c r="I821" s="20" t="e">
        <f t="shared" si="29"/>
        <v>#DIV/0!</v>
      </c>
    </row>
    <row r="822" spans="1:11" ht="18.75" customHeight="1">
      <c r="A822" s="97" t="s">
        <v>200</v>
      </c>
      <c r="B822" s="169"/>
      <c r="C822" s="154" t="s">
        <v>193</v>
      </c>
      <c r="D822" s="154" t="s">
        <v>191</v>
      </c>
      <c r="E822" s="154" t="s">
        <v>201</v>
      </c>
      <c r="F822" s="144"/>
      <c r="G822" s="30">
        <f>SUM(G825+G823+G828)</f>
        <v>8184.6</v>
      </c>
      <c r="H822" s="30">
        <f>SUM(H825+H823+H828)</f>
        <v>8176.4</v>
      </c>
      <c r="I822" s="20">
        <f t="shared" si="29"/>
        <v>99.899811841751571</v>
      </c>
    </row>
    <row r="823" spans="1:11" ht="42.75" hidden="1">
      <c r="A823" s="115" t="s">
        <v>386</v>
      </c>
      <c r="B823" s="169"/>
      <c r="C823" s="154" t="s">
        <v>193</v>
      </c>
      <c r="D823" s="154" t="s">
        <v>191</v>
      </c>
      <c r="E823" s="154" t="s">
        <v>597</v>
      </c>
      <c r="F823" s="144"/>
      <c r="G823" s="30">
        <f>SUM(G824)</f>
        <v>0</v>
      </c>
      <c r="H823" s="30">
        <f>SUM(H824)</f>
        <v>0</v>
      </c>
      <c r="I823" s="20" t="e">
        <f t="shared" si="29"/>
        <v>#DIV/0!</v>
      </c>
      <c r="J823" s="225">
        <f>SUM(ведомствен.2013!G1593)</f>
        <v>0</v>
      </c>
    </row>
    <row r="824" spans="1:11" ht="15" hidden="1">
      <c r="A824" s="97" t="s">
        <v>49</v>
      </c>
      <c r="B824" s="169"/>
      <c r="C824" s="154" t="s">
        <v>193</v>
      </c>
      <c r="D824" s="154" t="s">
        <v>191</v>
      </c>
      <c r="E824" s="154" t="s">
        <v>597</v>
      </c>
      <c r="F824" s="144" t="s">
        <v>498</v>
      </c>
      <c r="G824" s="30"/>
      <c r="H824" s="30"/>
      <c r="I824" s="20" t="e">
        <f t="shared" si="29"/>
        <v>#DIV/0!</v>
      </c>
    </row>
    <row r="825" spans="1:11" ht="37.5" customHeight="1">
      <c r="A825" s="115" t="s">
        <v>892</v>
      </c>
      <c r="B825" s="169"/>
      <c r="C825" s="154" t="s">
        <v>193</v>
      </c>
      <c r="D825" s="154" t="s">
        <v>191</v>
      </c>
      <c r="E825" s="154" t="s">
        <v>624</v>
      </c>
      <c r="F825" s="144"/>
      <c r="G825" s="30">
        <f>SUM(G826:G827)</f>
        <v>3884.6</v>
      </c>
      <c r="H825" s="30">
        <f>SUM(H826:H827)</f>
        <v>3884.6</v>
      </c>
      <c r="I825" s="20">
        <f t="shared" si="29"/>
        <v>100</v>
      </c>
    </row>
    <row r="826" spans="1:11" ht="30" customHeight="1">
      <c r="A826" s="97" t="s">
        <v>155</v>
      </c>
      <c r="B826" s="169"/>
      <c r="C826" s="154" t="s">
        <v>193</v>
      </c>
      <c r="D826" s="154" t="s">
        <v>191</v>
      </c>
      <c r="E826" s="154" t="s">
        <v>624</v>
      </c>
      <c r="F826" s="144" t="s">
        <v>623</v>
      </c>
      <c r="G826" s="30">
        <v>1764.6</v>
      </c>
      <c r="H826" s="30">
        <v>1764.6</v>
      </c>
      <c r="I826" s="20">
        <f t="shared" si="29"/>
        <v>100</v>
      </c>
      <c r="J826" s="225">
        <f>SUM(ведомствен.2013!G1596)</f>
        <v>1764.6</v>
      </c>
      <c r="K826" s="229">
        <f t="shared" ref="K826:K830" si="41">SUM(G826-J826)</f>
        <v>0</v>
      </c>
    </row>
    <row r="827" spans="1:11" ht="21" customHeight="1">
      <c r="A827" s="115" t="s">
        <v>276</v>
      </c>
      <c r="B827" s="169"/>
      <c r="C827" s="154" t="s">
        <v>193</v>
      </c>
      <c r="D827" s="154" t="s">
        <v>191</v>
      </c>
      <c r="E827" s="154" t="s">
        <v>624</v>
      </c>
      <c r="F827" s="144" t="s">
        <v>132</v>
      </c>
      <c r="G827" s="204">
        <v>2120</v>
      </c>
      <c r="H827" s="204">
        <v>2120</v>
      </c>
      <c r="I827" s="20">
        <f t="shared" ref="I827:I890" si="42">SUM(H827/G827*100)</f>
        <v>100</v>
      </c>
      <c r="J827" s="225">
        <f>SUM(ведомствен.2013!G1597)</f>
        <v>2120</v>
      </c>
      <c r="K827" s="229">
        <f t="shared" si="41"/>
        <v>0</v>
      </c>
    </row>
    <row r="828" spans="1:11" ht="21" customHeight="1">
      <c r="A828" s="115" t="s">
        <v>893</v>
      </c>
      <c r="B828" s="169"/>
      <c r="C828" s="154" t="s">
        <v>193</v>
      </c>
      <c r="D828" s="154" t="s">
        <v>191</v>
      </c>
      <c r="E828" s="154" t="s">
        <v>626</v>
      </c>
      <c r="F828" s="144"/>
      <c r="G828" s="204">
        <f>SUM(G829:G830)</f>
        <v>4300</v>
      </c>
      <c r="H828" s="204">
        <f>SUM(H829:H830)</f>
        <v>4291.8</v>
      </c>
      <c r="I828" s="20">
        <f t="shared" si="42"/>
        <v>99.809302325581399</v>
      </c>
    </row>
    <row r="829" spans="1:11" ht="31.5" customHeight="1">
      <c r="A829" s="97" t="s">
        <v>155</v>
      </c>
      <c r="B829" s="169"/>
      <c r="C829" s="154" t="s">
        <v>193</v>
      </c>
      <c r="D829" s="154" t="s">
        <v>191</v>
      </c>
      <c r="E829" s="154" t="s">
        <v>626</v>
      </c>
      <c r="F829" s="144" t="s">
        <v>623</v>
      </c>
      <c r="G829" s="30">
        <v>3768</v>
      </c>
      <c r="H829" s="30">
        <v>3767</v>
      </c>
      <c r="I829" s="20">
        <f t="shared" si="42"/>
        <v>99.973460721868364</v>
      </c>
      <c r="J829" s="225">
        <f>SUM(ведомствен.2013!G1599)</f>
        <v>3768</v>
      </c>
      <c r="K829" s="229">
        <f t="shared" si="41"/>
        <v>0</v>
      </c>
    </row>
    <row r="830" spans="1:11" ht="23.25" customHeight="1">
      <c r="A830" s="115" t="s">
        <v>276</v>
      </c>
      <c r="B830" s="169"/>
      <c r="C830" s="154" t="s">
        <v>193</v>
      </c>
      <c r="D830" s="154" t="s">
        <v>191</v>
      </c>
      <c r="E830" s="154" t="s">
        <v>626</v>
      </c>
      <c r="F830" s="144" t="s">
        <v>132</v>
      </c>
      <c r="G830" s="204">
        <v>532</v>
      </c>
      <c r="H830" s="204">
        <v>524.79999999999995</v>
      </c>
      <c r="I830" s="20">
        <f t="shared" si="42"/>
        <v>98.646616541353367</v>
      </c>
      <c r="J830" s="225">
        <f>SUM(ведомствен.2013!G1600)</f>
        <v>532</v>
      </c>
      <c r="K830" s="229">
        <f t="shared" si="41"/>
        <v>0</v>
      </c>
    </row>
    <row r="831" spans="1:11" s="36" customFormat="1" ht="15" hidden="1" customHeight="1">
      <c r="A831" s="115" t="s">
        <v>625</v>
      </c>
      <c r="B831" s="169"/>
      <c r="C831" s="154" t="s">
        <v>193</v>
      </c>
      <c r="D831" s="154" t="s">
        <v>191</v>
      </c>
      <c r="E831" s="154" t="s">
        <v>626</v>
      </c>
      <c r="F831" s="144" t="s">
        <v>623</v>
      </c>
      <c r="G831" s="204"/>
      <c r="H831" s="204"/>
      <c r="I831" s="20" t="e">
        <f t="shared" si="42"/>
        <v>#DIV/0!</v>
      </c>
      <c r="J831" s="239"/>
    </row>
    <row r="832" spans="1:11" ht="15" hidden="1" customHeight="1">
      <c r="A832" s="95" t="s">
        <v>179</v>
      </c>
      <c r="B832" s="157"/>
      <c r="C832" s="142" t="s">
        <v>180</v>
      </c>
      <c r="D832" s="142"/>
      <c r="E832" s="142"/>
      <c r="F832" s="140"/>
      <c r="G832" s="30">
        <f>SUM(G833)+G836</f>
        <v>0</v>
      </c>
      <c r="H832" s="30">
        <f>SUM(H833)+H836</f>
        <v>0</v>
      </c>
      <c r="I832" s="20" t="e">
        <f t="shared" si="42"/>
        <v>#DIV/0!</v>
      </c>
    </row>
    <row r="833" spans="1:13" ht="15" hidden="1" customHeight="1">
      <c r="A833" s="95" t="s">
        <v>181</v>
      </c>
      <c r="B833" s="138"/>
      <c r="C833" s="138" t="s">
        <v>180</v>
      </c>
      <c r="D833" s="138" t="s">
        <v>180</v>
      </c>
      <c r="E833" s="138"/>
      <c r="F833" s="139"/>
      <c r="G833" s="30">
        <f>SUM(G834)</f>
        <v>0</v>
      </c>
      <c r="H833" s="30">
        <f>SUM(H834)</f>
        <v>0</v>
      </c>
      <c r="I833" s="20" t="e">
        <f t="shared" si="42"/>
        <v>#DIV/0!</v>
      </c>
    </row>
    <row r="834" spans="1:13" ht="28.5" hidden="1" customHeight="1">
      <c r="A834" s="95" t="s">
        <v>182</v>
      </c>
      <c r="B834" s="138"/>
      <c r="C834" s="138" t="s">
        <v>180</v>
      </c>
      <c r="D834" s="138" t="s">
        <v>180</v>
      </c>
      <c r="E834" s="138" t="s">
        <v>183</v>
      </c>
      <c r="F834" s="139"/>
      <c r="G834" s="30">
        <f>SUM(G835)</f>
        <v>0</v>
      </c>
      <c r="H834" s="30">
        <f>SUM(H835)</f>
        <v>0</v>
      </c>
      <c r="I834" s="20" t="e">
        <f t="shared" si="42"/>
        <v>#DIV/0!</v>
      </c>
    </row>
    <row r="835" spans="1:13" ht="15" hidden="1" customHeight="1">
      <c r="A835" s="95" t="s">
        <v>184</v>
      </c>
      <c r="B835" s="138"/>
      <c r="C835" s="138" t="s">
        <v>180</v>
      </c>
      <c r="D835" s="138" t="s">
        <v>180</v>
      </c>
      <c r="E835" s="138" t="s">
        <v>183</v>
      </c>
      <c r="F835" s="139" t="s">
        <v>185</v>
      </c>
      <c r="G835" s="30"/>
      <c r="H835" s="30"/>
      <c r="I835" s="20" t="e">
        <f t="shared" si="42"/>
        <v>#DIV/0!</v>
      </c>
    </row>
    <row r="836" spans="1:13" ht="15" hidden="1" customHeight="1">
      <c r="A836" s="97" t="s">
        <v>458</v>
      </c>
      <c r="B836" s="138"/>
      <c r="C836" s="138" t="s">
        <v>180</v>
      </c>
      <c r="D836" s="138" t="s">
        <v>603</v>
      </c>
      <c r="E836" s="138"/>
      <c r="F836" s="139"/>
      <c r="G836" s="30">
        <f>SUM(G837)</f>
        <v>0</v>
      </c>
      <c r="H836" s="30">
        <f>SUM(H837)</f>
        <v>0</v>
      </c>
      <c r="I836" s="20" t="e">
        <f t="shared" si="42"/>
        <v>#DIV/0!</v>
      </c>
    </row>
    <row r="837" spans="1:13" ht="15" hidden="1" customHeight="1">
      <c r="A837" s="97" t="s">
        <v>200</v>
      </c>
      <c r="B837" s="138"/>
      <c r="C837" s="138" t="s">
        <v>180</v>
      </c>
      <c r="D837" s="138" t="s">
        <v>603</v>
      </c>
      <c r="E837" s="138" t="s">
        <v>201</v>
      </c>
      <c r="F837" s="139"/>
      <c r="G837" s="30">
        <f>SUM(G838)</f>
        <v>0</v>
      </c>
      <c r="H837" s="30">
        <f>SUM(H838)</f>
        <v>0</v>
      </c>
      <c r="I837" s="20" t="e">
        <f t="shared" si="42"/>
        <v>#DIV/0!</v>
      </c>
    </row>
    <row r="838" spans="1:13" ht="15" hidden="1" customHeight="1">
      <c r="A838" s="95" t="s">
        <v>627</v>
      </c>
      <c r="B838" s="138"/>
      <c r="C838" s="138" t="s">
        <v>180</v>
      </c>
      <c r="D838" s="138" t="s">
        <v>603</v>
      </c>
      <c r="E838" s="138" t="s">
        <v>201</v>
      </c>
      <c r="F838" s="139" t="s">
        <v>318</v>
      </c>
      <c r="G838" s="30"/>
      <c r="H838" s="30"/>
      <c r="I838" s="20" t="e">
        <f t="shared" si="42"/>
        <v>#DIV/0!</v>
      </c>
    </row>
    <row r="839" spans="1:13" s="19" customFormat="1" ht="18.75" customHeight="1">
      <c r="A839" s="120" t="s">
        <v>650</v>
      </c>
      <c r="B839" s="169"/>
      <c r="C839" s="193" t="s">
        <v>603</v>
      </c>
      <c r="D839" s="193"/>
      <c r="E839" s="193"/>
      <c r="F839" s="194"/>
      <c r="G839" s="203">
        <f>SUM(G840+G861+G895+G900+G911+G920)</f>
        <v>204346</v>
      </c>
      <c r="H839" s="203">
        <f>SUM(H840+H861+H895+H900+H911+H920)</f>
        <v>202196.59999999998</v>
      </c>
      <c r="I839" s="203">
        <f t="shared" si="42"/>
        <v>98.948156557994764</v>
      </c>
      <c r="J839" s="226"/>
      <c r="K839" s="19">
        <f>SUM(J840:J957)</f>
        <v>204345.99999999997</v>
      </c>
      <c r="L839" s="19">
        <f>SUM(ведомствен.2013!G1614)</f>
        <v>204346</v>
      </c>
    </row>
    <row r="840" spans="1:13" ht="15.75" customHeight="1">
      <c r="A840" s="95" t="s">
        <v>319</v>
      </c>
      <c r="B840" s="138"/>
      <c r="C840" s="142" t="s">
        <v>603</v>
      </c>
      <c r="D840" s="142" t="s">
        <v>836</v>
      </c>
      <c r="E840" s="142"/>
      <c r="F840" s="140"/>
      <c r="G840" s="30">
        <f>SUM(G845+G847)</f>
        <v>26752.400000000001</v>
      </c>
      <c r="H840" s="30">
        <f>SUM(H845+H847)</f>
        <v>26749.1</v>
      </c>
      <c r="I840" s="20">
        <f t="shared" si="42"/>
        <v>99.987664658124118</v>
      </c>
      <c r="M840" s="249">
        <f>SUM(K839-L839)</f>
        <v>-2.9103830456733704E-11</v>
      </c>
    </row>
    <row r="841" spans="1:13" ht="28.5" hidden="1" customHeight="1">
      <c r="A841" s="118" t="s">
        <v>320</v>
      </c>
      <c r="B841" s="138"/>
      <c r="C841" s="142" t="s">
        <v>603</v>
      </c>
      <c r="D841" s="142" t="s">
        <v>836</v>
      </c>
      <c r="E841" s="142" t="s">
        <v>321</v>
      </c>
      <c r="F841" s="140"/>
      <c r="G841" s="30">
        <f>SUM(G842)</f>
        <v>0</v>
      </c>
      <c r="H841" s="30">
        <f>SUM(H842)</f>
        <v>0</v>
      </c>
      <c r="I841" s="20" t="e">
        <f t="shared" si="42"/>
        <v>#DIV/0!</v>
      </c>
    </row>
    <row r="842" spans="1:13" ht="15" hidden="1" customHeight="1">
      <c r="A842" s="95" t="s">
        <v>495</v>
      </c>
      <c r="B842" s="138"/>
      <c r="C842" s="142" t="s">
        <v>603</v>
      </c>
      <c r="D842" s="142" t="s">
        <v>836</v>
      </c>
      <c r="E842" s="142" t="s">
        <v>322</v>
      </c>
      <c r="F842" s="140"/>
      <c r="G842" s="30">
        <f>SUM(G843)</f>
        <v>0</v>
      </c>
      <c r="H842" s="30">
        <f>SUM(H843)</f>
        <v>0</v>
      </c>
      <c r="I842" s="20" t="e">
        <f t="shared" si="42"/>
        <v>#DIV/0!</v>
      </c>
    </row>
    <row r="843" spans="1:13" ht="15" hidden="1" customHeight="1">
      <c r="A843" s="97" t="s">
        <v>497</v>
      </c>
      <c r="B843" s="138"/>
      <c r="C843" s="142" t="s">
        <v>603</v>
      </c>
      <c r="D843" s="142" t="s">
        <v>836</v>
      </c>
      <c r="E843" s="142" t="s">
        <v>322</v>
      </c>
      <c r="F843" s="140" t="s">
        <v>498</v>
      </c>
      <c r="G843" s="30"/>
      <c r="H843" s="30"/>
      <c r="I843" s="20" t="e">
        <f t="shared" si="42"/>
        <v>#DIV/0!</v>
      </c>
    </row>
    <row r="844" spans="1:13" ht="15" hidden="1" customHeight="1">
      <c r="A844" s="95" t="s">
        <v>748</v>
      </c>
      <c r="B844" s="138"/>
      <c r="C844" s="142" t="s">
        <v>603</v>
      </c>
      <c r="D844" s="142" t="s">
        <v>836</v>
      </c>
      <c r="E844" s="138" t="s">
        <v>750</v>
      </c>
      <c r="F844" s="139"/>
      <c r="G844" s="30">
        <f>SUM(G845)</f>
        <v>0</v>
      </c>
      <c r="H844" s="30">
        <f>SUM(H845)</f>
        <v>0</v>
      </c>
      <c r="I844" s="20" t="e">
        <f t="shared" si="42"/>
        <v>#DIV/0!</v>
      </c>
    </row>
    <row r="845" spans="1:13" ht="15" hidden="1" customHeight="1">
      <c r="A845" s="95" t="s">
        <v>728</v>
      </c>
      <c r="B845" s="138"/>
      <c r="C845" s="142" t="s">
        <v>603</v>
      </c>
      <c r="D845" s="142" t="s">
        <v>836</v>
      </c>
      <c r="E845" s="138" t="s">
        <v>729</v>
      </c>
      <c r="F845" s="139"/>
      <c r="G845" s="30">
        <f>SUM(G846)</f>
        <v>0</v>
      </c>
      <c r="H845" s="30">
        <f>SUM(H846)</f>
        <v>0</v>
      </c>
      <c r="I845" s="20" t="e">
        <f t="shared" si="42"/>
        <v>#DIV/0!</v>
      </c>
    </row>
    <row r="846" spans="1:13" ht="15" hidden="1" customHeight="1">
      <c r="A846" s="97" t="s">
        <v>497</v>
      </c>
      <c r="B846" s="142"/>
      <c r="C846" s="142" t="s">
        <v>603</v>
      </c>
      <c r="D846" s="142" t="s">
        <v>836</v>
      </c>
      <c r="E846" s="138" t="s">
        <v>729</v>
      </c>
      <c r="F846" s="140" t="s">
        <v>498</v>
      </c>
      <c r="G846" s="30"/>
      <c r="H846" s="30"/>
      <c r="I846" s="20" t="e">
        <f t="shared" si="42"/>
        <v>#DIV/0!</v>
      </c>
    </row>
    <row r="847" spans="1:13" ht="15">
      <c r="A847" s="95" t="s">
        <v>356</v>
      </c>
      <c r="B847" s="138"/>
      <c r="C847" s="142" t="s">
        <v>603</v>
      </c>
      <c r="D847" s="142" t="s">
        <v>836</v>
      </c>
      <c r="E847" s="142" t="s">
        <v>323</v>
      </c>
      <c r="F847" s="140"/>
      <c r="G847" s="30">
        <f>SUM(G848)+G858</f>
        <v>26752.400000000001</v>
      </c>
      <c r="H847" s="30">
        <f>SUM(H848)+H858</f>
        <v>26749.1</v>
      </c>
      <c r="I847" s="20">
        <f t="shared" si="42"/>
        <v>99.987664658124118</v>
      </c>
    </row>
    <row r="848" spans="1:13" ht="30.75" customHeight="1">
      <c r="A848" s="95" t="s">
        <v>154</v>
      </c>
      <c r="B848" s="157"/>
      <c r="C848" s="142" t="s">
        <v>603</v>
      </c>
      <c r="D848" s="142" t="s">
        <v>836</v>
      </c>
      <c r="E848" s="142" t="s">
        <v>133</v>
      </c>
      <c r="F848" s="140"/>
      <c r="G848" s="30">
        <f>SUM(G849+G856)</f>
        <v>26752.400000000001</v>
      </c>
      <c r="H848" s="30">
        <f>SUM(H849+H856)</f>
        <v>26749.1</v>
      </c>
      <c r="I848" s="20">
        <f t="shared" si="42"/>
        <v>99.987664658124118</v>
      </c>
    </row>
    <row r="849" spans="1:11" ht="28.5" customHeight="1">
      <c r="A849" s="97" t="s">
        <v>228</v>
      </c>
      <c r="B849" s="157"/>
      <c r="C849" s="142" t="s">
        <v>603</v>
      </c>
      <c r="D849" s="142" t="s">
        <v>836</v>
      </c>
      <c r="E849" s="142" t="s">
        <v>229</v>
      </c>
      <c r="F849" s="140"/>
      <c r="G849" s="30">
        <f>SUM(G852+G854)+G850</f>
        <v>15190.7</v>
      </c>
      <c r="H849" s="30">
        <f>SUM(H852+H854)+H850</f>
        <v>15187.399999999998</v>
      </c>
      <c r="I849" s="20">
        <f t="shared" si="42"/>
        <v>99.978276182137733</v>
      </c>
    </row>
    <row r="850" spans="1:11" ht="28.5" customHeight="1">
      <c r="A850" s="97" t="s">
        <v>232</v>
      </c>
      <c r="B850" s="157"/>
      <c r="C850" s="142" t="s">
        <v>603</v>
      </c>
      <c r="D850" s="142" t="s">
        <v>836</v>
      </c>
      <c r="E850" s="142" t="s">
        <v>1126</v>
      </c>
      <c r="F850" s="140"/>
      <c r="G850" s="81">
        <f>SUM(G851)</f>
        <v>252</v>
      </c>
      <c r="H850" s="81">
        <f>SUM(H851)</f>
        <v>249.8</v>
      </c>
      <c r="I850" s="20">
        <f t="shared" si="42"/>
        <v>99.126984126984127</v>
      </c>
    </row>
    <row r="851" spans="1:11" ht="28.5" customHeight="1">
      <c r="A851" s="97" t="s">
        <v>231</v>
      </c>
      <c r="B851" s="157"/>
      <c r="C851" s="142" t="s">
        <v>603</v>
      </c>
      <c r="D851" s="142" t="s">
        <v>836</v>
      </c>
      <c r="E851" s="142" t="s">
        <v>1126</v>
      </c>
      <c r="F851" s="140" t="s">
        <v>132</v>
      </c>
      <c r="G851" s="81">
        <v>252</v>
      </c>
      <c r="H851" s="81">
        <v>249.8</v>
      </c>
      <c r="I851" s="20">
        <f t="shared" si="42"/>
        <v>99.126984126984127</v>
      </c>
      <c r="J851" s="225">
        <f>SUM(ведомствен.2013!G1623)</f>
        <v>252</v>
      </c>
      <c r="K851" s="229">
        <f t="shared" ref="K851:K914" si="43">SUM(G851-J851)</f>
        <v>0</v>
      </c>
    </row>
    <row r="852" spans="1:11" ht="28.5" customHeight="1">
      <c r="A852" s="97" t="s">
        <v>759</v>
      </c>
      <c r="B852" s="157"/>
      <c r="C852" s="142" t="s">
        <v>603</v>
      </c>
      <c r="D852" s="142" t="s">
        <v>836</v>
      </c>
      <c r="E852" s="142" t="s">
        <v>230</v>
      </c>
      <c r="F852" s="140"/>
      <c r="G852" s="30">
        <f>SUM(G853)</f>
        <v>11604</v>
      </c>
      <c r="H852" s="30">
        <f>SUM(H853)</f>
        <v>11603.9</v>
      </c>
      <c r="I852" s="20">
        <f t="shared" si="42"/>
        <v>99.999138228197168</v>
      </c>
      <c r="K852" s="229"/>
    </row>
    <row r="853" spans="1:11" ht="22.5" customHeight="1">
      <c r="A853" s="97" t="s">
        <v>231</v>
      </c>
      <c r="B853" s="157"/>
      <c r="C853" s="142" t="s">
        <v>603</v>
      </c>
      <c r="D853" s="142" t="s">
        <v>836</v>
      </c>
      <c r="E853" s="142" t="s">
        <v>230</v>
      </c>
      <c r="F853" s="140" t="s">
        <v>132</v>
      </c>
      <c r="G853" s="30">
        <v>11604</v>
      </c>
      <c r="H853" s="30">
        <v>11603.9</v>
      </c>
      <c r="I853" s="20">
        <f t="shared" si="42"/>
        <v>99.999138228197168</v>
      </c>
      <c r="J853" s="225">
        <f>SUM(ведомствен.2013!G1625)</f>
        <v>11604</v>
      </c>
      <c r="K853" s="229">
        <f t="shared" si="43"/>
        <v>0</v>
      </c>
    </row>
    <row r="854" spans="1:11" ht="29.25" customHeight="1">
      <c r="A854" s="95" t="s">
        <v>403</v>
      </c>
      <c r="B854" s="138"/>
      <c r="C854" s="142" t="s">
        <v>603</v>
      </c>
      <c r="D854" s="142" t="s">
        <v>836</v>
      </c>
      <c r="E854" s="138" t="s">
        <v>407</v>
      </c>
      <c r="F854" s="139"/>
      <c r="G854" s="30">
        <f>SUM(G855)</f>
        <v>3334.7</v>
      </c>
      <c r="H854" s="30">
        <f>SUM(H855)</f>
        <v>3333.7</v>
      </c>
      <c r="I854" s="20">
        <f t="shared" si="42"/>
        <v>99.970012294959062</v>
      </c>
      <c r="K854" s="229"/>
    </row>
    <row r="855" spans="1:11" ht="15" customHeight="1">
      <c r="A855" s="95" t="s">
        <v>276</v>
      </c>
      <c r="B855" s="138"/>
      <c r="C855" s="142" t="s">
        <v>603</v>
      </c>
      <c r="D855" s="142" t="s">
        <v>836</v>
      </c>
      <c r="E855" s="138" t="s">
        <v>407</v>
      </c>
      <c r="F855" s="139" t="s">
        <v>132</v>
      </c>
      <c r="G855" s="30">
        <v>3334.7</v>
      </c>
      <c r="H855" s="30">
        <v>3333.7</v>
      </c>
      <c r="I855" s="20">
        <f t="shared" si="42"/>
        <v>99.970012294959062</v>
      </c>
      <c r="J855" s="225">
        <f>SUM(ведомствен.2013!G1627)</f>
        <v>3334.7</v>
      </c>
      <c r="K855" s="229">
        <f t="shared" si="43"/>
        <v>0</v>
      </c>
    </row>
    <row r="856" spans="1:11" ht="32.25" customHeight="1">
      <c r="A856" s="95" t="s">
        <v>612</v>
      </c>
      <c r="B856" s="157"/>
      <c r="C856" s="142" t="s">
        <v>603</v>
      </c>
      <c r="D856" s="142" t="s">
        <v>836</v>
      </c>
      <c r="E856" s="142" t="s">
        <v>611</v>
      </c>
      <c r="F856" s="140"/>
      <c r="G856" s="30">
        <f>SUM(G857)</f>
        <v>11561.7</v>
      </c>
      <c r="H856" s="30">
        <f>SUM(H857)</f>
        <v>11561.7</v>
      </c>
      <c r="I856" s="20">
        <f t="shared" si="42"/>
        <v>100</v>
      </c>
      <c r="K856" s="229"/>
    </row>
    <row r="857" spans="1:11" ht="45.75" customHeight="1">
      <c r="A857" s="97" t="s">
        <v>955</v>
      </c>
      <c r="B857" s="109"/>
      <c r="C857" s="142" t="s">
        <v>603</v>
      </c>
      <c r="D857" s="142" t="s">
        <v>836</v>
      </c>
      <c r="E857" s="142" t="s">
        <v>611</v>
      </c>
      <c r="F857" s="141" t="s">
        <v>440</v>
      </c>
      <c r="G857" s="30">
        <v>11561.7</v>
      </c>
      <c r="H857" s="30">
        <v>11561.7</v>
      </c>
      <c r="I857" s="20">
        <f t="shared" si="42"/>
        <v>100</v>
      </c>
      <c r="J857" s="225">
        <f>SUM(ведомствен.2013!G1629)</f>
        <v>11561.7</v>
      </c>
      <c r="K857" s="229">
        <f t="shared" si="43"/>
        <v>0</v>
      </c>
    </row>
    <row r="858" spans="1:11" ht="28.5" hidden="1" customHeight="1">
      <c r="A858" s="95" t="s">
        <v>48</v>
      </c>
      <c r="B858" s="138"/>
      <c r="C858" s="142" t="s">
        <v>325</v>
      </c>
      <c r="D858" s="142" t="s">
        <v>836</v>
      </c>
      <c r="E858" s="142" t="s">
        <v>324</v>
      </c>
      <c r="F858" s="140"/>
      <c r="G858" s="30">
        <f>SUM(G859)</f>
        <v>0</v>
      </c>
      <c r="H858" s="30">
        <f>SUM(H859)</f>
        <v>0</v>
      </c>
      <c r="I858" s="20" t="e">
        <f t="shared" si="42"/>
        <v>#DIV/0!</v>
      </c>
      <c r="K858" s="229">
        <f t="shared" si="43"/>
        <v>0</v>
      </c>
    </row>
    <row r="859" spans="1:11" ht="15" hidden="1" customHeight="1">
      <c r="A859" s="97" t="s">
        <v>49</v>
      </c>
      <c r="B859" s="138"/>
      <c r="C859" s="142" t="s">
        <v>325</v>
      </c>
      <c r="D859" s="142" t="s">
        <v>836</v>
      </c>
      <c r="E859" s="142" t="s">
        <v>324</v>
      </c>
      <c r="F859" s="140" t="s">
        <v>498</v>
      </c>
      <c r="G859" s="30"/>
      <c r="H859" s="30"/>
      <c r="I859" s="20" t="e">
        <f t="shared" si="42"/>
        <v>#DIV/0!</v>
      </c>
      <c r="J859" s="225">
        <f>SUM(ведомствен.2013!G840)</f>
        <v>0</v>
      </c>
      <c r="K859" s="229">
        <f t="shared" si="43"/>
        <v>0</v>
      </c>
    </row>
    <row r="860" spans="1:11" ht="15" hidden="1" customHeight="1">
      <c r="A860" s="97" t="s">
        <v>497</v>
      </c>
      <c r="B860" s="138"/>
      <c r="C860" s="142" t="s">
        <v>325</v>
      </c>
      <c r="D860" s="142" t="s">
        <v>836</v>
      </c>
      <c r="E860" s="142" t="s">
        <v>475</v>
      </c>
      <c r="F860" s="140" t="s">
        <v>498</v>
      </c>
      <c r="G860" s="30"/>
      <c r="H860" s="30"/>
      <c r="I860" s="20" t="e">
        <f t="shared" si="42"/>
        <v>#DIV/0!</v>
      </c>
      <c r="K860" s="229">
        <f t="shared" si="43"/>
        <v>0</v>
      </c>
    </row>
    <row r="861" spans="1:11" ht="18.75" customHeight="1">
      <c r="A861" s="95" t="s">
        <v>476</v>
      </c>
      <c r="B861" s="138"/>
      <c r="C861" s="142" t="s">
        <v>603</v>
      </c>
      <c r="D861" s="142" t="s">
        <v>838</v>
      </c>
      <c r="E861" s="142"/>
      <c r="F861" s="140"/>
      <c r="G861" s="30">
        <f>SUM(G862+G873+G886+G892)</f>
        <v>53404.100000000006</v>
      </c>
      <c r="H861" s="30">
        <f>SUM(H862+H873+H886+H892)</f>
        <v>53403.7</v>
      </c>
      <c r="I861" s="20">
        <f t="shared" si="42"/>
        <v>99.999250993837535</v>
      </c>
      <c r="K861" s="229"/>
    </row>
    <row r="862" spans="1:11" ht="18.75" customHeight="1">
      <c r="A862" s="95" t="s">
        <v>356</v>
      </c>
      <c r="B862" s="138"/>
      <c r="C862" s="142" t="s">
        <v>603</v>
      </c>
      <c r="D862" s="142" t="s">
        <v>838</v>
      </c>
      <c r="E862" s="142" t="s">
        <v>323</v>
      </c>
      <c r="F862" s="140"/>
      <c r="G862" s="30">
        <f>SUM(G863)+G871</f>
        <v>42076.800000000003</v>
      </c>
      <c r="H862" s="30">
        <f>SUM(H863)+H871</f>
        <v>42076.399999999994</v>
      </c>
      <c r="I862" s="20">
        <f t="shared" si="42"/>
        <v>99.99904935736555</v>
      </c>
      <c r="K862" s="229"/>
    </row>
    <row r="863" spans="1:11" ht="28.5" customHeight="1">
      <c r="A863" s="95" t="s">
        <v>154</v>
      </c>
      <c r="B863" s="157"/>
      <c r="C863" s="142" t="s">
        <v>603</v>
      </c>
      <c r="D863" s="142" t="s">
        <v>838</v>
      </c>
      <c r="E863" s="142" t="s">
        <v>133</v>
      </c>
      <c r="F863" s="140"/>
      <c r="G863" s="30">
        <f>SUM(G864+G869)</f>
        <v>42076.800000000003</v>
      </c>
      <c r="H863" s="30">
        <f>SUM(H864+H869)</f>
        <v>42076.399999999994</v>
      </c>
      <c r="I863" s="20">
        <f t="shared" si="42"/>
        <v>99.99904935736555</v>
      </c>
      <c r="K863" s="229"/>
    </row>
    <row r="864" spans="1:11" ht="32.25" customHeight="1">
      <c r="A864" s="97" t="s">
        <v>228</v>
      </c>
      <c r="B864" s="157"/>
      <c r="C864" s="142" t="s">
        <v>603</v>
      </c>
      <c r="D864" s="142" t="s">
        <v>838</v>
      </c>
      <c r="E864" s="142" t="s">
        <v>229</v>
      </c>
      <c r="F864" s="140"/>
      <c r="G864" s="30">
        <f>SUM(G867)+G865</f>
        <v>28965.5</v>
      </c>
      <c r="H864" s="30">
        <f>SUM(H867)+H865</f>
        <v>28965.1</v>
      </c>
      <c r="I864" s="20">
        <f t="shared" si="42"/>
        <v>99.998619046797046</v>
      </c>
      <c r="K864" s="229"/>
    </row>
    <row r="865" spans="1:11" ht="27.75" customHeight="1">
      <c r="A865" s="97" t="s">
        <v>759</v>
      </c>
      <c r="B865" s="157"/>
      <c r="C865" s="142" t="s">
        <v>603</v>
      </c>
      <c r="D865" s="142" t="s">
        <v>838</v>
      </c>
      <c r="E865" s="142" t="s">
        <v>230</v>
      </c>
      <c r="F865" s="140"/>
      <c r="G865" s="30">
        <f>SUM(G866)</f>
        <v>28618.6</v>
      </c>
      <c r="H865" s="30">
        <f>SUM(H866)</f>
        <v>28618.6</v>
      </c>
      <c r="I865" s="20">
        <f t="shared" si="42"/>
        <v>100</v>
      </c>
      <c r="K865" s="229"/>
    </row>
    <row r="866" spans="1:11" ht="27.75" customHeight="1">
      <c r="A866" s="97" t="s">
        <v>231</v>
      </c>
      <c r="B866" s="157"/>
      <c r="C866" s="142" t="s">
        <v>603</v>
      </c>
      <c r="D866" s="142" t="s">
        <v>838</v>
      </c>
      <c r="E866" s="142" t="s">
        <v>230</v>
      </c>
      <c r="F866" s="140" t="s">
        <v>132</v>
      </c>
      <c r="G866" s="30">
        <v>28618.6</v>
      </c>
      <c r="H866" s="30">
        <v>28618.6</v>
      </c>
      <c r="I866" s="20">
        <f t="shared" si="42"/>
        <v>100</v>
      </c>
      <c r="J866" s="225">
        <f>SUM(ведомствен.2013!G1638)</f>
        <v>28618.6</v>
      </c>
      <c r="K866" s="229">
        <f t="shared" si="43"/>
        <v>0</v>
      </c>
    </row>
    <row r="867" spans="1:11" ht="27.75" customHeight="1">
      <c r="A867" s="95" t="s">
        <v>403</v>
      </c>
      <c r="B867" s="157"/>
      <c r="C867" s="142" t="s">
        <v>603</v>
      </c>
      <c r="D867" s="142" t="s">
        <v>838</v>
      </c>
      <c r="E867" s="142" t="s">
        <v>407</v>
      </c>
      <c r="F867" s="140"/>
      <c r="G867" s="30">
        <f>SUM(G868)</f>
        <v>346.9</v>
      </c>
      <c r="H867" s="30">
        <f>SUM(H868)</f>
        <v>346.5</v>
      </c>
      <c r="I867" s="20">
        <f t="shared" si="42"/>
        <v>99.884692995099456</v>
      </c>
      <c r="K867" s="229"/>
    </row>
    <row r="868" spans="1:11" ht="21" customHeight="1">
      <c r="A868" s="95" t="s">
        <v>276</v>
      </c>
      <c r="B868" s="157"/>
      <c r="C868" s="142" t="s">
        <v>603</v>
      </c>
      <c r="D868" s="142" t="s">
        <v>838</v>
      </c>
      <c r="E868" s="142" t="s">
        <v>407</v>
      </c>
      <c r="F868" s="140" t="s">
        <v>132</v>
      </c>
      <c r="G868" s="30">
        <v>346.9</v>
      </c>
      <c r="H868" s="30">
        <v>346.5</v>
      </c>
      <c r="I868" s="20">
        <f t="shared" si="42"/>
        <v>99.884692995099456</v>
      </c>
      <c r="J868" s="225">
        <f>SUM(ведомствен.2013!G1640)</f>
        <v>346.9</v>
      </c>
      <c r="K868" s="229">
        <f t="shared" si="43"/>
        <v>0</v>
      </c>
    </row>
    <row r="869" spans="1:11" ht="29.25" customHeight="1">
      <c r="A869" s="95" t="s">
        <v>612</v>
      </c>
      <c r="B869" s="157"/>
      <c r="C869" s="142" t="s">
        <v>603</v>
      </c>
      <c r="D869" s="142" t="s">
        <v>838</v>
      </c>
      <c r="E869" s="142" t="s">
        <v>611</v>
      </c>
      <c r="F869" s="140"/>
      <c r="G869" s="30">
        <f>SUM(G870)</f>
        <v>13111.3</v>
      </c>
      <c r="H869" s="30">
        <f>SUM(H870)</f>
        <v>13111.3</v>
      </c>
      <c r="I869" s="20">
        <f t="shared" si="42"/>
        <v>100</v>
      </c>
      <c r="K869" s="229"/>
    </row>
    <row r="870" spans="1:11" ht="45" customHeight="1">
      <c r="A870" s="97" t="s">
        <v>955</v>
      </c>
      <c r="B870" s="109"/>
      <c r="C870" s="142" t="s">
        <v>603</v>
      </c>
      <c r="D870" s="142" t="s">
        <v>838</v>
      </c>
      <c r="E870" s="142" t="s">
        <v>611</v>
      </c>
      <c r="F870" s="141" t="s">
        <v>440</v>
      </c>
      <c r="G870" s="30">
        <v>13111.3</v>
      </c>
      <c r="H870" s="30">
        <v>13111.3</v>
      </c>
      <c r="I870" s="20">
        <f t="shared" si="42"/>
        <v>100</v>
      </c>
      <c r="J870" s="225">
        <f>SUM(ведомствен.2013!G1644)</f>
        <v>13111.3</v>
      </c>
      <c r="K870" s="229">
        <f t="shared" si="43"/>
        <v>0</v>
      </c>
    </row>
    <row r="871" spans="1:11" ht="28.5" hidden="1" customHeight="1">
      <c r="A871" s="95" t="s">
        <v>48</v>
      </c>
      <c r="B871" s="138"/>
      <c r="C871" s="142" t="s">
        <v>603</v>
      </c>
      <c r="D871" s="142" t="s">
        <v>838</v>
      </c>
      <c r="E871" s="142" t="s">
        <v>324</v>
      </c>
      <c r="F871" s="140"/>
      <c r="G871" s="30">
        <f>SUM(G872)</f>
        <v>0</v>
      </c>
      <c r="H871" s="30">
        <f>SUM(H872)</f>
        <v>0</v>
      </c>
      <c r="I871" s="20" t="e">
        <f t="shared" si="42"/>
        <v>#DIV/0!</v>
      </c>
      <c r="K871" s="229">
        <f t="shared" si="43"/>
        <v>0</v>
      </c>
    </row>
    <row r="872" spans="1:11" ht="15" hidden="1" customHeight="1">
      <c r="A872" s="97" t="s">
        <v>49</v>
      </c>
      <c r="B872" s="138"/>
      <c r="C872" s="142" t="s">
        <v>603</v>
      </c>
      <c r="D872" s="142" t="s">
        <v>838</v>
      </c>
      <c r="E872" s="142" t="s">
        <v>324</v>
      </c>
      <c r="F872" s="140" t="s">
        <v>498</v>
      </c>
      <c r="G872" s="30"/>
      <c r="H872" s="30"/>
      <c r="I872" s="20" t="e">
        <f t="shared" si="42"/>
        <v>#DIV/0!</v>
      </c>
      <c r="J872" s="225">
        <f>SUM(ведомствен.2013!G844)</f>
        <v>0</v>
      </c>
      <c r="K872" s="229">
        <f t="shared" si="43"/>
        <v>0</v>
      </c>
    </row>
    <row r="873" spans="1:11" ht="15.75" customHeight="1">
      <c r="A873" s="95" t="s">
        <v>477</v>
      </c>
      <c r="B873" s="138"/>
      <c r="C873" s="142" t="s">
        <v>603</v>
      </c>
      <c r="D873" s="142" t="s">
        <v>838</v>
      </c>
      <c r="E873" s="142" t="s">
        <v>478</v>
      </c>
      <c r="F873" s="140"/>
      <c r="G873" s="30">
        <f>SUM(G874)+G884</f>
        <v>11327.3</v>
      </c>
      <c r="H873" s="30">
        <f>SUM(H874)+H884</f>
        <v>11327.3</v>
      </c>
      <c r="I873" s="20">
        <f t="shared" si="42"/>
        <v>100</v>
      </c>
      <c r="K873" s="229"/>
    </row>
    <row r="874" spans="1:11" ht="32.25" customHeight="1">
      <c r="A874" s="95" t="s">
        <v>154</v>
      </c>
      <c r="B874" s="138"/>
      <c r="C874" s="142" t="s">
        <v>603</v>
      </c>
      <c r="D874" s="142" t="s">
        <v>838</v>
      </c>
      <c r="E874" s="142" t="s">
        <v>613</v>
      </c>
      <c r="F874" s="140"/>
      <c r="G874" s="30">
        <f>SUM(G882)+G875</f>
        <v>11327.3</v>
      </c>
      <c r="H874" s="30">
        <f>SUM(H882)+H875</f>
        <v>11327.3</v>
      </c>
      <c r="I874" s="20">
        <f t="shared" si="42"/>
        <v>100</v>
      </c>
      <c r="K874" s="229"/>
    </row>
    <row r="875" spans="1:11" ht="32.25" customHeight="1">
      <c r="A875" s="97" t="s">
        <v>228</v>
      </c>
      <c r="B875" s="138"/>
      <c r="C875" s="142" t="s">
        <v>603</v>
      </c>
      <c r="D875" s="142" t="s">
        <v>838</v>
      </c>
      <c r="E875" s="142" t="s">
        <v>408</v>
      </c>
      <c r="F875" s="140"/>
      <c r="G875" s="30">
        <f>SUM(G876)+G879+G880</f>
        <v>613.5</v>
      </c>
      <c r="H875" s="30">
        <f>SUM(H876)+H879+H880</f>
        <v>613.5</v>
      </c>
      <c r="I875" s="20">
        <f t="shared" si="42"/>
        <v>100</v>
      </c>
      <c r="K875" s="229"/>
    </row>
    <row r="876" spans="1:11" ht="32.25" customHeight="1">
      <c r="A876" s="97" t="s">
        <v>232</v>
      </c>
      <c r="B876" s="157"/>
      <c r="C876" s="142" t="s">
        <v>603</v>
      </c>
      <c r="D876" s="142" t="s">
        <v>838</v>
      </c>
      <c r="E876" s="142" t="s">
        <v>233</v>
      </c>
      <c r="F876" s="140"/>
      <c r="G876" s="30">
        <f>SUM(G877)</f>
        <v>231</v>
      </c>
      <c r="H876" s="30">
        <f>SUM(H877)</f>
        <v>231</v>
      </c>
      <c r="I876" s="20">
        <f t="shared" si="42"/>
        <v>100</v>
      </c>
      <c r="K876" s="229"/>
    </row>
    <row r="877" spans="1:11" ht="20.25" customHeight="1">
      <c r="A877" s="97" t="s">
        <v>231</v>
      </c>
      <c r="B877" s="157"/>
      <c r="C877" s="142" t="s">
        <v>603</v>
      </c>
      <c r="D877" s="142" t="s">
        <v>838</v>
      </c>
      <c r="E877" s="142" t="s">
        <v>233</v>
      </c>
      <c r="F877" s="140" t="s">
        <v>132</v>
      </c>
      <c r="G877" s="30">
        <v>231</v>
      </c>
      <c r="H877" s="30">
        <v>231</v>
      </c>
      <c r="I877" s="20">
        <f t="shared" si="42"/>
        <v>100</v>
      </c>
      <c r="J877" s="225">
        <f>SUM(ведомствен.2013!G1652)</f>
        <v>231</v>
      </c>
      <c r="K877" s="229">
        <f t="shared" si="43"/>
        <v>0</v>
      </c>
    </row>
    <row r="878" spans="1:11" ht="32.25" customHeight="1">
      <c r="A878" s="97" t="s">
        <v>759</v>
      </c>
      <c r="B878" s="157"/>
      <c r="C878" s="142" t="s">
        <v>603</v>
      </c>
      <c r="D878" s="142" t="s">
        <v>838</v>
      </c>
      <c r="E878" s="142" t="s">
        <v>897</v>
      </c>
      <c r="F878" s="140"/>
      <c r="G878" s="30">
        <f>SUM(G879)</f>
        <v>230</v>
      </c>
      <c r="H878" s="30">
        <f>SUM(H879)</f>
        <v>230</v>
      </c>
      <c r="I878" s="20">
        <f t="shared" si="42"/>
        <v>100</v>
      </c>
      <c r="K878" s="229"/>
    </row>
    <row r="879" spans="1:11" ht="24" customHeight="1">
      <c r="A879" s="97" t="s">
        <v>231</v>
      </c>
      <c r="B879" s="157"/>
      <c r="C879" s="142" t="s">
        <v>603</v>
      </c>
      <c r="D879" s="142" t="s">
        <v>838</v>
      </c>
      <c r="E879" s="142" t="s">
        <v>897</v>
      </c>
      <c r="F879" s="140" t="s">
        <v>132</v>
      </c>
      <c r="G879" s="30">
        <v>230</v>
      </c>
      <c r="H879" s="30">
        <v>230</v>
      </c>
      <c r="I879" s="20">
        <f t="shared" si="42"/>
        <v>100</v>
      </c>
      <c r="J879" s="225">
        <f>SUM(ведомствен.2013!G1654)</f>
        <v>230</v>
      </c>
      <c r="K879" s="229">
        <f t="shared" si="43"/>
        <v>0</v>
      </c>
    </row>
    <row r="880" spans="1:11" ht="32.25" customHeight="1">
      <c r="A880" s="97" t="s">
        <v>270</v>
      </c>
      <c r="B880" s="157"/>
      <c r="C880" s="142" t="s">
        <v>603</v>
      </c>
      <c r="D880" s="142" t="s">
        <v>838</v>
      </c>
      <c r="E880" s="142" t="s">
        <v>984</v>
      </c>
      <c r="F880" s="140"/>
      <c r="G880" s="81">
        <f>SUM(G881)</f>
        <v>152.5</v>
      </c>
      <c r="H880" s="81">
        <f>SUM(H881)</f>
        <v>152.5</v>
      </c>
      <c r="I880" s="20">
        <f t="shared" si="42"/>
        <v>100</v>
      </c>
      <c r="K880" s="229"/>
    </row>
    <row r="881" spans="1:11" ht="21.75" customHeight="1">
      <c r="A881" s="97" t="s">
        <v>231</v>
      </c>
      <c r="B881" s="157"/>
      <c r="C881" s="142" t="s">
        <v>603</v>
      </c>
      <c r="D881" s="142" t="s">
        <v>838</v>
      </c>
      <c r="E881" s="142" t="s">
        <v>984</v>
      </c>
      <c r="F881" s="140" t="s">
        <v>132</v>
      </c>
      <c r="G881" s="81">
        <v>152.5</v>
      </c>
      <c r="H881" s="81">
        <v>152.5</v>
      </c>
      <c r="I881" s="20">
        <f t="shared" si="42"/>
        <v>100</v>
      </c>
      <c r="J881" s="225">
        <f>SUM(ведомствен.2013!G1656)</f>
        <v>152.5</v>
      </c>
      <c r="K881" s="229">
        <f t="shared" si="43"/>
        <v>0</v>
      </c>
    </row>
    <row r="882" spans="1:11" ht="32.25" customHeight="1">
      <c r="A882" s="97" t="s">
        <v>612</v>
      </c>
      <c r="B882" s="138"/>
      <c r="C882" s="142" t="s">
        <v>603</v>
      </c>
      <c r="D882" s="142" t="s">
        <v>838</v>
      </c>
      <c r="E882" s="142" t="s">
        <v>614</v>
      </c>
      <c r="F882" s="140"/>
      <c r="G882" s="30">
        <f>SUM(G883)</f>
        <v>10713.8</v>
      </c>
      <c r="H882" s="30">
        <f>SUM(H883)</f>
        <v>10713.8</v>
      </c>
      <c r="I882" s="20">
        <f t="shared" si="42"/>
        <v>100</v>
      </c>
      <c r="K882" s="229"/>
    </row>
    <row r="883" spans="1:11" ht="47.25" customHeight="1">
      <c r="A883" s="97" t="s">
        <v>955</v>
      </c>
      <c r="B883" s="138"/>
      <c r="C883" s="142" t="s">
        <v>603</v>
      </c>
      <c r="D883" s="142" t="s">
        <v>838</v>
      </c>
      <c r="E883" s="142" t="s">
        <v>614</v>
      </c>
      <c r="F883" s="140" t="s">
        <v>440</v>
      </c>
      <c r="G883" s="30">
        <v>10713.8</v>
      </c>
      <c r="H883" s="30">
        <v>10713.8</v>
      </c>
      <c r="I883" s="20">
        <f t="shared" si="42"/>
        <v>100</v>
      </c>
      <c r="J883" s="225">
        <f>SUM(ведомствен.2013!G1658)</f>
        <v>10713.8</v>
      </c>
      <c r="K883" s="229">
        <f t="shared" si="43"/>
        <v>0</v>
      </c>
    </row>
    <row r="884" spans="1:11" ht="28.5" hidden="1" customHeight="1">
      <c r="A884" s="95" t="s">
        <v>48</v>
      </c>
      <c r="B884" s="138"/>
      <c r="C884" s="142" t="s">
        <v>603</v>
      </c>
      <c r="D884" s="142" t="s">
        <v>838</v>
      </c>
      <c r="E884" s="142" t="s">
        <v>479</v>
      </c>
      <c r="F884" s="140"/>
      <c r="G884" s="30">
        <f>SUM(G885)</f>
        <v>0</v>
      </c>
      <c r="H884" s="30">
        <f>SUM(H885)</f>
        <v>0</v>
      </c>
      <c r="I884" s="20" t="e">
        <f t="shared" si="42"/>
        <v>#DIV/0!</v>
      </c>
      <c r="K884" s="229">
        <f t="shared" si="43"/>
        <v>0</v>
      </c>
    </row>
    <row r="885" spans="1:11" ht="15" hidden="1" customHeight="1">
      <c r="A885" s="97" t="s">
        <v>49</v>
      </c>
      <c r="B885" s="138"/>
      <c r="C885" s="142" t="s">
        <v>603</v>
      </c>
      <c r="D885" s="142" t="s">
        <v>838</v>
      </c>
      <c r="E885" s="142" t="s">
        <v>479</v>
      </c>
      <c r="F885" s="140" t="s">
        <v>498</v>
      </c>
      <c r="G885" s="30"/>
      <c r="H885" s="30"/>
      <c r="I885" s="20" t="e">
        <f t="shared" si="42"/>
        <v>#DIV/0!</v>
      </c>
      <c r="J885" s="225">
        <f>SUM(ведомствен.2013!G847)</f>
        <v>0</v>
      </c>
      <c r="K885" s="229">
        <f t="shared" si="43"/>
        <v>0</v>
      </c>
    </row>
    <row r="886" spans="1:11" ht="15" hidden="1" customHeight="1">
      <c r="A886" s="95" t="s">
        <v>481</v>
      </c>
      <c r="B886" s="138"/>
      <c r="C886" s="142" t="s">
        <v>603</v>
      </c>
      <c r="D886" s="142" t="s">
        <v>838</v>
      </c>
      <c r="E886" s="142" t="s">
        <v>482</v>
      </c>
      <c r="F886" s="140"/>
      <c r="G886" s="30">
        <f>SUM(G887)+G890</f>
        <v>0</v>
      </c>
      <c r="H886" s="30">
        <f>SUM(H887)+H890</f>
        <v>0</v>
      </c>
      <c r="I886" s="20" t="e">
        <f t="shared" si="42"/>
        <v>#DIV/0!</v>
      </c>
      <c r="K886" s="229">
        <f t="shared" si="43"/>
        <v>0</v>
      </c>
    </row>
    <row r="887" spans="1:11" ht="15" hidden="1" customHeight="1">
      <c r="A887" s="95" t="s">
        <v>154</v>
      </c>
      <c r="B887" s="157"/>
      <c r="C887" s="142" t="s">
        <v>603</v>
      </c>
      <c r="D887" s="142" t="s">
        <v>838</v>
      </c>
      <c r="E887" s="142" t="s">
        <v>134</v>
      </c>
      <c r="F887" s="140"/>
      <c r="G887" s="30">
        <f>SUM(G889)</f>
        <v>0</v>
      </c>
      <c r="H887" s="30">
        <f>SUM(H889)</f>
        <v>0</v>
      </c>
      <c r="I887" s="20" t="e">
        <f t="shared" si="42"/>
        <v>#DIV/0!</v>
      </c>
      <c r="K887" s="229">
        <f t="shared" si="43"/>
        <v>0</v>
      </c>
    </row>
    <row r="888" spans="1:11" ht="28.5" hidden="1" customHeight="1">
      <c r="A888" s="95" t="s">
        <v>612</v>
      </c>
      <c r="B888" s="157"/>
      <c r="C888" s="142" t="s">
        <v>603</v>
      </c>
      <c r="D888" s="142" t="s">
        <v>838</v>
      </c>
      <c r="E888" s="142" t="s">
        <v>616</v>
      </c>
      <c r="F888" s="140"/>
      <c r="G888" s="30">
        <f>SUM(G889)</f>
        <v>0</v>
      </c>
      <c r="H888" s="30">
        <f>SUM(H889)</f>
        <v>0</v>
      </c>
      <c r="I888" s="20" t="e">
        <f t="shared" si="42"/>
        <v>#DIV/0!</v>
      </c>
      <c r="K888" s="229">
        <f t="shared" si="43"/>
        <v>0</v>
      </c>
    </row>
    <row r="889" spans="1:11" ht="42.75" hidden="1" customHeight="1">
      <c r="A889" s="97" t="s">
        <v>955</v>
      </c>
      <c r="B889" s="109"/>
      <c r="C889" s="142" t="s">
        <v>603</v>
      </c>
      <c r="D889" s="142" t="s">
        <v>838</v>
      </c>
      <c r="E889" s="142" t="s">
        <v>616</v>
      </c>
      <c r="F889" s="141" t="s">
        <v>440</v>
      </c>
      <c r="G889" s="30"/>
      <c r="H889" s="30"/>
      <c r="I889" s="20" t="e">
        <f t="shared" si="42"/>
        <v>#DIV/0!</v>
      </c>
      <c r="J889" s="225">
        <f>SUM(ведомствен.2013!G1662)</f>
        <v>0</v>
      </c>
      <c r="K889" s="229">
        <f t="shared" si="43"/>
        <v>0</v>
      </c>
    </row>
    <row r="890" spans="1:11" ht="28.5" hidden="1" customHeight="1">
      <c r="A890" s="95" t="s">
        <v>48</v>
      </c>
      <c r="B890" s="138"/>
      <c r="C890" s="142" t="s">
        <v>603</v>
      </c>
      <c r="D890" s="142" t="s">
        <v>838</v>
      </c>
      <c r="E890" s="142" t="s">
        <v>222</v>
      </c>
      <c r="F890" s="140"/>
      <c r="G890" s="30">
        <f>SUM(G891)</f>
        <v>0</v>
      </c>
      <c r="H890" s="30">
        <f>SUM(H891)</f>
        <v>0</v>
      </c>
      <c r="I890" s="20" t="e">
        <f t="shared" si="42"/>
        <v>#DIV/0!</v>
      </c>
      <c r="K890" s="229">
        <f t="shared" si="43"/>
        <v>0</v>
      </c>
    </row>
    <row r="891" spans="1:11" ht="15" hidden="1" customHeight="1">
      <c r="A891" s="97" t="s">
        <v>49</v>
      </c>
      <c r="B891" s="138"/>
      <c r="C891" s="142" t="s">
        <v>603</v>
      </c>
      <c r="D891" s="142" t="s">
        <v>838</v>
      </c>
      <c r="E891" s="142" t="s">
        <v>222</v>
      </c>
      <c r="F891" s="140" t="s">
        <v>498</v>
      </c>
      <c r="G891" s="30"/>
      <c r="H891" s="30"/>
      <c r="I891" s="20" t="e">
        <f t="shared" ref="I891:I954" si="44">SUM(H891/G891*100)</f>
        <v>#DIV/0!</v>
      </c>
      <c r="J891" s="225">
        <f>SUM(ведомствен.2013!G850)</f>
        <v>0</v>
      </c>
      <c r="K891" s="229">
        <f t="shared" si="43"/>
        <v>0</v>
      </c>
    </row>
    <row r="892" spans="1:11" ht="15" hidden="1" customHeight="1">
      <c r="A892" s="98" t="s">
        <v>663</v>
      </c>
      <c r="B892" s="138"/>
      <c r="C892" s="142" t="s">
        <v>603</v>
      </c>
      <c r="D892" s="142" t="s">
        <v>838</v>
      </c>
      <c r="E892" s="142" t="s">
        <v>664</v>
      </c>
      <c r="F892" s="140"/>
      <c r="G892" s="30">
        <f>SUM(G893)</f>
        <v>0</v>
      </c>
      <c r="H892" s="30">
        <f>SUM(H893)</f>
        <v>0</v>
      </c>
      <c r="I892" s="20" t="e">
        <f t="shared" si="44"/>
        <v>#DIV/0!</v>
      </c>
      <c r="K892" s="229">
        <f t="shared" si="43"/>
        <v>0</v>
      </c>
    </row>
    <row r="893" spans="1:11" ht="42.75" hidden="1" customHeight="1">
      <c r="A893" s="119" t="s">
        <v>1013</v>
      </c>
      <c r="B893" s="138"/>
      <c r="C893" s="142" t="s">
        <v>603</v>
      </c>
      <c r="D893" s="142" t="s">
        <v>838</v>
      </c>
      <c r="E893" s="142" t="s">
        <v>483</v>
      </c>
      <c r="F893" s="140"/>
      <c r="G893" s="30">
        <f>SUM(G894)</f>
        <v>0</v>
      </c>
      <c r="H893" s="30">
        <f>SUM(H894)</f>
        <v>0</v>
      </c>
      <c r="I893" s="20" t="e">
        <f t="shared" si="44"/>
        <v>#DIV/0!</v>
      </c>
      <c r="K893" s="229">
        <f t="shared" si="43"/>
        <v>0</v>
      </c>
    </row>
    <row r="894" spans="1:11" ht="15" hidden="1" customHeight="1">
      <c r="A894" s="97" t="s">
        <v>276</v>
      </c>
      <c r="B894" s="138"/>
      <c r="C894" s="142" t="s">
        <v>603</v>
      </c>
      <c r="D894" s="142" t="s">
        <v>838</v>
      </c>
      <c r="E894" s="142" t="s">
        <v>483</v>
      </c>
      <c r="F894" s="140" t="s">
        <v>132</v>
      </c>
      <c r="G894" s="30"/>
      <c r="H894" s="30"/>
      <c r="I894" s="20" t="e">
        <f t="shared" si="44"/>
        <v>#DIV/0!</v>
      </c>
      <c r="J894" s="225">
        <f>SUM(ведомствен.2013!G1665)</f>
        <v>0</v>
      </c>
      <c r="K894" s="229">
        <f t="shared" si="43"/>
        <v>0</v>
      </c>
    </row>
    <row r="895" spans="1:11" ht="15" hidden="1" customHeight="1">
      <c r="A895" s="127" t="s">
        <v>484</v>
      </c>
      <c r="B895" s="150"/>
      <c r="C895" s="142" t="s">
        <v>603</v>
      </c>
      <c r="D895" s="142" t="s">
        <v>167</v>
      </c>
      <c r="E895" s="142"/>
      <c r="F895" s="140"/>
      <c r="G895" s="30">
        <f>SUM(G896)</f>
        <v>0</v>
      </c>
      <c r="H895" s="30">
        <f>SUM(H896)</f>
        <v>0</v>
      </c>
      <c r="I895" s="20" t="e">
        <f t="shared" si="44"/>
        <v>#DIV/0!</v>
      </c>
      <c r="K895" s="229">
        <f t="shared" si="43"/>
        <v>0</v>
      </c>
    </row>
    <row r="896" spans="1:11" ht="15" hidden="1" customHeight="1">
      <c r="A896" s="127" t="s">
        <v>485</v>
      </c>
      <c r="B896" s="150"/>
      <c r="C896" s="142" t="s">
        <v>603</v>
      </c>
      <c r="D896" s="142" t="s">
        <v>167</v>
      </c>
      <c r="E896" s="142" t="s">
        <v>323</v>
      </c>
      <c r="F896" s="140"/>
      <c r="G896" s="30">
        <f>SUM(G897)</f>
        <v>0</v>
      </c>
      <c r="H896" s="30">
        <f>SUM(H897)</f>
        <v>0</v>
      </c>
      <c r="I896" s="20" t="e">
        <f t="shared" si="44"/>
        <v>#DIV/0!</v>
      </c>
      <c r="K896" s="229">
        <f t="shared" si="43"/>
        <v>0</v>
      </c>
    </row>
    <row r="897" spans="1:11" ht="28.5" hidden="1" customHeight="1">
      <c r="A897" s="95" t="s">
        <v>48</v>
      </c>
      <c r="B897" s="150"/>
      <c r="C897" s="142" t="s">
        <v>603</v>
      </c>
      <c r="D897" s="142" t="s">
        <v>167</v>
      </c>
      <c r="E897" s="142" t="s">
        <v>324</v>
      </c>
      <c r="F897" s="140"/>
      <c r="G897" s="30">
        <f>SUM(G898:G899)</f>
        <v>0</v>
      </c>
      <c r="H897" s="30">
        <f>SUM(H898:H899)</f>
        <v>0</v>
      </c>
      <c r="I897" s="20" t="e">
        <f t="shared" si="44"/>
        <v>#DIV/0!</v>
      </c>
      <c r="K897" s="229">
        <f t="shared" si="43"/>
        <v>0</v>
      </c>
    </row>
    <row r="898" spans="1:11" ht="15" hidden="1" customHeight="1">
      <c r="A898" s="97" t="s">
        <v>49</v>
      </c>
      <c r="B898" s="150"/>
      <c r="C898" s="142" t="s">
        <v>603</v>
      </c>
      <c r="D898" s="142" t="s">
        <v>167</v>
      </c>
      <c r="E898" s="142" t="s">
        <v>324</v>
      </c>
      <c r="F898" s="140" t="s">
        <v>498</v>
      </c>
      <c r="G898" s="30"/>
      <c r="H898" s="30"/>
      <c r="I898" s="20" t="e">
        <f t="shared" si="44"/>
        <v>#DIV/0!</v>
      </c>
      <c r="K898" s="229">
        <f t="shared" si="43"/>
        <v>0</v>
      </c>
    </row>
    <row r="899" spans="1:11" ht="42.75" hidden="1" customHeight="1">
      <c r="A899" s="95" t="s">
        <v>1010</v>
      </c>
      <c r="B899" s="138"/>
      <c r="C899" s="142" t="s">
        <v>603</v>
      </c>
      <c r="D899" s="142" t="s">
        <v>167</v>
      </c>
      <c r="E899" s="142" t="s">
        <v>479</v>
      </c>
      <c r="F899" s="140" t="s">
        <v>480</v>
      </c>
      <c r="G899" s="30"/>
      <c r="H899" s="30"/>
      <c r="I899" s="20" t="e">
        <f t="shared" si="44"/>
        <v>#DIV/0!</v>
      </c>
      <c r="K899" s="229">
        <f t="shared" si="43"/>
        <v>0</v>
      </c>
    </row>
    <row r="900" spans="1:11" ht="15">
      <c r="A900" s="97" t="s">
        <v>486</v>
      </c>
      <c r="B900" s="138"/>
      <c r="C900" s="142" t="s">
        <v>603</v>
      </c>
      <c r="D900" s="142" t="s">
        <v>191</v>
      </c>
      <c r="E900" s="142"/>
      <c r="F900" s="140"/>
      <c r="G900" s="30">
        <f>SUM(G901)</f>
        <v>9081.2000000000007</v>
      </c>
      <c r="H900" s="30">
        <f>SUM(H901)</f>
        <v>9081.2000000000007</v>
      </c>
      <c r="I900" s="20">
        <f t="shared" si="44"/>
        <v>100</v>
      </c>
      <c r="K900" s="229"/>
    </row>
    <row r="901" spans="1:11" ht="15">
      <c r="A901" s="95" t="s">
        <v>487</v>
      </c>
      <c r="B901" s="138"/>
      <c r="C901" s="142" t="s">
        <v>603</v>
      </c>
      <c r="D901" s="142" t="s">
        <v>191</v>
      </c>
      <c r="E901" s="142" t="s">
        <v>488</v>
      </c>
      <c r="F901" s="140"/>
      <c r="G901" s="81">
        <f>SUM(G902)</f>
        <v>9081.2000000000007</v>
      </c>
      <c r="H901" s="81">
        <f>SUM(H902)</f>
        <v>9081.2000000000007</v>
      </c>
      <c r="I901" s="20">
        <f t="shared" si="44"/>
        <v>100</v>
      </c>
      <c r="K901" s="229"/>
    </row>
    <row r="902" spans="1:11" ht="15">
      <c r="A902" s="95" t="s">
        <v>154</v>
      </c>
      <c r="B902" s="138"/>
      <c r="C902" s="142" t="s">
        <v>603</v>
      </c>
      <c r="D902" s="142" t="s">
        <v>191</v>
      </c>
      <c r="E902" s="142" t="s">
        <v>915</v>
      </c>
      <c r="F902" s="140"/>
      <c r="G902" s="81">
        <f>SUM(G903+G908)</f>
        <v>9081.2000000000007</v>
      </c>
      <c r="H902" s="81">
        <f>SUM(H903+H908)</f>
        <v>9081.2000000000007</v>
      </c>
      <c r="I902" s="20">
        <f t="shared" si="44"/>
        <v>100</v>
      </c>
      <c r="K902" s="229"/>
    </row>
    <row r="903" spans="1:11" ht="15.75" customHeight="1">
      <c r="A903" s="97" t="s">
        <v>276</v>
      </c>
      <c r="B903" s="138"/>
      <c r="C903" s="142" t="s">
        <v>603</v>
      </c>
      <c r="D903" s="142" t="s">
        <v>191</v>
      </c>
      <c r="E903" s="142" t="s">
        <v>1048</v>
      </c>
      <c r="F903" s="140"/>
      <c r="G903" s="81">
        <f>SUM(G904+G906)</f>
        <v>8382.6</v>
      </c>
      <c r="H903" s="81">
        <f>SUM(H904+H906)</f>
        <v>8382.6</v>
      </c>
      <c r="I903" s="20">
        <f t="shared" si="44"/>
        <v>100</v>
      </c>
      <c r="K903" s="229"/>
    </row>
    <row r="904" spans="1:11" ht="15" customHeight="1">
      <c r="A904" s="97" t="s">
        <v>759</v>
      </c>
      <c r="B904" s="157"/>
      <c r="C904" s="142" t="s">
        <v>603</v>
      </c>
      <c r="D904" s="142" t="s">
        <v>191</v>
      </c>
      <c r="E904" s="142" t="s">
        <v>1041</v>
      </c>
      <c r="F904" s="140"/>
      <c r="G904" s="81">
        <f>SUM(G905)</f>
        <v>8370.7000000000007</v>
      </c>
      <c r="H904" s="81">
        <f>SUM(H905)</f>
        <v>8370.7000000000007</v>
      </c>
      <c r="I904" s="20">
        <f t="shared" si="44"/>
        <v>100</v>
      </c>
      <c r="K904" s="229"/>
    </row>
    <row r="905" spans="1:11" ht="21.75" customHeight="1">
      <c r="A905" s="97" t="s">
        <v>231</v>
      </c>
      <c r="B905" s="157"/>
      <c r="C905" s="142" t="s">
        <v>603</v>
      </c>
      <c r="D905" s="142" t="s">
        <v>191</v>
      </c>
      <c r="E905" s="142" t="s">
        <v>1041</v>
      </c>
      <c r="F905" s="140" t="s">
        <v>132</v>
      </c>
      <c r="G905" s="81">
        <v>8370.7000000000007</v>
      </c>
      <c r="H905" s="81">
        <v>8370.7000000000007</v>
      </c>
      <c r="I905" s="20">
        <f t="shared" si="44"/>
        <v>100</v>
      </c>
      <c r="J905" s="225">
        <f>SUM(ведомствен.2013!G1678)</f>
        <v>8370.7000000000007</v>
      </c>
      <c r="K905" s="229">
        <f t="shared" si="43"/>
        <v>0</v>
      </c>
    </row>
    <row r="906" spans="1:11" ht="16.5" customHeight="1">
      <c r="A906" s="97" t="s">
        <v>270</v>
      </c>
      <c r="B906" s="157"/>
      <c r="C906" s="142" t="s">
        <v>603</v>
      </c>
      <c r="D906" s="142" t="s">
        <v>191</v>
      </c>
      <c r="E906" s="142" t="s">
        <v>1047</v>
      </c>
      <c r="F906" s="140"/>
      <c r="G906" s="81">
        <f>SUM(G907)</f>
        <v>11.9</v>
      </c>
      <c r="H906" s="81">
        <f>SUM(H907)</f>
        <v>11.9</v>
      </c>
      <c r="I906" s="20">
        <f t="shared" si="44"/>
        <v>100</v>
      </c>
      <c r="K906" s="229"/>
    </row>
    <row r="907" spans="1:11" ht="24.75" customHeight="1">
      <c r="A907" s="97" t="s">
        <v>231</v>
      </c>
      <c r="B907" s="157"/>
      <c r="C907" s="142" t="s">
        <v>603</v>
      </c>
      <c r="D907" s="142" t="s">
        <v>191</v>
      </c>
      <c r="E907" s="142" t="s">
        <v>1047</v>
      </c>
      <c r="F907" s="140" t="s">
        <v>132</v>
      </c>
      <c r="G907" s="81">
        <v>11.9</v>
      </c>
      <c r="H907" s="81">
        <v>11.9</v>
      </c>
      <c r="I907" s="20">
        <f t="shared" si="44"/>
        <v>100</v>
      </c>
      <c r="J907" s="225">
        <f>SUM(ведомствен.2013!G1680)+ведомствен.2013!G855</f>
        <v>11.9</v>
      </c>
      <c r="K907" s="229">
        <f t="shared" si="43"/>
        <v>0</v>
      </c>
    </row>
    <row r="908" spans="1:11" ht="32.25" customHeight="1">
      <c r="A908" s="97" t="s">
        <v>612</v>
      </c>
      <c r="B908" s="138"/>
      <c r="C908" s="142" t="s">
        <v>603</v>
      </c>
      <c r="D908" s="142" t="s">
        <v>191</v>
      </c>
      <c r="E908" s="142" t="s">
        <v>916</v>
      </c>
      <c r="F908" s="140"/>
      <c r="G908" s="81">
        <f>SUM(G909)</f>
        <v>698.6</v>
      </c>
      <c r="H908" s="81">
        <f>SUM(H909)</f>
        <v>698.6</v>
      </c>
      <c r="I908" s="20">
        <f t="shared" si="44"/>
        <v>100</v>
      </c>
      <c r="K908" s="229"/>
    </row>
    <row r="909" spans="1:11" s="37" customFormat="1" ht="44.25" customHeight="1">
      <c r="A909" s="97" t="s">
        <v>955</v>
      </c>
      <c r="B909" s="138"/>
      <c r="C909" s="142" t="s">
        <v>603</v>
      </c>
      <c r="D909" s="142" t="s">
        <v>191</v>
      </c>
      <c r="E909" s="142" t="s">
        <v>917</v>
      </c>
      <c r="F909" s="140" t="s">
        <v>440</v>
      </c>
      <c r="G909" s="81">
        <v>698.6</v>
      </c>
      <c r="H909" s="81">
        <v>698.6</v>
      </c>
      <c r="I909" s="20">
        <f t="shared" si="44"/>
        <v>100</v>
      </c>
      <c r="J909" s="241">
        <f>SUM(ведомствен.2013!G1682)</f>
        <v>698.6</v>
      </c>
      <c r="K909" s="229">
        <f t="shared" si="43"/>
        <v>0</v>
      </c>
    </row>
    <row r="910" spans="1:11" ht="15" hidden="1" customHeight="1">
      <c r="A910" s="97" t="s">
        <v>49</v>
      </c>
      <c r="B910" s="138"/>
      <c r="C910" s="142" t="s">
        <v>603</v>
      </c>
      <c r="D910" s="142" t="s">
        <v>191</v>
      </c>
      <c r="E910" s="142" t="s">
        <v>483</v>
      </c>
      <c r="F910" s="140" t="s">
        <v>498</v>
      </c>
      <c r="G910" s="30"/>
      <c r="H910" s="30"/>
      <c r="I910" s="20" t="e">
        <f t="shared" si="44"/>
        <v>#DIV/0!</v>
      </c>
      <c r="J910" s="225">
        <f>SUM(ведомствен.2013!G1685)</f>
        <v>0</v>
      </c>
      <c r="K910" s="229">
        <f t="shared" si="43"/>
        <v>0</v>
      </c>
    </row>
    <row r="911" spans="1:11" ht="15" hidden="1">
      <c r="A911" s="95" t="s">
        <v>490</v>
      </c>
      <c r="B911" s="138"/>
      <c r="C911" s="138" t="s">
        <v>603</v>
      </c>
      <c r="D911" s="138" t="s">
        <v>193</v>
      </c>
      <c r="E911" s="138"/>
      <c r="F911" s="139"/>
      <c r="G911" s="30">
        <f>SUM(G914+G917+G912)</f>
        <v>0</v>
      </c>
      <c r="H911" s="30">
        <f>SUM(H914+H917+H912)</f>
        <v>0</v>
      </c>
      <c r="I911" s="20" t="e">
        <f t="shared" si="44"/>
        <v>#DIV/0!</v>
      </c>
      <c r="K911" s="229">
        <f t="shared" si="43"/>
        <v>0</v>
      </c>
    </row>
    <row r="912" spans="1:11" ht="15" hidden="1">
      <c r="A912" s="97" t="s">
        <v>728</v>
      </c>
      <c r="B912" s="138"/>
      <c r="C912" s="138" t="s">
        <v>603</v>
      </c>
      <c r="D912" s="138" t="s">
        <v>193</v>
      </c>
      <c r="E912" s="142" t="s">
        <v>729</v>
      </c>
      <c r="F912" s="140"/>
      <c r="G912" s="30">
        <f>SUM(G913)</f>
        <v>0</v>
      </c>
      <c r="H912" s="30">
        <f>SUM(H913)</f>
        <v>0</v>
      </c>
      <c r="I912" s="20" t="e">
        <f t="shared" si="44"/>
        <v>#DIV/0!</v>
      </c>
      <c r="K912" s="229">
        <f t="shared" si="43"/>
        <v>0</v>
      </c>
    </row>
    <row r="913" spans="1:11" ht="15" hidden="1">
      <c r="A913" s="95" t="s">
        <v>164</v>
      </c>
      <c r="B913" s="138"/>
      <c r="C913" s="138" t="s">
        <v>603</v>
      </c>
      <c r="D913" s="138" t="s">
        <v>193</v>
      </c>
      <c r="E913" s="142" t="s">
        <v>729</v>
      </c>
      <c r="F913" s="140" t="s">
        <v>165</v>
      </c>
      <c r="G913" s="30"/>
      <c r="H913" s="30"/>
      <c r="I913" s="20" t="e">
        <f t="shared" si="44"/>
        <v>#DIV/0!</v>
      </c>
      <c r="K913" s="229">
        <f t="shared" si="43"/>
        <v>0</v>
      </c>
    </row>
    <row r="914" spans="1:11" ht="15" hidden="1">
      <c r="A914" s="95" t="s">
        <v>462</v>
      </c>
      <c r="B914" s="138"/>
      <c r="C914" s="138" t="s">
        <v>603</v>
      </c>
      <c r="D914" s="138" t="s">
        <v>193</v>
      </c>
      <c r="E914" s="158" t="s">
        <v>432</v>
      </c>
      <c r="F914" s="139"/>
      <c r="G914" s="30">
        <f>SUM(G915)</f>
        <v>0</v>
      </c>
      <c r="H914" s="30">
        <f>SUM(H915)</f>
        <v>0</v>
      </c>
      <c r="I914" s="20" t="e">
        <f t="shared" si="44"/>
        <v>#DIV/0!</v>
      </c>
      <c r="K914" s="229">
        <f t="shared" si="43"/>
        <v>0</v>
      </c>
    </row>
    <row r="915" spans="1:11" ht="28.5" hidden="1" customHeight="1">
      <c r="A915" s="95" t="s">
        <v>692</v>
      </c>
      <c r="B915" s="138"/>
      <c r="C915" s="138" t="s">
        <v>603</v>
      </c>
      <c r="D915" s="138" t="s">
        <v>193</v>
      </c>
      <c r="E915" s="158" t="s">
        <v>433</v>
      </c>
      <c r="F915" s="139"/>
      <c r="G915" s="30">
        <f>SUM(G916)</f>
        <v>0</v>
      </c>
      <c r="H915" s="30">
        <f>SUM(H916)</f>
        <v>0</v>
      </c>
      <c r="I915" s="20" t="e">
        <f t="shared" si="44"/>
        <v>#DIV/0!</v>
      </c>
      <c r="K915" s="229">
        <f t="shared" ref="K915:K957" si="45">SUM(G915-J915)</f>
        <v>0</v>
      </c>
    </row>
    <row r="916" spans="1:11" ht="15" hidden="1" customHeight="1">
      <c r="A916" s="95" t="s">
        <v>164</v>
      </c>
      <c r="B916" s="138"/>
      <c r="C916" s="138" t="s">
        <v>603</v>
      </c>
      <c r="D916" s="138" t="s">
        <v>193</v>
      </c>
      <c r="E916" s="158" t="s">
        <v>433</v>
      </c>
      <c r="F916" s="139" t="s">
        <v>165</v>
      </c>
      <c r="G916" s="30"/>
      <c r="H916" s="30"/>
      <c r="I916" s="20" t="e">
        <f t="shared" si="44"/>
        <v>#DIV/0!</v>
      </c>
      <c r="K916" s="229">
        <f t="shared" si="45"/>
        <v>0</v>
      </c>
    </row>
    <row r="917" spans="1:11" ht="15" hidden="1">
      <c r="A917" s="97" t="s">
        <v>200</v>
      </c>
      <c r="B917" s="142"/>
      <c r="C917" s="138" t="s">
        <v>603</v>
      </c>
      <c r="D917" s="138" t="s">
        <v>193</v>
      </c>
      <c r="E917" s="142" t="s">
        <v>201</v>
      </c>
      <c r="F917" s="140"/>
      <c r="G917" s="30">
        <f>SUM(G918)</f>
        <v>0</v>
      </c>
      <c r="H917" s="30">
        <f>SUM(H918)</f>
        <v>0</v>
      </c>
      <c r="I917" s="20" t="e">
        <f t="shared" si="44"/>
        <v>#DIV/0!</v>
      </c>
      <c r="K917" s="229">
        <f t="shared" si="45"/>
        <v>0</v>
      </c>
    </row>
    <row r="918" spans="1:11" ht="15" hidden="1" customHeight="1">
      <c r="A918" s="95" t="s">
        <v>164</v>
      </c>
      <c r="B918" s="160"/>
      <c r="C918" s="138" t="s">
        <v>603</v>
      </c>
      <c r="D918" s="138" t="s">
        <v>193</v>
      </c>
      <c r="E918" s="160" t="s">
        <v>201</v>
      </c>
      <c r="F918" s="141" t="s">
        <v>165</v>
      </c>
      <c r="G918" s="30">
        <f>SUM(G919)</f>
        <v>0</v>
      </c>
      <c r="H918" s="30">
        <f>SUM(H919)</f>
        <v>0</v>
      </c>
      <c r="I918" s="20" t="e">
        <f t="shared" si="44"/>
        <v>#DIV/0!</v>
      </c>
      <c r="K918" s="229">
        <f t="shared" si="45"/>
        <v>0</v>
      </c>
    </row>
    <row r="919" spans="1:11" ht="28.5" hidden="1" customHeight="1">
      <c r="A919" s="95" t="s">
        <v>463</v>
      </c>
      <c r="B919" s="138"/>
      <c r="C919" s="138" t="s">
        <v>603</v>
      </c>
      <c r="D919" s="138" t="s">
        <v>193</v>
      </c>
      <c r="E919" s="160" t="s">
        <v>464</v>
      </c>
      <c r="F919" s="141" t="s">
        <v>165</v>
      </c>
      <c r="G919" s="30">
        <f>1738.6-1738.6</f>
        <v>0</v>
      </c>
      <c r="H919" s="30">
        <f>1738.6-1738.6</f>
        <v>0</v>
      </c>
      <c r="I919" s="20" t="e">
        <f t="shared" si="44"/>
        <v>#DIV/0!</v>
      </c>
      <c r="K919" s="229">
        <f t="shared" si="45"/>
        <v>0</v>
      </c>
    </row>
    <row r="920" spans="1:11" ht="19.5" customHeight="1">
      <c r="A920" s="95" t="s">
        <v>473</v>
      </c>
      <c r="B920" s="138"/>
      <c r="C920" s="142" t="s">
        <v>603</v>
      </c>
      <c r="D920" s="142" t="s">
        <v>603</v>
      </c>
      <c r="E920" s="142"/>
      <c r="F920" s="140"/>
      <c r="G920" s="30">
        <f>SUM(G921+G932+G939+G941+G937+G927+G929)</f>
        <v>115108.29999999999</v>
      </c>
      <c r="H920" s="30">
        <f>SUM(H921+H932+H939+H941+H937+H927+H929)</f>
        <v>112962.59999999999</v>
      </c>
      <c r="I920" s="20">
        <f t="shared" si="44"/>
        <v>98.135929381287013</v>
      </c>
      <c r="K920" s="229"/>
    </row>
    <row r="921" spans="1:11" ht="47.25" customHeight="1">
      <c r="A921" s="118" t="s">
        <v>412</v>
      </c>
      <c r="B921" s="142"/>
      <c r="C921" s="142" t="s">
        <v>603</v>
      </c>
      <c r="D921" s="142" t="s">
        <v>603</v>
      </c>
      <c r="E921" s="142" t="s">
        <v>413</v>
      </c>
      <c r="F921" s="140"/>
      <c r="G921" s="30">
        <f>SUM(G922)+G923</f>
        <v>60227.9</v>
      </c>
      <c r="H921" s="30">
        <f>SUM(H922)+H923</f>
        <v>58112</v>
      </c>
      <c r="I921" s="20">
        <f t="shared" si="44"/>
        <v>96.48684413701956</v>
      </c>
      <c r="K921" s="229"/>
    </row>
    <row r="922" spans="1:11" ht="18" customHeight="1">
      <c r="A922" s="97" t="s">
        <v>276</v>
      </c>
      <c r="B922" s="142"/>
      <c r="C922" s="142" t="s">
        <v>603</v>
      </c>
      <c r="D922" s="142" t="s">
        <v>603</v>
      </c>
      <c r="E922" s="142" t="s">
        <v>413</v>
      </c>
      <c r="F922" s="140" t="s">
        <v>132</v>
      </c>
      <c r="G922" s="30">
        <v>17927.599999999999</v>
      </c>
      <c r="H922" s="30">
        <v>16761.900000000001</v>
      </c>
      <c r="I922" s="20">
        <f t="shared" si="44"/>
        <v>93.497735335460419</v>
      </c>
      <c r="J922" s="225">
        <f>SUM(ведомствен.2013!G1690)</f>
        <v>17927.599999999999</v>
      </c>
      <c r="K922" s="229">
        <f t="shared" si="45"/>
        <v>0</v>
      </c>
    </row>
    <row r="923" spans="1:11" ht="18" customHeight="1">
      <c r="A923" s="97" t="s">
        <v>1043</v>
      </c>
      <c r="B923" s="142"/>
      <c r="C923" s="142" t="s">
        <v>603</v>
      </c>
      <c r="D923" s="142" t="s">
        <v>603</v>
      </c>
      <c r="E923" s="142" t="s">
        <v>1042</v>
      </c>
      <c r="F923" s="140"/>
      <c r="G923" s="81">
        <f>SUM(G924)</f>
        <v>42300.3</v>
      </c>
      <c r="H923" s="81">
        <f>SUM(H924)</f>
        <v>41350.1</v>
      </c>
      <c r="I923" s="20">
        <f t="shared" si="44"/>
        <v>97.753680233946312</v>
      </c>
      <c r="K923" s="229"/>
    </row>
    <row r="924" spans="1:11" ht="16.5" customHeight="1">
      <c r="A924" s="97" t="s">
        <v>276</v>
      </c>
      <c r="B924" s="142"/>
      <c r="C924" s="142" t="s">
        <v>603</v>
      </c>
      <c r="D924" s="142" t="s">
        <v>603</v>
      </c>
      <c r="E924" s="142" t="s">
        <v>1042</v>
      </c>
      <c r="F924" s="140" t="s">
        <v>132</v>
      </c>
      <c r="G924" s="81">
        <v>42300.3</v>
      </c>
      <c r="H924" s="81">
        <v>41350.1</v>
      </c>
      <c r="I924" s="20">
        <f t="shared" si="44"/>
        <v>97.753680233946312</v>
      </c>
      <c r="J924" s="225">
        <f>SUM(ведомствен.2013!G1692)</f>
        <v>42300.3</v>
      </c>
      <c r="K924" s="229">
        <f t="shared" si="45"/>
        <v>0</v>
      </c>
    </row>
    <row r="925" spans="1:11" ht="15" hidden="1" customHeight="1">
      <c r="A925" s="97"/>
      <c r="B925" s="142"/>
      <c r="C925" s="142"/>
      <c r="D925" s="142"/>
      <c r="E925" s="142"/>
      <c r="F925" s="140"/>
      <c r="G925" s="30"/>
      <c r="H925" s="30"/>
      <c r="I925" s="20" t="e">
        <f t="shared" si="44"/>
        <v>#DIV/0!</v>
      </c>
      <c r="K925" s="229">
        <f t="shared" si="45"/>
        <v>0</v>
      </c>
    </row>
    <row r="926" spans="1:11" ht="15.75" hidden="1" customHeight="1">
      <c r="A926" s="95" t="s">
        <v>164</v>
      </c>
      <c r="B926" s="138"/>
      <c r="C926" s="142" t="s">
        <v>603</v>
      </c>
      <c r="D926" s="142" t="s">
        <v>603</v>
      </c>
      <c r="E926" s="138" t="s">
        <v>170</v>
      </c>
      <c r="F926" s="139" t="s">
        <v>165</v>
      </c>
      <c r="G926" s="30"/>
      <c r="H926" s="30"/>
      <c r="I926" s="20" t="e">
        <f t="shared" si="44"/>
        <v>#DIV/0!</v>
      </c>
      <c r="K926" s="229">
        <f t="shared" si="45"/>
        <v>0</v>
      </c>
    </row>
    <row r="927" spans="1:11" ht="15" hidden="1">
      <c r="A927" s="97" t="s">
        <v>728</v>
      </c>
      <c r="B927" s="138"/>
      <c r="C927" s="142" t="s">
        <v>603</v>
      </c>
      <c r="D927" s="142" t="s">
        <v>603</v>
      </c>
      <c r="E927" s="142" t="s">
        <v>729</v>
      </c>
      <c r="F927" s="140"/>
      <c r="G927" s="30">
        <f>SUM(G928)</f>
        <v>0</v>
      </c>
      <c r="H927" s="30">
        <f>SUM(H928)</f>
        <v>0</v>
      </c>
      <c r="I927" s="20" t="e">
        <f t="shared" si="44"/>
        <v>#DIV/0!</v>
      </c>
      <c r="K927" s="229">
        <f t="shared" si="45"/>
        <v>0</v>
      </c>
    </row>
    <row r="928" spans="1:11" ht="15" hidden="1">
      <c r="A928" s="95" t="s">
        <v>164</v>
      </c>
      <c r="B928" s="138"/>
      <c r="C928" s="142" t="s">
        <v>603</v>
      </c>
      <c r="D928" s="142" t="s">
        <v>603</v>
      </c>
      <c r="E928" s="142" t="s">
        <v>729</v>
      </c>
      <c r="F928" s="140" t="s">
        <v>165</v>
      </c>
      <c r="G928" s="30"/>
      <c r="H928" s="30"/>
      <c r="I928" s="20" t="e">
        <f t="shared" si="44"/>
        <v>#DIV/0!</v>
      </c>
      <c r="K928" s="229">
        <f t="shared" si="45"/>
        <v>0</v>
      </c>
    </row>
    <row r="929" spans="1:11" ht="28.5" hidden="1">
      <c r="A929" s="119" t="s">
        <v>175</v>
      </c>
      <c r="B929" s="138"/>
      <c r="C929" s="142" t="s">
        <v>603</v>
      </c>
      <c r="D929" s="142" t="s">
        <v>603</v>
      </c>
      <c r="E929" s="138" t="s">
        <v>176</v>
      </c>
      <c r="F929" s="141"/>
      <c r="G929" s="30">
        <f>SUM(G931)</f>
        <v>0</v>
      </c>
      <c r="H929" s="30">
        <f>SUM(H931)</f>
        <v>0</v>
      </c>
      <c r="I929" s="20" t="e">
        <f t="shared" si="44"/>
        <v>#DIV/0!</v>
      </c>
      <c r="K929" s="229">
        <f t="shared" si="45"/>
        <v>0</v>
      </c>
    </row>
    <row r="930" spans="1:11" ht="15" hidden="1" customHeight="1">
      <c r="A930" s="119" t="s">
        <v>177</v>
      </c>
      <c r="B930" s="138"/>
      <c r="C930" s="142" t="s">
        <v>603</v>
      </c>
      <c r="D930" s="142" t="s">
        <v>603</v>
      </c>
      <c r="E930" s="138" t="s">
        <v>501</v>
      </c>
      <c r="F930" s="141"/>
      <c r="G930" s="30">
        <f>SUM(G931)</f>
        <v>0</v>
      </c>
      <c r="H930" s="30">
        <f>SUM(H931)</f>
        <v>0</v>
      </c>
      <c r="I930" s="20" t="e">
        <f t="shared" si="44"/>
        <v>#DIV/0!</v>
      </c>
      <c r="K930" s="229">
        <f t="shared" si="45"/>
        <v>0</v>
      </c>
    </row>
    <row r="931" spans="1:11" ht="15" hidden="1" customHeight="1">
      <c r="A931" s="95" t="s">
        <v>164</v>
      </c>
      <c r="B931" s="138"/>
      <c r="C931" s="142" t="s">
        <v>603</v>
      </c>
      <c r="D931" s="142" t="s">
        <v>603</v>
      </c>
      <c r="E931" s="138" t="s">
        <v>501</v>
      </c>
      <c r="F931" s="141" t="s">
        <v>165</v>
      </c>
      <c r="G931" s="30"/>
      <c r="H931" s="30"/>
      <c r="I931" s="20" t="e">
        <f t="shared" si="44"/>
        <v>#DIV/0!</v>
      </c>
      <c r="K931" s="229">
        <f t="shared" si="45"/>
        <v>0</v>
      </c>
    </row>
    <row r="932" spans="1:11" ht="28.5">
      <c r="A932" s="118" t="s">
        <v>320</v>
      </c>
      <c r="B932" s="138"/>
      <c r="C932" s="142" t="s">
        <v>603</v>
      </c>
      <c r="D932" s="142" t="s">
        <v>603</v>
      </c>
      <c r="E932" s="142" t="s">
        <v>321</v>
      </c>
      <c r="F932" s="140"/>
      <c r="G932" s="30">
        <f>SUM(G933)</f>
        <v>12896</v>
      </c>
      <c r="H932" s="30">
        <f>SUM(H933)</f>
        <v>12868.4</v>
      </c>
      <c r="I932" s="20">
        <f t="shared" si="44"/>
        <v>99.785980148883368</v>
      </c>
      <c r="K932" s="229"/>
    </row>
    <row r="933" spans="1:11" ht="29.25" customHeight="1">
      <c r="A933" s="95" t="s">
        <v>48</v>
      </c>
      <c r="B933" s="138"/>
      <c r="C933" s="142" t="s">
        <v>603</v>
      </c>
      <c r="D933" s="142" t="s">
        <v>603</v>
      </c>
      <c r="E933" s="142" t="s">
        <v>322</v>
      </c>
      <c r="F933" s="140"/>
      <c r="G933" s="30">
        <f>SUM(G934:G935)</f>
        <v>12896</v>
      </c>
      <c r="H933" s="30">
        <f>SUM(H934:H935)</f>
        <v>12868.4</v>
      </c>
      <c r="I933" s="20">
        <f t="shared" si="44"/>
        <v>99.785980148883368</v>
      </c>
      <c r="K933" s="229"/>
    </row>
    <row r="934" spans="1:11" ht="18.75" customHeight="1">
      <c r="A934" s="97" t="s">
        <v>49</v>
      </c>
      <c r="B934" s="138"/>
      <c r="C934" s="142" t="s">
        <v>603</v>
      </c>
      <c r="D934" s="142" t="s">
        <v>603</v>
      </c>
      <c r="E934" s="142" t="s">
        <v>322</v>
      </c>
      <c r="F934" s="140" t="s">
        <v>498</v>
      </c>
      <c r="G934" s="30">
        <v>12896</v>
      </c>
      <c r="H934" s="30">
        <v>12868.4</v>
      </c>
      <c r="I934" s="20">
        <f t="shared" si="44"/>
        <v>99.785980148883368</v>
      </c>
      <c r="J934" s="225">
        <f>SUM(ведомствен.2013!G1697)+ведомствен.2013!G858</f>
        <v>12896</v>
      </c>
      <c r="K934" s="229">
        <f t="shared" si="45"/>
        <v>0</v>
      </c>
    </row>
    <row r="935" spans="1:11" ht="42.75" hidden="1" customHeight="1">
      <c r="A935" s="95" t="s">
        <v>1010</v>
      </c>
      <c r="B935" s="138"/>
      <c r="C935" s="142" t="s">
        <v>603</v>
      </c>
      <c r="D935" s="142" t="s">
        <v>603</v>
      </c>
      <c r="E935" s="142" t="s">
        <v>322</v>
      </c>
      <c r="F935" s="140" t="s">
        <v>480</v>
      </c>
      <c r="G935" s="30"/>
      <c r="H935" s="30"/>
      <c r="I935" s="20" t="e">
        <f t="shared" si="44"/>
        <v>#DIV/0!</v>
      </c>
      <c r="K935" s="229">
        <f t="shared" si="45"/>
        <v>0</v>
      </c>
    </row>
    <row r="936" spans="1:11" ht="15" hidden="1" customHeight="1">
      <c r="A936" s="95" t="s">
        <v>932</v>
      </c>
      <c r="B936" s="138"/>
      <c r="C936" s="142" t="s">
        <v>603</v>
      </c>
      <c r="D936" s="142" t="s">
        <v>603</v>
      </c>
      <c r="E936" s="142" t="s">
        <v>933</v>
      </c>
      <c r="F936" s="140"/>
      <c r="G936" s="30">
        <f>SUM(G937+G939)</f>
        <v>0</v>
      </c>
      <c r="H936" s="30">
        <f>SUM(H937+H939)</f>
        <v>0</v>
      </c>
      <c r="I936" s="20" t="e">
        <f t="shared" si="44"/>
        <v>#DIV/0!</v>
      </c>
      <c r="K936" s="229">
        <f t="shared" si="45"/>
        <v>0</v>
      </c>
    </row>
    <row r="937" spans="1:11" ht="28.5" hidden="1" customHeight="1">
      <c r="A937" s="97" t="s">
        <v>1012</v>
      </c>
      <c r="B937" s="109"/>
      <c r="C937" s="142" t="s">
        <v>603</v>
      </c>
      <c r="D937" s="142" t="s">
        <v>603</v>
      </c>
      <c r="E937" s="142" t="s">
        <v>570</v>
      </c>
      <c r="F937" s="141"/>
      <c r="G937" s="30">
        <f>SUM(G938)</f>
        <v>0</v>
      </c>
      <c r="H937" s="30">
        <f>SUM(H938)</f>
        <v>0</v>
      </c>
      <c r="I937" s="20" t="e">
        <f t="shared" si="44"/>
        <v>#DIV/0!</v>
      </c>
      <c r="K937" s="229">
        <f t="shared" si="45"/>
        <v>0</v>
      </c>
    </row>
    <row r="938" spans="1:11" ht="28.5" hidden="1" customHeight="1">
      <c r="A938" s="95" t="s">
        <v>692</v>
      </c>
      <c r="B938" s="109"/>
      <c r="C938" s="142" t="s">
        <v>603</v>
      </c>
      <c r="D938" s="142" t="s">
        <v>603</v>
      </c>
      <c r="E938" s="142" t="s">
        <v>570</v>
      </c>
      <c r="F938" s="141" t="s">
        <v>569</v>
      </c>
      <c r="G938" s="30"/>
      <c r="H938" s="30"/>
      <c r="I938" s="20" t="e">
        <f t="shared" si="44"/>
        <v>#DIV/0!</v>
      </c>
      <c r="K938" s="229">
        <f t="shared" si="45"/>
        <v>0</v>
      </c>
    </row>
    <row r="939" spans="1:11" ht="28.5" hidden="1" customHeight="1">
      <c r="A939" s="95" t="s">
        <v>465</v>
      </c>
      <c r="B939" s="138"/>
      <c r="C939" s="142" t="s">
        <v>603</v>
      </c>
      <c r="D939" s="142" t="s">
        <v>603</v>
      </c>
      <c r="E939" s="142" t="s">
        <v>466</v>
      </c>
      <c r="F939" s="140"/>
      <c r="G939" s="30">
        <f>SUM(G940)</f>
        <v>0</v>
      </c>
      <c r="H939" s="30">
        <f>SUM(H940)</f>
        <v>0</v>
      </c>
      <c r="I939" s="20" t="e">
        <f t="shared" si="44"/>
        <v>#DIV/0!</v>
      </c>
      <c r="K939" s="229">
        <f t="shared" si="45"/>
        <v>0</v>
      </c>
    </row>
    <row r="940" spans="1:11" ht="28.5" hidden="1" customHeight="1">
      <c r="A940" s="95" t="s">
        <v>692</v>
      </c>
      <c r="B940" s="138"/>
      <c r="C940" s="142" t="s">
        <v>603</v>
      </c>
      <c r="D940" s="142" t="s">
        <v>603</v>
      </c>
      <c r="E940" s="142" t="s">
        <v>466</v>
      </c>
      <c r="F940" s="140" t="s">
        <v>569</v>
      </c>
      <c r="G940" s="30"/>
      <c r="H940" s="30"/>
      <c r="I940" s="20" t="e">
        <f t="shared" si="44"/>
        <v>#DIV/0!</v>
      </c>
      <c r="K940" s="229">
        <f t="shared" si="45"/>
        <v>0</v>
      </c>
    </row>
    <row r="941" spans="1:11" ht="15.75" customHeight="1">
      <c r="A941" s="97" t="s">
        <v>200</v>
      </c>
      <c r="B941" s="142"/>
      <c r="C941" s="142" t="s">
        <v>603</v>
      </c>
      <c r="D941" s="142" t="s">
        <v>603</v>
      </c>
      <c r="E941" s="142" t="s">
        <v>201</v>
      </c>
      <c r="F941" s="140"/>
      <c r="G941" s="30">
        <f>SUM(G951+G953+G955)+G957</f>
        <v>41984.4</v>
      </c>
      <c r="H941" s="30">
        <f>SUM(H951+H953+H955)+H957</f>
        <v>41982.2</v>
      </c>
      <c r="I941" s="20">
        <f t="shared" si="44"/>
        <v>99.994759958460762</v>
      </c>
      <c r="K941" s="229"/>
    </row>
    <row r="942" spans="1:11" ht="28.5" hidden="1" customHeight="1">
      <c r="A942" s="95" t="s">
        <v>692</v>
      </c>
      <c r="B942" s="142"/>
      <c r="C942" s="142" t="s">
        <v>603</v>
      </c>
      <c r="D942" s="142" t="s">
        <v>603</v>
      </c>
      <c r="E942" s="142" t="s">
        <v>201</v>
      </c>
      <c r="F942" s="140" t="s">
        <v>569</v>
      </c>
      <c r="G942" s="30"/>
      <c r="H942" s="30"/>
      <c r="I942" s="20" t="e">
        <f t="shared" si="44"/>
        <v>#DIV/0!</v>
      </c>
      <c r="K942" s="229"/>
    </row>
    <row r="943" spans="1:11" ht="28.5" hidden="1" customHeight="1">
      <c r="A943" s="95" t="s">
        <v>467</v>
      </c>
      <c r="B943" s="142"/>
      <c r="C943" s="142" t="s">
        <v>603</v>
      </c>
      <c r="D943" s="142" t="s">
        <v>603</v>
      </c>
      <c r="E943" s="142" t="s">
        <v>468</v>
      </c>
      <c r="F943" s="140"/>
      <c r="G943" s="30">
        <f>SUM(G944:G945)</f>
        <v>0</v>
      </c>
      <c r="H943" s="30">
        <f>SUM(H944:H945)</f>
        <v>0</v>
      </c>
      <c r="I943" s="20" t="e">
        <f t="shared" si="44"/>
        <v>#DIV/0!</v>
      </c>
      <c r="K943" s="229"/>
    </row>
    <row r="944" spans="1:11" ht="15" hidden="1" customHeight="1">
      <c r="A944" s="94" t="s">
        <v>70</v>
      </c>
      <c r="B944" s="138"/>
      <c r="C944" s="142" t="s">
        <v>603</v>
      </c>
      <c r="D944" s="142" t="s">
        <v>603</v>
      </c>
      <c r="E944" s="142" t="s">
        <v>468</v>
      </c>
      <c r="F944" s="140" t="s">
        <v>208</v>
      </c>
      <c r="G944" s="30"/>
      <c r="H944" s="30"/>
      <c r="I944" s="20" t="e">
        <f t="shared" si="44"/>
        <v>#DIV/0!</v>
      </c>
      <c r="K944" s="229"/>
    </row>
    <row r="945" spans="1:11" s="32" customFormat="1" ht="28.5" hidden="1" customHeight="1">
      <c r="A945" s="95" t="s">
        <v>692</v>
      </c>
      <c r="B945" s="175"/>
      <c r="C945" s="142" t="s">
        <v>603</v>
      </c>
      <c r="D945" s="142" t="s">
        <v>603</v>
      </c>
      <c r="E945" s="142" t="s">
        <v>468</v>
      </c>
      <c r="F945" s="140" t="s">
        <v>569</v>
      </c>
      <c r="G945" s="204"/>
      <c r="H945" s="204"/>
      <c r="I945" s="20" t="e">
        <f t="shared" si="44"/>
        <v>#DIV/0!</v>
      </c>
      <c r="J945" s="236"/>
      <c r="K945" s="229"/>
    </row>
    <row r="946" spans="1:11" ht="15" hidden="1" customHeight="1">
      <c r="A946" s="95" t="s">
        <v>164</v>
      </c>
      <c r="B946" s="160"/>
      <c r="C946" s="142" t="s">
        <v>603</v>
      </c>
      <c r="D946" s="142" t="s">
        <v>603</v>
      </c>
      <c r="E946" s="142" t="s">
        <v>468</v>
      </c>
      <c r="F946" s="141" t="s">
        <v>165</v>
      </c>
      <c r="G946" s="30"/>
      <c r="H946" s="30"/>
      <c r="I946" s="20" t="e">
        <f t="shared" si="44"/>
        <v>#DIV/0!</v>
      </c>
      <c r="K946" s="229"/>
    </row>
    <row r="947" spans="1:11" ht="28.5" hidden="1" customHeight="1">
      <c r="A947" s="95" t="s">
        <v>692</v>
      </c>
      <c r="B947" s="160"/>
      <c r="C947" s="142" t="s">
        <v>603</v>
      </c>
      <c r="D947" s="142" t="s">
        <v>603</v>
      </c>
      <c r="E947" s="154" t="s">
        <v>201</v>
      </c>
      <c r="F947" s="144" t="s">
        <v>569</v>
      </c>
      <c r="G947" s="30"/>
      <c r="H947" s="30"/>
      <c r="I947" s="20" t="e">
        <f t="shared" si="44"/>
        <v>#DIV/0!</v>
      </c>
      <c r="K947" s="229"/>
    </row>
    <row r="948" spans="1:11" ht="42.75" hidden="1" customHeight="1">
      <c r="A948" s="95" t="s">
        <v>596</v>
      </c>
      <c r="B948" s="175"/>
      <c r="C948" s="142" t="s">
        <v>603</v>
      </c>
      <c r="D948" s="142" t="s">
        <v>603</v>
      </c>
      <c r="E948" s="142" t="s">
        <v>597</v>
      </c>
      <c r="F948" s="140"/>
      <c r="G948" s="204">
        <f>SUM(G949)</f>
        <v>0</v>
      </c>
      <c r="H948" s="204">
        <f>SUM(H949)</f>
        <v>0</v>
      </c>
      <c r="I948" s="20" t="e">
        <f t="shared" si="44"/>
        <v>#DIV/0!</v>
      </c>
      <c r="K948" s="229"/>
    </row>
    <row r="949" spans="1:11" ht="15" hidden="1" customHeight="1">
      <c r="A949" s="95" t="s">
        <v>943</v>
      </c>
      <c r="B949" s="175"/>
      <c r="C949" s="142" t="s">
        <v>603</v>
      </c>
      <c r="D949" s="142" t="s">
        <v>603</v>
      </c>
      <c r="E949" s="142" t="s">
        <v>597</v>
      </c>
      <c r="F949" s="140" t="s">
        <v>944</v>
      </c>
      <c r="G949" s="204"/>
      <c r="H949" s="204"/>
      <c r="I949" s="20" t="e">
        <f t="shared" si="44"/>
        <v>#DIV/0!</v>
      </c>
      <c r="K949" s="229"/>
    </row>
    <row r="950" spans="1:11" ht="28.5" hidden="1" customHeight="1">
      <c r="A950" s="95" t="s">
        <v>1014</v>
      </c>
      <c r="B950" s="175"/>
      <c r="C950" s="142" t="s">
        <v>603</v>
      </c>
      <c r="D950" s="142" t="s">
        <v>603</v>
      </c>
      <c r="E950" s="142" t="s">
        <v>755</v>
      </c>
      <c r="F950" s="140"/>
      <c r="G950" s="204">
        <f>SUM(G951)</f>
        <v>0</v>
      </c>
      <c r="H950" s="204">
        <f>SUM(H951)</f>
        <v>0</v>
      </c>
      <c r="I950" s="20" t="e">
        <f t="shared" si="44"/>
        <v>#DIV/0!</v>
      </c>
      <c r="K950" s="229"/>
    </row>
    <row r="951" spans="1:11" ht="15" hidden="1" customHeight="1">
      <c r="A951" s="97" t="s">
        <v>276</v>
      </c>
      <c r="B951" s="138"/>
      <c r="C951" s="142" t="s">
        <v>603</v>
      </c>
      <c r="D951" s="142" t="s">
        <v>603</v>
      </c>
      <c r="E951" s="142" t="s">
        <v>755</v>
      </c>
      <c r="F951" s="141" t="s">
        <v>132</v>
      </c>
      <c r="G951" s="30"/>
      <c r="H951" s="30"/>
      <c r="I951" s="20" t="e">
        <f t="shared" si="44"/>
        <v>#DIV/0!</v>
      </c>
      <c r="J951" s="225">
        <f>SUM(ведомствен.2013!G1710)</f>
        <v>0</v>
      </c>
      <c r="K951" s="229"/>
    </row>
    <row r="952" spans="1:11" s="36" customFormat="1" ht="42.75">
      <c r="A952" s="115" t="s">
        <v>888</v>
      </c>
      <c r="B952" s="154"/>
      <c r="C952" s="154" t="s">
        <v>603</v>
      </c>
      <c r="D952" s="142" t="s">
        <v>603</v>
      </c>
      <c r="E952" s="154" t="s">
        <v>695</v>
      </c>
      <c r="F952" s="144"/>
      <c r="G952" s="204">
        <f>SUM(G953)</f>
        <v>319</v>
      </c>
      <c r="H952" s="204">
        <f>SUM(H953)</f>
        <v>319</v>
      </c>
      <c r="I952" s="20">
        <f t="shared" si="44"/>
        <v>100</v>
      </c>
      <c r="J952" s="239"/>
      <c r="K952" s="229"/>
    </row>
    <row r="953" spans="1:11" s="36" customFormat="1" ht="15">
      <c r="A953" s="97" t="s">
        <v>276</v>
      </c>
      <c r="B953" s="154"/>
      <c r="C953" s="154" t="s">
        <v>603</v>
      </c>
      <c r="D953" s="142" t="s">
        <v>603</v>
      </c>
      <c r="E953" s="154" t="s">
        <v>695</v>
      </c>
      <c r="F953" s="141" t="s">
        <v>132</v>
      </c>
      <c r="G953" s="204">
        <v>319</v>
      </c>
      <c r="H953" s="204">
        <v>319</v>
      </c>
      <c r="I953" s="20">
        <f t="shared" si="44"/>
        <v>100</v>
      </c>
      <c r="J953" s="239">
        <f>SUM(ведомствен.2013!G1712)</f>
        <v>319</v>
      </c>
      <c r="K953" s="229">
        <f t="shared" si="45"/>
        <v>0</v>
      </c>
    </row>
    <row r="954" spans="1:11" s="36" customFormat="1" ht="33" customHeight="1">
      <c r="A954" s="115" t="s">
        <v>894</v>
      </c>
      <c r="B954" s="154"/>
      <c r="C954" s="154" t="s">
        <v>603</v>
      </c>
      <c r="D954" s="142" t="s">
        <v>603</v>
      </c>
      <c r="E954" s="154" t="s">
        <v>696</v>
      </c>
      <c r="F954" s="144"/>
      <c r="G954" s="204">
        <f>SUM(G955)</f>
        <v>497</v>
      </c>
      <c r="H954" s="204">
        <f>SUM(H955)</f>
        <v>496.7</v>
      </c>
      <c r="I954" s="20">
        <f t="shared" si="44"/>
        <v>99.939637826961771</v>
      </c>
      <c r="J954" s="239"/>
      <c r="K954" s="229"/>
    </row>
    <row r="955" spans="1:11" s="36" customFormat="1" ht="21" customHeight="1">
      <c r="A955" s="97" t="s">
        <v>276</v>
      </c>
      <c r="B955" s="154"/>
      <c r="C955" s="154" t="s">
        <v>603</v>
      </c>
      <c r="D955" s="142" t="s">
        <v>603</v>
      </c>
      <c r="E955" s="154" t="s">
        <v>696</v>
      </c>
      <c r="F955" s="141" t="s">
        <v>132</v>
      </c>
      <c r="G955" s="204">
        <v>497</v>
      </c>
      <c r="H955" s="204">
        <v>496.7</v>
      </c>
      <c r="I955" s="20">
        <f t="shared" ref="I955:I1018" si="46">SUM(H955/G955*100)</f>
        <v>99.939637826961771</v>
      </c>
      <c r="J955" s="239">
        <f>SUM(ведомствен.2013!G1714)</f>
        <v>497</v>
      </c>
      <c r="K955" s="229">
        <f t="shared" si="45"/>
        <v>0</v>
      </c>
    </row>
    <row r="956" spans="1:11" ht="47.25" customHeight="1">
      <c r="A956" s="97" t="s">
        <v>1061</v>
      </c>
      <c r="B956" s="154"/>
      <c r="C956" s="154" t="s">
        <v>603</v>
      </c>
      <c r="D956" s="142" t="s">
        <v>603</v>
      </c>
      <c r="E956" s="154" t="s">
        <v>257</v>
      </c>
      <c r="F956" s="141"/>
      <c r="G956" s="204">
        <f>SUM(G957)</f>
        <v>41168.400000000001</v>
      </c>
      <c r="H956" s="204">
        <f>SUM(H957)</f>
        <v>41166.5</v>
      </c>
      <c r="I956" s="20">
        <f t="shared" si="46"/>
        <v>99.995384809708412</v>
      </c>
      <c r="K956" s="229"/>
    </row>
    <row r="957" spans="1:11" ht="18" customHeight="1">
      <c r="A957" s="97" t="s">
        <v>276</v>
      </c>
      <c r="B957" s="154"/>
      <c r="C957" s="154" t="s">
        <v>603</v>
      </c>
      <c r="D957" s="142" t="s">
        <v>603</v>
      </c>
      <c r="E957" s="154" t="s">
        <v>257</v>
      </c>
      <c r="F957" s="141" t="s">
        <v>132</v>
      </c>
      <c r="G957" s="204">
        <v>41168.400000000001</v>
      </c>
      <c r="H957" s="204">
        <v>41166.5</v>
      </c>
      <c r="I957" s="20">
        <f t="shared" si="46"/>
        <v>99.995384809708412</v>
      </c>
      <c r="J957" s="225">
        <f>SUM(ведомствен.2013!G1716)</f>
        <v>41168.400000000001</v>
      </c>
      <c r="K957" s="229">
        <f t="shared" si="45"/>
        <v>0</v>
      </c>
    </row>
    <row r="958" spans="1:11" s="36" customFormat="1" ht="28.5" hidden="1">
      <c r="A958" s="115" t="s">
        <v>697</v>
      </c>
      <c r="B958" s="154"/>
      <c r="C958" s="142" t="s">
        <v>603</v>
      </c>
      <c r="D958" s="142" t="s">
        <v>603</v>
      </c>
      <c r="E958" s="154" t="s">
        <v>112</v>
      </c>
      <c r="F958" s="144" t="s">
        <v>569</v>
      </c>
      <c r="G958" s="204"/>
      <c r="H958" s="204"/>
      <c r="I958" s="20" t="e">
        <f t="shared" si="46"/>
        <v>#DIV/0!</v>
      </c>
      <c r="J958" s="239"/>
    </row>
    <row r="959" spans="1:11" s="36" customFormat="1" ht="28.5" hidden="1">
      <c r="A959" s="115" t="s">
        <v>113</v>
      </c>
      <c r="B959" s="154"/>
      <c r="C959" s="142" t="s">
        <v>603</v>
      </c>
      <c r="D959" s="142" t="s">
        <v>603</v>
      </c>
      <c r="E959" s="154" t="s">
        <v>114</v>
      </c>
      <c r="F959" s="144" t="s">
        <v>569</v>
      </c>
      <c r="G959" s="204"/>
      <c r="H959" s="204"/>
      <c r="I959" s="20" t="e">
        <f t="shared" si="46"/>
        <v>#DIV/0!</v>
      </c>
      <c r="J959" s="239"/>
    </row>
    <row r="960" spans="1:11" s="36" customFormat="1" ht="28.5" hidden="1">
      <c r="A960" s="95" t="s">
        <v>692</v>
      </c>
      <c r="B960" s="138"/>
      <c r="C960" s="142" t="s">
        <v>603</v>
      </c>
      <c r="D960" s="142" t="s">
        <v>603</v>
      </c>
      <c r="E960" s="142" t="s">
        <v>699</v>
      </c>
      <c r="F960" s="144" t="s">
        <v>569</v>
      </c>
      <c r="G960" s="204"/>
      <c r="H960" s="204"/>
      <c r="I960" s="20" t="e">
        <f t="shared" si="46"/>
        <v>#DIV/0!</v>
      </c>
      <c r="J960" s="239"/>
    </row>
    <row r="961" spans="1:19" s="36" customFormat="1" ht="42.75" hidden="1">
      <c r="A961" s="98" t="s">
        <v>337</v>
      </c>
      <c r="B961" s="138"/>
      <c r="C961" s="142" t="s">
        <v>603</v>
      </c>
      <c r="D961" s="142" t="s">
        <v>603</v>
      </c>
      <c r="E961" s="142" t="s">
        <v>338</v>
      </c>
      <c r="F961" s="144" t="s">
        <v>569</v>
      </c>
      <c r="G961" s="204">
        <f>SUM([1]Ведомств.!F701)</f>
        <v>0</v>
      </c>
      <c r="H961" s="204" t="e">
        <f>SUM([1]Ведомств.!G701)</f>
        <v>#REF!</v>
      </c>
      <c r="I961" s="20" t="e">
        <f t="shared" si="46"/>
        <v>#REF!</v>
      </c>
      <c r="J961" s="239"/>
    </row>
    <row r="962" spans="1:19" s="36" customFormat="1" ht="28.5" hidden="1" customHeight="1">
      <c r="A962" s="98" t="s">
        <v>339</v>
      </c>
      <c r="B962" s="138"/>
      <c r="C962" s="142" t="s">
        <v>603</v>
      </c>
      <c r="D962" s="142" t="s">
        <v>603</v>
      </c>
      <c r="E962" s="142" t="s">
        <v>468</v>
      </c>
      <c r="F962" s="144"/>
      <c r="G962" s="204">
        <f>SUM(G963)</f>
        <v>0</v>
      </c>
      <c r="H962" s="204">
        <f>SUM(H963)</f>
        <v>0</v>
      </c>
      <c r="I962" s="20" t="e">
        <f t="shared" si="46"/>
        <v>#DIV/0!</v>
      </c>
      <c r="J962" s="239"/>
    </row>
    <row r="963" spans="1:19" s="36" customFormat="1" ht="28.5" hidden="1" customHeight="1">
      <c r="A963" s="98" t="s">
        <v>692</v>
      </c>
      <c r="B963" s="138"/>
      <c r="C963" s="142" t="s">
        <v>603</v>
      </c>
      <c r="D963" s="142" t="s">
        <v>603</v>
      </c>
      <c r="E963" s="142" t="s">
        <v>468</v>
      </c>
      <c r="F963" s="144" t="s">
        <v>569</v>
      </c>
      <c r="G963" s="204"/>
      <c r="H963" s="204"/>
      <c r="I963" s="20" t="e">
        <f t="shared" si="46"/>
        <v>#DIV/0!</v>
      </c>
      <c r="J963" s="239"/>
    </row>
    <row r="964" spans="1:19" s="36" customFormat="1" ht="28.5" hidden="1" customHeight="1">
      <c r="A964" s="98" t="s">
        <v>340</v>
      </c>
      <c r="B964" s="138"/>
      <c r="C964" s="142" t="s">
        <v>603</v>
      </c>
      <c r="D964" s="142" t="s">
        <v>603</v>
      </c>
      <c r="E964" s="142" t="s">
        <v>41</v>
      </c>
      <c r="F964" s="144"/>
      <c r="G964" s="204">
        <f>SUM(G965)</f>
        <v>0</v>
      </c>
      <c r="H964" s="204">
        <f>SUM(H965)</f>
        <v>0</v>
      </c>
      <c r="I964" s="20" t="e">
        <f t="shared" si="46"/>
        <v>#DIV/0!</v>
      </c>
      <c r="J964" s="239"/>
    </row>
    <row r="965" spans="1:19" s="36" customFormat="1" ht="15" hidden="1" customHeight="1">
      <c r="A965" s="98" t="s">
        <v>207</v>
      </c>
      <c r="B965" s="138"/>
      <c r="C965" s="142" t="s">
        <v>603</v>
      </c>
      <c r="D965" s="142" t="s">
        <v>603</v>
      </c>
      <c r="E965" s="142" t="s">
        <v>41</v>
      </c>
      <c r="F965" s="144" t="s">
        <v>208</v>
      </c>
      <c r="G965" s="204"/>
      <c r="H965" s="204"/>
      <c r="I965" s="20" t="e">
        <f t="shared" si="46"/>
        <v>#DIV/0!</v>
      </c>
      <c r="J965" s="239"/>
    </row>
    <row r="966" spans="1:19" s="38" customFormat="1" ht="21.75" customHeight="1">
      <c r="A966" s="120" t="s">
        <v>341</v>
      </c>
      <c r="B966" s="169"/>
      <c r="C966" s="169" t="s">
        <v>940</v>
      </c>
      <c r="D966" s="169" t="s">
        <v>342</v>
      </c>
      <c r="E966" s="169"/>
      <c r="F966" s="195"/>
      <c r="G966" s="203">
        <f>SUM(G967+G971+G982+G1129+G1151)</f>
        <v>814794.5</v>
      </c>
      <c r="H966" s="203">
        <f>SUM(H967+H971+H982+H1129+H1151)</f>
        <v>769140.40000000014</v>
      </c>
      <c r="I966" s="203">
        <f t="shared" si="46"/>
        <v>94.396857121642341</v>
      </c>
      <c r="J966" s="242"/>
      <c r="K966" s="38">
        <f>SUM(J967:J1183)</f>
        <v>814794.50000000012</v>
      </c>
      <c r="L966" s="38">
        <f>SUM(ведомствен.2013!G653+ведомствен.2013!G733+ведомствен.2013!G859+ведомствен.2013!G1492)</f>
        <v>814794.5</v>
      </c>
      <c r="S966" s="308"/>
    </row>
    <row r="967" spans="1:19" s="25" customFormat="1" ht="15">
      <c r="A967" s="115" t="s">
        <v>343</v>
      </c>
      <c r="B967" s="138"/>
      <c r="C967" s="163" t="s">
        <v>940</v>
      </c>
      <c r="D967" s="163" t="s">
        <v>836</v>
      </c>
      <c r="E967" s="163"/>
      <c r="F967" s="164"/>
      <c r="G967" s="204">
        <f t="shared" ref="G967:H969" si="47">SUM(G968)</f>
        <v>3806</v>
      </c>
      <c r="H967" s="204">
        <f t="shared" si="47"/>
        <v>3806</v>
      </c>
      <c r="I967" s="20">
        <f t="shared" si="46"/>
        <v>100</v>
      </c>
      <c r="J967" s="229"/>
      <c r="K967" s="229">
        <f>SUM(J970)</f>
        <v>3806</v>
      </c>
      <c r="L967" s="250">
        <f>SUM(K966-L966)</f>
        <v>1.1641532182693481E-10</v>
      </c>
    </row>
    <row r="968" spans="1:19" s="25" customFormat="1" ht="15">
      <c r="A968" s="114" t="s">
        <v>344</v>
      </c>
      <c r="B968" s="138"/>
      <c r="C968" s="138" t="s">
        <v>940</v>
      </c>
      <c r="D968" s="138" t="s">
        <v>836</v>
      </c>
      <c r="E968" s="138" t="s">
        <v>345</v>
      </c>
      <c r="F968" s="164"/>
      <c r="G968" s="30">
        <f t="shared" si="47"/>
        <v>3806</v>
      </c>
      <c r="H968" s="30">
        <f t="shared" si="47"/>
        <v>3806</v>
      </c>
      <c r="I968" s="20">
        <f t="shared" si="46"/>
        <v>100</v>
      </c>
      <c r="J968" s="229"/>
      <c r="M968" s="112">
        <f>SUM(G966-K966)</f>
        <v>-1.1641532182693481E-10</v>
      </c>
    </row>
    <row r="969" spans="1:19" s="25" customFormat="1" ht="28.5">
      <c r="A969" s="114" t="s">
        <v>346</v>
      </c>
      <c r="B969" s="150"/>
      <c r="C969" s="138" t="s">
        <v>940</v>
      </c>
      <c r="D969" s="138" t="s">
        <v>836</v>
      </c>
      <c r="E969" s="138" t="s">
        <v>347</v>
      </c>
      <c r="F969" s="164"/>
      <c r="G969" s="30">
        <f t="shared" si="47"/>
        <v>3806</v>
      </c>
      <c r="H969" s="30">
        <f t="shared" si="47"/>
        <v>3806</v>
      </c>
      <c r="I969" s="20">
        <f t="shared" si="46"/>
        <v>100</v>
      </c>
      <c r="J969" s="229"/>
    </row>
    <row r="970" spans="1:19" s="25" customFormat="1" ht="15">
      <c r="A970" s="95" t="s">
        <v>592</v>
      </c>
      <c r="B970" s="138"/>
      <c r="C970" s="138" t="s">
        <v>940</v>
      </c>
      <c r="D970" s="138" t="s">
        <v>836</v>
      </c>
      <c r="E970" s="138" t="s">
        <v>347</v>
      </c>
      <c r="F970" s="164" t="s">
        <v>593</v>
      </c>
      <c r="G970" s="30">
        <v>3806</v>
      </c>
      <c r="H970" s="30">
        <v>3806</v>
      </c>
      <c r="I970" s="20">
        <f t="shared" si="46"/>
        <v>100</v>
      </c>
      <c r="J970" s="229">
        <f>SUM(ведомствен.2013!G863)</f>
        <v>3806</v>
      </c>
      <c r="K970" s="229">
        <f>SUM(G970-J970)</f>
        <v>0</v>
      </c>
    </row>
    <row r="971" spans="1:19" s="25" customFormat="1" ht="15">
      <c r="A971" s="95" t="s">
        <v>348</v>
      </c>
      <c r="B971" s="138"/>
      <c r="C971" s="154" t="s">
        <v>940</v>
      </c>
      <c r="D971" s="154" t="s">
        <v>838</v>
      </c>
      <c r="E971" s="138"/>
      <c r="F971" s="164"/>
      <c r="G971" s="204">
        <f>SUM(G972+G977)</f>
        <v>46632.4</v>
      </c>
      <c r="H971" s="204">
        <f>SUM(H972+H977)</f>
        <v>46451.9</v>
      </c>
      <c r="I971" s="20">
        <f t="shared" si="46"/>
        <v>99.612930065791176</v>
      </c>
      <c r="J971" s="229"/>
      <c r="K971" s="229">
        <f>SUM(J977:J981)</f>
        <v>46632.4</v>
      </c>
    </row>
    <row r="972" spans="1:19" s="25" customFormat="1" ht="15" hidden="1" customHeight="1">
      <c r="A972" s="99" t="s">
        <v>115</v>
      </c>
      <c r="B972" s="138"/>
      <c r="C972" s="154" t="s">
        <v>940</v>
      </c>
      <c r="D972" s="154" t="s">
        <v>838</v>
      </c>
      <c r="E972" s="154" t="s">
        <v>116</v>
      </c>
      <c r="F972" s="144"/>
      <c r="G972" s="204">
        <f>SUM(G973)+G975</f>
        <v>0</v>
      </c>
      <c r="H972" s="204">
        <f>SUM(H973)+H975</f>
        <v>0</v>
      </c>
      <c r="I972" s="20" t="e">
        <f t="shared" si="46"/>
        <v>#DIV/0!</v>
      </c>
      <c r="J972" s="229"/>
      <c r="K972" s="229"/>
    </row>
    <row r="973" spans="1:19" s="25" customFormat="1" ht="28.5" hidden="1" customHeight="1">
      <c r="A973" s="99" t="s">
        <v>956</v>
      </c>
      <c r="B973" s="138"/>
      <c r="C973" s="142" t="s">
        <v>940</v>
      </c>
      <c r="D973" s="142" t="s">
        <v>838</v>
      </c>
      <c r="E973" s="142" t="s">
        <v>957</v>
      </c>
      <c r="F973" s="140"/>
      <c r="G973" s="30">
        <f>SUM(G974)</f>
        <v>0</v>
      </c>
      <c r="H973" s="30">
        <f>SUM(H974)</f>
        <v>0</v>
      </c>
      <c r="I973" s="20" t="e">
        <f t="shared" si="46"/>
        <v>#DIV/0!</v>
      </c>
      <c r="J973" s="229"/>
      <c r="K973" s="229"/>
    </row>
    <row r="974" spans="1:19" s="25" customFormat="1" ht="15" hidden="1" customHeight="1">
      <c r="A974" s="94" t="s">
        <v>497</v>
      </c>
      <c r="B974" s="138"/>
      <c r="C974" s="142" t="s">
        <v>940</v>
      </c>
      <c r="D974" s="142" t="s">
        <v>838</v>
      </c>
      <c r="E974" s="142" t="s">
        <v>957</v>
      </c>
      <c r="F974" s="144" t="s">
        <v>498</v>
      </c>
      <c r="G974" s="30"/>
      <c r="H974" s="30"/>
      <c r="I974" s="20" t="e">
        <f t="shared" si="46"/>
        <v>#DIV/0!</v>
      </c>
      <c r="J974" s="229"/>
      <c r="K974" s="229"/>
    </row>
    <row r="975" spans="1:19" s="25" customFormat="1" ht="28.5" hidden="1" customHeight="1">
      <c r="A975" s="99" t="s">
        <v>958</v>
      </c>
      <c r="B975" s="138"/>
      <c r="C975" s="142" t="s">
        <v>940</v>
      </c>
      <c r="D975" s="142" t="s">
        <v>838</v>
      </c>
      <c r="E975" s="142" t="s">
        <v>959</v>
      </c>
      <c r="F975" s="140"/>
      <c r="G975" s="30">
        <f>SUM(G976)</f>
        <v>0</v>
      </c>
      <c r="H975" s="30">
        <f>SUM(H976)</f>
        <v>0</v>
      </c>
      <c r="I975" s="20" t="e">
        <f t="shared" si="46"/>
        <v>#DIV/0!</v>
      </c>
      <c r="J975" s="229"/>
      <c r="K975" s="229"/>
    </row>
    <row r="976" spans="1:19" s="25" customFormat="1" ht="15" hidden="1" customHeight="1">
      <c r="A976" s="94" t="s">
        <v>497</v>
      </c>
      <c r="B976" s="138"/>
      <c r="C976" s="142" t="s">
        <v>940</v>
      </c>
      <c r="D976" s="142" t="s">
        <v>838</v>
      </c>
      <c r="E976" s="142" t="s">
        <v>959</v>
      </c>
      <c r="F976" s="144" t="s">
        <v>498</v>
      </c>
      <c r="G976" s="30"/>
      <c r="H976" s="30"/>
      <c r="I976" s="20" t="e">
        <f t="shared" si="46"/>
        <v>#DIV/0!</v>
      </c>
      <c r="J976" s="229"/>
      <c r="K976" s="229"/>
    </row>
    <row r="977" spans="1:11" s="25" customFormat="1" ht="18.75" customHeight="1">
      <c r="A977" s="99" t="s">
        <v>115</v>
      </c>
      <c r="B977" s="138"/>
      <c r="C977" s="154" t="s">
        <v>940</v>
      </c>
      <c r="D977" s="154" t="s">
        <v>838</v>
      </c>
      <c r="E977" s="154" t="s">
        <v>960</v>
      </c>
      <c r="F977" s="144"/>
      <c r="G977" s="30">
        <f>SUM(G978)</f>
        <v>46632.4</v>
      </c>
      <c r="H977" s="30">
        <f>SUM(H978)</f>
        <v>46451.9</v>
      </c>
      <c r="I977" s="20">
        <f t="shared" si="46"/>
        <v>99.612930065791176</v>
      </c>
      <c r="J977" s="229"/>
      <c r="K977" s="229"/>
    </row>
    <row r="978" spans="1:11" s="25" customFormat="1" ht="28.5">
      <c r="A978" s="95" t="s">
        <v>48</v>
      </c>
      <c r="B978" s="138"/>
      <c r="C978" s="142" t="s">
        <v>940</v>
      </c>
      <c r="D978" s="142" t="s">
        <v>838</v>
      </c>
      <c r="E978" s="142" t="s">
        <v>961</v>
      </c>
      <c r="F978" s="144"/>
      <c r="G978" s="30">
        <f>SUM(G979,G981)</f>
        <v>46632.4</v>
      </c>
      <c r="H978" s="30">
        <f>SUM(H979,H981)</f>
        <v>46451.9</v>
      </c>
      <c r="I978" s="20">
        <f t="shared" si="46"/>
        <v>99.612930065791176</v>
      </c>
      <c r="J978" s="229"/>
      <c r="K978" s="229"/>
    </row>
    <row r="979" spans="1:11" s="25" customFormat="1" ht="15">
      <c r="A979" s="94" t="s">
        <v>49</v>
      </c>
      <c r="B979" s="138"/>
      <c r="C979" s="142" t="s">
        <v>940</v>
      </c>
      <c r="D979" s="142" t="s">
        <v>838</v>
      </c>
      <c r="E979" s="142" t="s">
        <v>961</v>
      </c>
      <c r="F979" s="144" t="s">
        <v>498</v>
      </c>
      <c r="G979" s="30">
        <v>1818.3</v>
      </c>
      <c r="H979" s="30">
        <v>1637.8</v>
      </c>
      <c r="I979" s="20">
        <f t="shared" si="46"/>
        <v>90.073145245559033</v>
      </c>
      <c r="J979" s="229">
        <f>SUM(ведомствен.2013!G872)</f>
        <v>1818.3</v>
      </c>
      <c r="K979" s="229">
        <f>SUM(G979-J979)</f>
        <v>0</v>
      </c>
    </row>
    <row r="980" spans="1:11" s="25" customFormat="1" ht="42.75" customHeight="1">
      <c r="A980" s="94" t="s">
        <v>962</v>
      </c>
      <c r="B980" s="138"/>
      <c r="C980" s="142" t="s">
        <v>940</v>
      </c>
      <c r="D980" s="142" t="s">
        <v>838</v>
      </c>
      <c r="E980" s="142" t="s">
        <v>963</v>
      </c>
      <c r="F980" s="144"/>
      <c r="G980" s="30">
        <v>17</v>
      </c>
      <c r="H980" s="30">
        <v>17</v>
      </c>
      <c r="I980" s="20">
        <f t="shared" si="46"/>
        <v>100</v>
      </c>
      <c r="J980" s="229"/>
      <c r="K980" s="229"/>
    </row>
    <row r="981" spans="1:11" s="25" customFormat="1" ht="15" customHeight="1">
      <c r="A981" s="94" t="s">
        <v>135</v>
      </c>
      <c r="B981" s="138"/>
      <c r="C981" s="142" t="s">
        <v>940</v>
      </c>
      <c r="D981" s="142" t="s">
        <v>838</v>
      </c>
      <c r="E981" s="142" t="s">
        <v>963</v>
      </c>
      <c r="F981" s="144" t="s">
        <v>498</v>
      </c>
      <c r="G981" s="30">
        <v>44814.1</v>
      </c>
      <c r="H981" s="30">
        <v>44814.1</v>
      </c>
      <c r="I981" s="20">
        <f t="shared" si="46"/>
        <v>100</v>
      </c>
      <c r="J981" s="229">
        <f>SUM(ведомствен.2013!G874)</f>
        <v>44814.1</v>
      </c>
      <c r="K981" s="229">
        <f>SUM(G981-J981)</f>
        <v>0</v>
      </c>
    </row>
    <row r="982" spans="1:11" s="25" customFormat="1" ht="18.75" customHeight="1">
      <c r="A982" s="115" t="s">
        <v>964</v>
      </c>
      <c r="B982" s="138"/>
      <c r="C982" s="163" t="s">
        <v>940</v>
      </c>
      <c r="D982" s="163" t="s">
        <v>167</v>
      </c>
      <c r="E982" s="163"/>
      <c r="F982" s="164"/>
      <c r="G982" s="204">
        <f>SUM(G993+G1097+G1111)+G986+G983+G1104+G1100</f>
        <v>658610.9</v>
      </c>
      <c r="H982" s="204">
        <f>SUM(H993+H1097+H1111)+H986+H983+H1104+H1100</f>
        <v>613682.10000000009</v>
      </c>
      <c r="I982" s="20">
        <f t="shared" si="46"/>
        <v>93.178248340560415</v>
      </c>
      <c r="J982" s="229"/>
      <c r="K982" s="229">
        <f>SUM(J986:J1126)</f>
        <v>658610.89999999991</v>
      </c>
    </row>
    <row r="983" spans="1:11" s="25" customFormat="1" ht="15" hidden="1" customHeight="1">
      <c r="A983" s="95" t="s">
        <v>748</v>
      </c>
      <c r="B983" s="138"/>
      <c r="C983" s="163" t="s">
        <v>940</v>
      </c>
      <c r="D983" s="163" t="s">
        <v>167</v>
      </c>
      <c r="E983" s="138" t="s">
        <v>750</v>
      </c>
      <c r="F983" s="139"/>
      <c r="G983" s="30">
        <f>SUM(G985)</f>
        <v>0</v>
      </c>
      <c r="H983" s="30">
        <f>SUM(H985)</f>
        <v>0</v>
      </c>
      <c r="I983" s="20" t="e">
        <f t="shared" si="46"/>
        <v>#DIV/0!</v>
      </c>
      <c r="J983" s="229"/>
      <c r="K983" s="229"/>
    </row>
    <row r="984" spans="1:11" s="25" customFormat="1" ht="15" hidden="1" customHeight="1">
      <c r="A984" s="95" t="s">
        <v>728</v>
      </c>
      <c r="B984" s="138"/>
      <c r="C984" s="163" t="s">
        <v>940</v>
      </c>
      <c r="D984" s="163" t="s">
        <v>167</v>
      </c>
      <c r="E984" s="138" t="s">
        <v>729</v>
      </c>
      <c r="F984" s="139"/>
      <c r="G984" s="30">
        <f>SUM(G985)</f>
        <v>0</v>
      </c>
      <c r="H984" s="30">
        <f>SUM(H985)</f>
        <v>0</v>
      </c>
      <c r="I984" s="20" t="e">
        <f t="shared" si="46"/>
        <v>#DIV/0!</v>
      </c>
      <c r="J984" s="229"/>
      <c r="K984" s="229"/>
    </row>
    <row r="985" spans="1:11" s="25" customFormat="1" ht="15" hidden="1" customHeight="1">
      <c r="A985" s="95" t="s">
        <v>592</v>
      </c>
      <c r="B985" s="142"/>
      <c r="C985" s="163" t="s">
        <v>940</v>
      </c>
      <c r="D985" s="163" t="s">
        <v>167</v>
      </c>
      <c r="E985" s="138" t="s">
        <v>729</v>
      </c>
      <c r="F985" s="140" t="s">
        <v>593</v>
      </c>
      <c r="G985" s="30"/>
      <c r="H985" s="30"/>
      <c r="I985" s="20" t="e">
        <f t="shared" si="46"/>
        <v>#DIV/0!</v>
      </c>
      <c r="J985" s="229">
        <f>SUM(ведомствен.2013!G878)</f>
        <v>0</v>
      </c>
      <c r="K985" s="229"/>
    </row>
    <row r="986" spans="1:11" s="25" customFormat="1" ht="14.25" customHeight="1">
      <c r="A986" s="115" t="s">
        <v>254</v>
      </c>
      <c r="B986" s="138"/>
      <c r="C986" s="138" t="s">
        <v>940</v>
      </c>
      <c r="D986" s="142" t="s">
        <v>167</v>
      </c>
      <c r="E986" s="138" t="s">
        <v>255</v>
      </c>
      <c r="F986" s="164"/>
      <c r="G986" s="204">
        <f>SUM(G987)</f>
        <v>1699.8</v>
      </c>
      <c r="H986" s="204">
        <f>SUM(H987)</f>
        <v>1571.2</v>
      </c>
      <c r="I986" s="20">
        <f t="shared" si="46"/>
        <v>92.434404047535011</v>
      </c>
      <c r="J986" s="229"/>
      <c r="K986" s="229"/>
    </row>
    <row r="987" spans="1:11" ht="22.5" customHeight="1">
      <c r="A987" s="119" t="s">
        <v>251</v>
      </c>
      <c r="B987" s="138"/>
      <c r="C987" s="138" t="s">
        <v>940</v>
      </c>
      <c r="D987" s="142" t="s">
        <v>167</v>
      </c>
      <c r="E987" s="138" t="s">
        <v>252</v>
      </c>
      <c r="F987" s="139"/>
      <c r="G987" s="204">
        <f>SUM(G990)+G988</f>
        <v>1699.8</v>
      </c>
      <c r="H987" s="204">
        <f>SUM(H990)+H988</f>
        <v>1571.2</v>
      </c>
      <c r="I987" s="20">
        <f t="shared" si="46"/>
        <v>92.434404047535011</v>
      </c>
      <c r="K987" s="229"/>
    </row>
    <row r="988" spans="1:11" ht="28.5" hidden="1" customHeight="1">
      <c r="A988" s="119" t="s">
        <v>414</v>
      </c>
      <c r="B988" s="138"/>
      <c r="C988" s="138" t="s">
        <v>940</v>
      </c>
      <c r="D988" s="142" t="s">
        <v>167</v>
      </c>
      <c r="E988" s="138" t="s">
        <v>402</v>
      </c>
      <c r="F988" s="139"/>
      <c r="G988" s="204">
        <f>SUM(G989)</f>
        <v>0</v>
      </c>
      <c r="H988" s="204">
        <f>SUM(H989)</f>
        <v>0</v>
      </c>
      <c r="I988" s="20" t="e">
        <f t="shared" si="46"/>
        <v>#DIV/0!</v>
      </c>
      <c r="K988" s="229"/>
    </row>
    <row r="989" spans="1:11" ht="15" hidden="1" customHeight="1">
      <c r="A989" s="95" t="s">
        <v>592</v>
      </c>
      <c r="B989" s="138"/>
      <c r="C989" s="138" t="s">
        <v>940</v>
      </c>
      <c r="D989" s="142" t="s">
        <v>167</v>
      </c>
      <c r="E989" s="138" t="s">
        <v>402</v>
      </c>
      <c r="F989" s="139" t="s">
        <v>593</v>
      </c>
      <c r="G989" s="204"/>
      <c r="H989" s="204"/>
      <c r="I989" s="20" t="e">
        <f t="shared" si="46"/>
        <v>#DIV/0!</v>
      </c>
      <c r="J989" s="225">
        <f>SUM(ведомствен.2013!G1101)</f>
        <v>0</v>
      </c>
      <c r="K989" s="229"/>
    </row>
    <row r="990" spans="1:11" ht="18.75" customHeight="1">
      <c r="A990" s="119" t="s">
        <v>359</v>
      </c>
      <c r="B990" s="138"/>
      <c r="C990" s="142" t="s">
        <v>940</v>
      </c>
      <c r="D990" s="142" t="s">
        <v>167</v>
      </c>
      <c r="E990" s="138" t="s">
        <v>253</v>
      </c>
      <c r="F990" s="140"/>
      <c r="G990" s="204">
        <f>SUM(G991:G992)</f>
        <v>1699.8</v>
      </c>
      <c r="H990" s="204">
        <f>SUM(H991:H992)</f>
        <v>1571.2</v>
      </c>
      <c r="I990" s="20">
        <f t="shared" si="46"/>
        <v>92.434404047535011</v>
      </c>
      <c r="K990" s="229"/>
    </row>
    <row r="991" spans="1:11" ht="18" customHeight="1">
      <c r="A991" s="220" t="s">
        <v>979</v>
      </c>
      <c r="B991" s="221"/>
      <c r="C991" s="222" t="s">
        <v>940</v>
      </c>
      <c r="D991" s="222" t="s">
        <v>167</v>
      </c>
      <c r="E991" s="223" t="s">
        <v>253</v>
      </c>
      <c r="F991" s="224" t="s">
        <v>980</v>
      </c>
      <c r="G991" s="27">
        <v>1699.8</v>
      </c>
      <c r="H991" s="27">
        <v>1571.2</v>
      </c>
      <c r="I991" s="20">
        <f t="shared" si="46"/>
        <v>92.434404047535011</v>
      </c>
      <c r="J991" s="225">
        <f>SUM(ведомствен.2013!G660)</f>
        <v>1699.8000000000002</v>
      </c>
      <c r="K991" s="229">
        <f>SUM(G991-J991)</f>
        <v>-2.2737367544323206E-13</v>
      </c>
    </row>
    <row r="992" spans="1:11" ht="15" hidden="1" customHeight="1">
      <c r="A992" s="119" t="s">
        <v>503</v>
      </c>
      <c r="B992" s="138"/>
      <c r="C992" s="142" t="s">
        <v>940</v>
      </c>
      <c r="D992" s="142" t="s">
        <v>167</v>
      </c>
      <c r="E992" s="138" t="s">
        <v>253</v>
      </c>
      <c r="F992" s="140" t="s">
        <v>505</v>
      </c>
      <c r="G992" s="204"/>
      <c r="H992" s="204"/>
      <c r="I992" s="20" t="e">
        <f t="shared" si="46"/>
        <v>#DIV/0!</v>
      </c>
      <c r="J992" s="225">
        <f>SUM(ведомствен.2013!G661)</f>
        <v>0</v>
      </c>
      <c r="K992" s="229">
        <f>SUM(G992-J992)</f>
        <v>0</v>
      </c>
    </row>
    <row r="993" spans="1:11" ht="18" customHeight="1">
      <c r="A993" s="95" t="s">
        <v>965</v>
      </c>
      <c r="B993" s="138"/>
      <c r="C993" s="138" t="s">
        <v>940</v>
      </c>
      <c r="D993" s="138" t="s">
        <v>167</v>
      </c>
      <c r="E993" s="138" t="s">
        <v>966</v>
      </c>
      <c r="F993" s="139"/>
      <c r="G993" s="30">
        <f>SUM(G994+G996+G998+G1011+G1013+G1033+G1039+G1044+G1047+G1049+G1073)+G1095+G1017+G1019+G1026+G1029+G1037+G1042+G1008+G1024+G1021+G1031+G1003+G1006+G1000+G1015</f>
        <v>648519.39999999991</v>
      </c>
      <c r="H993" s="30">
        <f>SUM(H994+H996+H998+H1011+H1013+H1033+H1039+H1044+H1047+H1049+H1073)+H1095+H1017+H1019+H1026+H1029+H1037+H1042+H1008+H1024+H1021+H1031+H1003+H1006+H1000+H1015</f>
        <v>604225.60000000009</v>
      </c>
      <c r="I993" s="20">
        <f t="shared" si="46"/>
        <v>93.170011567888352</v>
      </c>
      <c r="K993" s="229"/>
    </row>
    <row r="994" spans="1:11" ht="42.75" hidden="1" customHeight="1">
      <c r="A994" s="128" t="s">
        <v>967</v>
      </c>
      <c r="B994" s="138"/>
      <c r="C994" s="138" t="s">
        <v>940</v>
      </c>
      <c r="D994" s="138" t="s">
        <v>167</v>
      </c>
      <c r="E994" s="138" t="s">
        <v>968</v>
      </c>
      <c r="F994" s="139"/>
      <c r="G994" s="30">
        <f>SUM(G995:G995)</f>
        <v>0</v>
      </c>
      <c r="H994" s="30">
        <f>SUM(H995:H995)</f>
        <v>0</v>
      </c>
      <c r="I994" s="20" t="e">
        <f t="shared" si="46"/>
        <v>#DIV/0!</v>
      </c>
      <c r="K994" s="229"/>
    </row>
    <row r="995" spans="1:11" ht="15" hidden="1" customHeight="1">
      <c r="A995" s="95" t="s">
        <v>592</v>
      </c>
      <c r="B995" s="138"/>
      <c r="C995" s="138" t="s">
        <v>940</v>
      </c>
      <c r="D995" s="138" t="s">
        <v>167</v>
      </c>
      <c r="E995" s="138" t="s">
        <v>968</v>
      </c>
      <c r="F995" s="139" t="s">
        <v>593</v>
      </c>
      <c r="G995" s="30"/>
      <c r="H995" s="30"/>
      <c r="I995" s="20" t="e">
        <f t="shared" si="46"/>
        <v>#DIV/0!</v>
      </c>
      <c r="K995" s="229"/>
    </row>
    <row r="996" spans="1:11" s="25" customFormat="1" ht="42.75" hidden="1" customHeight="1">
      <c r="A996" s="95" t="s">
        <v>969</v>
      </c>
      <c r="B996" s="138"/>
      <c r="C996" s="138" t="s">
        <v>940</v>
      </c>
      <c r="D996" s="138" t="s">
        <v>167</v>
      </c>
      <c r="E996" s="138" t="s">
        <v>970</v>
      </c>
      <c r="F996" s="139"/>
      <c r="G996" s="30">
        <f>SUM(G997:G997)</f>
        <v>0</v>
      </c>
      <c r="H996" s="30">
        <f>SUM(H997:H997)</f>
        <v>0</v>
      </c>
      <c r="I996" s="20" t="e">
        <f t="shared" si="46"/>
        <v>#DIV/0!</v>
      </c>
      <c r="J996" s="229"/>
      <c r="K996" s="229"/>
    </row>
    <row r="997" spans="1:11" s="25" customFormat="1" ht="15" hidden="1" customHeight="1">
      <c r="A997" s="95" t="s">
        <v>592</v>
      </c>
      <c r="B997" s="138"/>
      <c r="C997" s="138" t="s">
        <v>940</v>
      </c>
      <c r="D997" s="138" t="s">
        <v>167</v>
      </c>
      <c r="E997" s="138" t="s">
        <v>970</v>
      </c>
      <c r="F997" s="139" t="s">
        <v>593</v>
      </c>
      <c r="G997" s="30"/>
      <c r="H997" s="30"/>
      <c r="I997" s="20" t="e">
        <f t="shared" si="46"/>
        <v>#DIV/0!</v>
      </c>
      <c r="J997" s="229"/>
      <c r="K997" s="229"/>
    </row>
    <row r="998" spans="1:11" s="25" customFormat="1" ht="42.75" hidden="1" customHeight="1">
      <c r="A998" s="95" t="s">
        <v>971</v>
      </c>
      <c r="B998" s="138"/>
      <c r="C998" s="142" t="s">
        <v>940</v>
      </c>
      <c r="D998" s="138" t="s">
        <v>167</v>
      </c>
      <c r="E998" s="138" t="s">
        <v>972</v>
      </c>
      <c r="F998" s="139"/>
      <c r="G998" s="30">
        <f>SUM(G999)</f>
        <v>0</v>
      </c>
      <c r="H998" s="30">
        <f>SUM(H999)</f>
        <v>0</v>
      </c>
      <c r="I998" s="20" t="e">
        <f t="shared" si="46"/>
        <v>#DIV/0!</v>
      </c>
      <c r="J998" s="229"/>
      <c r="K998" s="229"/>
    </row>
    <row r="999" spans="1:11" s="25" customFormat="1" ht="15" hidden="1" customHeight="1">
      <c r="A999" s="95" t="s">
        <v>592</v>
      </c>
      <c r="B999" s="138"/>
      <c r="C999" s="142" t="s">
        <v>940</v>
      </c>
      <c r="D999" s="138" t="s">
        <v>167</v>
      </c>
      <c r="E999" s="138" t="s">
        <v>972</v>
      </c>
      <c r="F999" s="139" t="s">
        <v>593</v>
      </c>
      <c r="G999" s="30"/>
      <c r="H999" s="30"/>
      <c r="I999" s="20" t="e">
        <f t="shared" si="46"/>
        <v>#DIV/0!</v>
      </c>
      <c r="J999" s="229"/>
      <c r="K999" s="229"/>
    </row>
    <row r="1000" spans="1:11" s="25" customFormat="1" ht="42.75" hidden="1" customHeight="1">
      <c r="A1000" s="97" t="s">
        <v>973</v>
      </c>
      <c r="B1000" s="138"/>
      <c r="C1000" s="138" t="s">
        <v>940</v>
      </c>
      <c r="D1000" s="142" t="s">
        <v>167</v>
      </c>
      <c r="E1000" s="138" t="s">
        <v>974</v>
      </c>
      <c r="F1000" s="139"/>
      <c r="G1000" s="30">
        <f>SUM(G1001)</f>
        <v>0</v>
      </c>
      <c r="H1000" s="30">
        <f>SUM(H1001)</f>
        <v>0</v>
      </c>
      <c r="I1000" s="20" t="e">
        <f t="shared" si="46"/>
        <v>#DIV/0!</v>
      </c>
      <c r="J1000" s="229"/>
      <c r="K1000" s="229"/>
    </row>
    <row r="1001" spans="1:11" s="25" customFormat="1" ht="15" hidden="1" customHeight="1">
      <c r="A1001" s="95" t="s">
        <v>592</v>
      </c>
      <c r="B1001" s="138"/>
      <c r="C1001" s="142" t="s">
        <v>940</v>
      </c>
      <c r="D1001" s="138" t="s">
        <v>167</v>
      </c>
      <c r="E1001" s="138" t="s">
        <v>974</v>
      </c>
      <c r="F1001" s="139" t="s">
        <v>593</v>
      </c>
      <c r="G1001" s="30"/>
      <c r="H1001" s="30"/>
      <c r="I1001" s="20" t="e">
        <f t="shared" si="46"/>
        <v>#DIV/0!</v>
      </c>
      <c r="J1001" s="229"/>
      <c r="K1001" s="229"/>
    </row>
    <row r="1002" spans="1:11" s="25" customFormat="1" ht="42.75" hidden="1" customHeight="1">
      <c r="A1002" s="97" t="s">
        <v>973</v>
      </c>
      <c r="B1002" s="138"/>
      <c r="C1002" s="138" t="s">
        <v>940</v>
      </c>
      <c r="D1002" s="142" t="s">
        <v>167</v>
      </c>
      <c r="E1002" s="138" t="s">
        <v>974</v>
      </c>
      <c r="F1002" s="139"/>
      <c r="G1002" s="30"/>
      <c r="H1002" s="30"/>
      <c r="I1002" s="20" t="e">
        <f t="shared" si="46"/>
        <v>#DIV/0!</v>
      </c>
      <c r="J1002" s="229"/>
      <c r="K1002" s="229"/>
    </row>
    <row r="1003" spans="1:11" s="25" customFormat="1" ht="99.75" hidden="1" customHeight="1">
      <c r="A1003" s="95" t="s">
        <v>975</v>
      </c>
      <c r="B1003" s="138"/>
      <c r="C1003" s="142" t="s">
        <v>940</v>
      </c>
      <c r="D1003" s="138" t="s">
        <v>167</v>
      </c>
      <c r="E1003" s="138" t="s">
        <v>976</v>
      </c>
      <c r="F1003" s="139"/>
      <c r="G1003" s="30">
        <f>SUM(G1004:G1005)</f>
        <v>0</v>
      </c>
      <c r="H1003" s="30">
        <f>SUM(H1004:H1005)</f>
        <v>0</v>
      </c>
      <c r="I1003" s="20" t="e">
        <f t="shared" si="46"/>
        <v>#DIV/0!</v>
      </c>
      <c r="J1003" s="229"/>
      <c r="K1003" s="229"/>
    </row>
    <row r="1004" spans="1:11" s="25" customFormat="1" ht="15" hidden="1" customHeight="1">
      <c r="A1004" s="95" t="s">
        <v>592</v>
      </c>
      <c r="B1004" s="138"/>
      <c r="C1004" s="142" t="s">
        <v>940</v>
      </c>
      <c r="D1004" s="138" t="s">
        <v>167</v>
      </c>
      <c r="E1004" s="138" t="s">
        <v>976</v>
      </c>
      <c r="F1004" s="139" t="s">
        <v>593</v>
      </c>
      <c r="G1004" s="30"/>
      <c r="H1004" s="30"/>
      <c r="I1004" s="20" t="e">
        <f t="shared" si="46"/>
        <v>#DIV/0!</v>
      </c>
      <c r="J1004" s="229">
        <f>SUM(ведомствен.2013!G887)</f>
        <v>0</v>
      </c>
      <c r="K1004" s="229"/>
    </row>
    <row r="1005" spans="1:11" s="25" customFormat="1" ht="15" hidden="1" customHeight="1">
      <c r="A1005" s="115" t="s">
        <v>164</v>
      </c>
      <c r="B1005" s="138"/>
      <c r="C1005" s="142" t="s">
        <v>940</v>
      </c>
      <c r="D1005" s="138" t="s">
        <v>167</v>
      </c>
      <c r="E1005" s="138" t="s">
        <v>976</v>
      </c>
      <c r="F1005" s="139" t="s">
        <v>165</v>
      </c>
      <c r="G1005" s="30"/>
      <c r="H1005" s="30"/>
      <c r="I1005" s="20" t="e">
        <f t="shared" si="46"/>
        <v>#DIV/0!</v>
      </c>
      <c r="J1005" s="229">
        <f>SUM(ведомствен.2013!G888)</f>
        <v>0</v>
      </c>
      <c r="K1005" s="229"/>
    </row>
    <row r="1006" spans="1:11" s="25" customFormat="1" ht="57" hidden="1" customHeight="1">
      <c r="A1006" s="95" t="s">
        <v>62</v>
      </c>
      <c r="B1006" s="138"/>
      <c r="C1006" s="142" t="s">
        <v>940</v>
      </c>
      <c r="D1006" s="138" t="s">
        <v>167</v>
      </c>
      <c r="E1006" s="138" t="s">
        <v>63</v>
      </c>
      <c r="F1006" s="139"/>
      <c r="G1006" s="30">
        <f>SUM(G1007)</f>
        <v>0</v>
      </c>
      <c r="H1006" s="30">
        <f>SUM(H1007)</f>
        <v>0</v>
      </c>
      <c r="I1006" s="20" t="e">
        <f t="shared" si="46"/>
        <v>#DIV/0!</v>
      </c>
      <c r="J1006" s="229"/>
      <c r="K1006" s="229"/>
    </row>
    <row r="1007" spans="1:11" s="25" customFormat="1" ht="15" hidden="1" customHeight="1">
      <c r="A1007" s="95" t="s">
        <v>592</v>
      </c>
      <c r="B1007" s="138"/>
      <c r="C1007" s="142" t="s">
        <v>940</v>
      </c>
      <c r="D1007" s="138" t="s">
        <v>167</v>
      </c>
      <c r="E1007" s="138" t="s">
        <v>63</v>
      </c>
      <c r="F1007" s="139" t="s">
        <v>593</v>
      </c>
      <c r="G1007" s="30"/>
      <c r="H1007" s="30"/>
      <c r="I1007" s="20" t="e">
        <f t="shared" si="46"/>
        <v>#DIV/0!</v>
      </c>
      <c r="J1007" s="229">
        <f>SUM(ведомствен.2013!G890)</f>
        <v>0</v>
      </c>
      <c r="K1007" s="229"/>
    </row>
    <row r="1008" spans="1:11" s="25" customFormat="1" ht="42.75" hidden="1" customHeight="1">
      <c r="A1008" s="95" t="s">
        <v>844</v>
      </c>
      <c r="B1008" s="138"/>
      <c r="C1008" s="142" t="s">
        <v>940</v>
      </c>
      <c r="D1008" s="138" t="s">
        <v>167</v>
      </c>
      <c r="E1008" s="138" t="s">
        <v>845</v>
      </c>
      <c r="F1008" s="139"/>
      <c r="G1008" s="30">
        <f>SUM(G1009)</f>
        <v>0</v>
      </c>
      <c r="H1008" s="30">
        <f>SUM(H1009)</f>
        <v>0</v>
      </c>
      <c r="I1008" s="20" t="e">
        <f t="shared" si="46"/>
        <v>#DIV/0!</v>
      </c>
      <c r="J1008" s="229"/>
      <c r="K1008" s="229"/>
    </row>
    <row r="1009" spans="1:11" s="25" customFormat="1" ht="15" hidden="1" customHeight="1">
      <c r="A1009" s="95" t="s">
        <v>592</v>
      </c>
      <c r="B1009" s="138"/>
      <c r="C1009" s="142" t="s">
        <v>940</v>
      </c>
      <c r="D1009" s="138" t="s">
        <v>167</v>
      </c>
      <c r="E1009" s="138" t="s">
        <v>845</v>
      </c>
      <c r="F1009" s="139" t="s">
        <v>593</v>
      </c>
      <c r="G1009" s="30"/>
      <c r="H1009" s="30"/>
      <c r="I1009" s="20" t="e">
        <f t="shared" si="46"/>
        <v>#DIV/0!</v>
      </c>
      <c r="J1009" s="229">
        <f>SUM(ведомствен.2013!G892)</f>
        <v>0</v>
      </c>
      <c r="K1009" s="229"/>
    </row>
    <row r="1010" spans="1:11" s="25" customFormat="1" ht="15" hidden="1" customHeight="1">
      <c r="A1010" s="95" t="s">
        <v>592</v>
      </c>
      <c r="B1010" s="143"/>
      <c r="C1010" s="142" t="s">
        <v>940</v>
      </c>
      <c r="D1010" s="142" t="s">
        <v>167</v>
      </c>
      <c r="E1010" s="138" t="s">
        <v>123</v>
      </c>
      <c r="F1010" s="144" t="s">
        <v>593</v>
      </c>
      <c r="G1010" s="204"/>
      <c r="H1010" s="204"/>
      <c r="I1010" s="20" t="e">
        <f t="shared" si="46"/>
        <v>#DIV/0!</v>
      </c>
      <c r="J1010" s="229">
        <f>SUM(ведомствен.2013!G1107)</f>
        <v>0</v>
      </c>
      <c r="K1010" s="229"/>
    </row>
    <row r="1011" spans="1:11" s="25" customFormat="1" ht="57" hidden="1">
      <c r="A1011" s="119" t="s">
        <v>362</v>
      </c>
      <c r="B1011" s="138"/>
      <c r="C1011" s="142" t="s">
        <v>940</v>
      </c>
      <c r="D1011" s="138" t="s">
        <v>167</v>
      </c>
      <c r="E1011" s="138" t="s">
        <v>363</v>
      </c>
      <c r="F1011" s="139"/>
      <c r="G1011" s="30">
        <f>SUM(G1012)</f>
        <v>0</v>
      </c>
      <c r="H1011" s="30">
        <f>SUM(H1012)</f>
        <v>0</v>
      </c>
      <c r="I1011" s="20" t="e">
        <f t="shared" si="46"/>
        <v>#DIV/0!</v>
      </c>
      <c r="J1011" s="229"/>
      <c r="K1011" s="229"/>
    </row>
    <row r="1012" spans="1:11" s="25" customFormat="1" ht="15" hidden="1">
      <c r="A1012" s="95" t="s">
        <v>592</v>
      </c>
      <c r="B1012" s="138"/>
      <c r="C1012" s="142" t="s">
        <v>940</v>
      </c>
      <c r="D1012" s="138" t="s">
        <v>167</v>
      </c>
      <c r="E1012" s="138" t="s">
        <v>363</v>
      </c>
      <c r="F1012" s="139" t="s">
        <v>593</v>
      </c>
      <c r="G1012" s="30"/>
      <c r="H1012" s="30"/>
      <c r="I1012" s="20" t="e">
        <f t="shared" si="46"/>
        <v>#DIV/0!</v>
      </c>
      <c r="J1012" s="229">
        <f>SUM(ведомствен.2013!G894)</f>
        <v>0</v>
      </c>
      <c r="K1012" s="229"/>
    </row>
    <row r="1013" spans="1:11" s="25" customFormat="1" ht="33" customHeight="1">
      <c r="A1013" s="114" t="s">
        <v>364</v>
      </c>
      <c r="B1013" s="138"/>
      <c r="C1013" s="142" t="s">
        <v>940</v>
      </c>
      <c r="D1013" s="138" t="s">
        <v>167</v>
      </c>
      <c r="E1013" s="138" t="s">
        <v>365</v>
      </c>
      <c r="F1013" s="139"/>
      <c r="G1013" s="30">
        <f>SUM(G1014)</f>
        <v>4823</v>
      </c>
      <c r="H1013" s="30">
        <f>SUM(H1014)</f>
        <v>4822.8999999999996</v>
      </c>
      <c r="I1013" s="20">
        <f t="shared" si="46"/>
        <v>99.997926601700186</v>
      </c>
      <c r="J1013" s="229"/>
      <c r="K1013" s="229"/>
    </row>
    <row r="1014" spans="1:11" s="25" customFormat="1" ht="15">
      <c r="A1014" s="95" t="s">
        <v>592</v>
      </c>
      <c r="B1014" s="138"/>
      <c r="C1014" s="142" t="s">
        <v>940</v>
      </c>
      <c r="D1014" s="138" t="s">
        <v>167</v>
      </c>
      <c r="E1014" s="138" t="s">
        <v>365</v>
      </c>
      <c r="F1014" s="139" t="s">
        <v>593</v>
      </c>
      <c r="G1014" s="30">
        <v>4823</v>
      </c>
      <c r="H1014" s="30">
        <v>4822.8999999999996</v>
      </c>
      <c r="I1014" s="20">
        <f t="shared" si="46"/>
        <v>99.997926601700186</v>
      </c>
      <c r="J1014" s="229">
        <f>SUM(ведомствен.2013!G896)</f>
        <v>4823</v>
      </c>
      <c r="K1014" s="229">
        <f t="shared" ref="K1014:K1032" si="48">SUM(G1014-J1014)</f>
        <v>0</v>
      </c>
    </row>
    <row r="1015" spans="1:11" s="25" customFormat="1" ht="28.5" hidden="1">
      <c r="A1015" s="95" t="s">
        <v>846</v>
      </c>
      <c r="B1015" s="138"/>
      <c r="C1015" s="142" t="s">
        <v>940</v>
      </c>
      <c r="D1015" s="138" t="s">
        <v>167</v>
      </c>
      <c r="E1015" s="138" t="s">
        <v>847</v>
      </c>
      <c r="F1015" s="139"/>
      <c r="G1015" s="30">
        <f>SUM(G1016)</f>
        <v>0</v>
      </c>
      <c r="H1015" s="30">
        <f>SUM(H1016)</f>
        <v>0</v>
      </c>
      <c r="I1015" s="20" t="e">
        <f t="shared" si="46"/>
        <v>#DIV/0!</v>
      </c>
      <c r="J1015" s="229"/>
      <c r="K1015" s="229">
        <f t="shared" si="48"/>
        <v>0</v>
      </c>
    </row>
    <row r="1016" spans="1:11" s="25" customFormat="1" ht="15" hidden="1">
      <c r="A1016" s="95" t="s">
        <v>592</v>
      </c>
      <c r="B1016" s="138"/>
      <c r="C1016" s="142" t="s">
        <v>940</v>
      </c>
      <c r="D1016" s="138" t="s">
        <v>167</v>
      </c>
      <c r="E1016" s="138" t="s">
        <v>847</v>
      </c>
      <c r="F1016" s="139" t="s">
        <v>593</v>
      </c>
      <c r="G1016" s="30"/>
      <c r="H1016" s="30"/>
      <c r="I1016" s="20" t="e">
        <f t="shared" si="46"/>
        <v>#DIV/0!</v>
      </c>
      <c r="J1016" s="229">
        <f>SUM(ведомствен.2013!G898)</f>
        <v>0</v>
      </c>
      <c r="K1016" s="229">
        <f t="shared" si="48"/>
        <v>0</v>
      </c>
    </row>
    <row r="1017" spans="1:11" s="25" customFormat="1" ht="57" hidden="1" customHeight="1">
      <c r="A1017" s="95" t="s">
        <v>1019</v>
      </c>
      <c r="B1017" s="138"/>
      <c r="C1017" s="142" t="s">
        <v>940</v>
      </c>
      <c r="D1017" s="138" t="s">
        <v>167</v>
      </c>
      <c r="E1017" s="138" t="s">
        <v>366</v>
      </c>
      <c r="F1017" s="139"/>
      <c r="G1017" s="30">
        <f>SUM(G1018)</f>
        <v>0</v>
      </c>
      <c r="H1017" s="30">
        <f>SUM(H1018)</f>
        <v>0</v>
      </c>
      <c r="I1017" s="20" t="e">
        <f t="shared" si="46"/>
        <v>#DIV/0!</v>
      </c>
      <c r="J1017" s="229"/>
      <c r="K1017" s="229">
        <f t="shared" si="48"/>
        <v>0</v>
      </c>
    </row>
    <row r="1018" spans="1:11" s="25" customFormat="1" ht="15" hidden="1" customHeight="1">
      <c r="A1018" s="95" t="s">
        <v>592</v>
      </c>
      <c r="B1018" s="138"/>
      <c r="C1018" s="142" t="s">
        <v>940</v>
      </c>
      <c r="D1018" s="138" t="s">
        <v>167</v>
      </c>
      <c r="E1018" s="138" t="s">
        <v>366</v>
      </c>
      <c r="F1018" s="139" t="s">
        <v>593</v>
      </c>
      <c r="G1018" s="30"/>
      <c r="H1018" s="30"/>
      <c r="I1018" s="20" t="e">
        <f t="shared" si="46"/>
        <v>#DIV/0!</v>
      </c>
      <c r="J1018" s="229">
        <f>SUM(ведомствен.2013!G899)</f>
        <v>0</v>
      </c>
      <c r="K1018" s="229">
        <f t="shared" si="48"/>
        <v>0</v>
      </c>
    </row>
    <row r="1019" spans="1:11" s="25" customFormat="1" ht="57" hidden="1" customHeight="1">
      <c r="A1019" s="95" t="s">
        <v>520</v>
      </c>
      <c r="B1019" s="138"/>
      <c r="C1019" s="142" t="s">
        <v>940</v>
      </c>
      <c r="D1019" s="138" t="s">
        <v>167</v>
      </c>
      <c r="E1019" s="138" t="s">
        <v>367</v>
      </c>
      <c r="F1019" s="139"/>
      <c r="G1019" s="30">
        <f>SUM(G1020)</f>
        <v>0</v>
      </c>
      <c r="H1019" s="30">
        <f>SUM(H1020)</f>
        <v>0</v>
      </c>
      <c r="I1019" s="20" t="e">
        <f t="shared" ref="I1019:I1082" si="49">SUM(H1019/G1019*100)</f>
        <v>#DIV/0!</v>
      </c>
      <c r="J1019" s="229"/>
      <c r="K1019" s="229">
        <f t="shared" si="48"/>
        <v>0</v>
      </c>
    </row>
    <row r="1020" spans="1:11" s="25" customFormat="1" ht="15" hidden="1" customHeight="1">
      <c r="A1020" s="95" t="s">
        <v>592</v>
      </c>
      <c r="B1020" s="138"/>
      <c r="C1020" s="142" t="s">
        <v>940</v>
      </c>
      <c r="D1020" s="138" t="s">
        <v>167</v>
      </c>
      <c r="E1020" s="138" t="s">
        <v>367</v>
      </c>
      <c r="F1020" s="139" t="s">
        <v>593</v>
      </c>
      <c r="G1020" s="30"/>
      <c r="H1020" s="30"/>
      <c r="I1020" s="20" t="e">
        <f t="shared" si="49"/>
        <v>#DIV/0!</v>
      </c>
      <c r="J1020" s="229">
        <f>SUM(ведомствен.2013!G901)</f>
        <v>0</v>
      </c>
      <c r="K1020" s="229">
        <f t="shared" si="48"/>
        <v>0</v>
      </c>
    </row>
    <row r="1021" spans="1:11" s="33" customFormat="1" ht="71.25" hidden="1" customHeight="1">
      <c r="A1021" s="95" t="s">
        <v>418</v>
      </c>
      <c r="B1021" s="138"/>
      <c r="C1021" s="142" t="s">
        <v>940</v>
      </c>
      <c r="D1021" s="138" t="s">
        <v>167</v>
      </c>
      <c r="E1021" s="138" t="s">
        <v>419</v>
      </c>
      <c r="F1021" s="139"/>
      <c r="G1021" s="30">
        <f>SUM(G1022:G1023)</f>
        <v>0</v>
      </c>
      <c r="H1021" s="30">
        <f>SUM(H1022:H1023)</f>
        <v>0</v>
      </c>
      <c r="I1021" s="20" t="e">
        <f t="shared" si="49"/>
        <v>#DIV/0!</v>
      </c>
      <c r="J1021" s="237"/>
      <c r="K1021" s="229">
        <f t="shared" si="48"/>
        <v>0</v>
      </c>
    </row>
    <row r="1022" spans="1:11" s="33" customFormat="1" ht="15" hidden="1" customHeight="1">
      <c r="A1022" s="95" t="s">
        <v>592</v>
      </c>
      <c r="B1022" s="138"/>
      <c r="C1022" s="142" t="s">
        <v>940</v>
      </c>
      <c r="D1022" s="138" t="s">
        <v>167</v>
      </c>
      <c r="E1022" s="138" t="s">
        <v>419</v>
      </c>
      <c r="F1022" s="139" t="s">
        <v>593</v>
      </c>
      <c r="G1022" s="30"/>
      <c r="H1022" s="30"/>
      <c r="I1022" s="20" t="e">
        <f t="shared" si="49"/>
        <v>#DIV/0!</v>
      </c>
      <c r="J1022" s="229">
        <f>SUM(ведомствен.2013!G904)</f>
        <v>0</v>
      </c>
      <c r="K1022" s="229">
        <f t="shared" si="48"/>
        <v>0</v>
      </c>
    </row>
    <row r="1023" spans="1:11" s="33" customFormat="1" ht="15" hidden="1" customHeight="1">
      <c r="A1023" s="115" t="s">
        <v>164</v>
      </c>
      <c r="B1023" s="138"/>
      <c r="C1023" s="142" t="s">
        <v>940</v>
      </c>
      <c r="D1023" s="138" t="s">
        <v>167</v>
      </c>
      <c r="E1023" s="138" t="s">
        <v>419</v>
      </c>
      <c r="F1023" s="139" t="s">
        <v>165</v>
      </c>
      <c r="G1023" s="30"/>
      <c r="H1023" s="30"/>
      <c r="I1023" s="20" t="e">
        <f t="shared" si="49"/>
        <v>#DIV/0!</v>
      </c>
      <c r="J1023" s="229">
        <f>SUM(ведомствен.2013!G905)</f>
        <v>0</v>
      </c>
      <c r="K1023" s="229">
        <f t="shared" si="48"/>
        <v>0</v>
      </c>
    </row>
    <row r="1024" spans="1:11" s="25" customFormat="1" ht="28.5" hidden="1" customHeight="1">
      <c r="A1024" s="95" t="s">
        <v>420</v>
      </c>
      <c r="B1024" s="138"/>
      <c r="C1024" s="142" t="s">
        <v>940</v>
      </c>
      <c r="D1024" s="138" t="s">
        <v>167</v>
      </c>
      <c r="E1024" s="138" t="s">
        <v>421</v>
      </c>
      <c r="F1024" s="139"/>
      <c r="G1024" s="30">
        <f>SUM(G1025)</f>
        <v>0</v>
      </c>
      <c r="H1024" s="30">
        <f>SUM(H1025)</f>
        <v>0</v>
      </c>
      <c r="I1024" s="20" t="e">
        <f t="shared" si="49"/>
        <v>#DIV/0!</v>
      </c>
      <c r="J1024" s="229"/>
      <c r="K1024" s="229">
        <f t="shared" si="48"/>
        <v>0</v>
      </c>
    </row>
    <row r="1025" spans="1:11" s="25" customFormat="1" ht="15" hidden="1" customHeight="1">
      <c r="A1025" s="95" t="s">
        <v>592</v>
      </c>
      <c r="B1025" s="138"/>
      <c r="C1025" s="142" t="s">
        <v>940</v>
      </c>
      <c r="D1025" s="138" t="s">
        <v>167</v>
      </c>
      <c r="E1025" s="138" t="s">
        <v>421</v>
      </c>
      <c r="F1025" s="139" t="s">
        <v>593</v>
      </c>
      <c r="G1025" s="30"/>
      <c r="H1025" s="30"/>
      <c r="I1025" s="20" t="e">
        <f t="shared" si="49"/>
        <v>#DIV/0!</v>
      </c>
      <c r="J1025" s="229">
        <f>SUM(ведомствен.2013!G906)</f>
        <v>0</v>
      </c>
      <c r="K1025" s="229">
        <f t="shared" si="48"/>
        <v>0</v>
      </c>
    </row>
    <row r="1026" spans="1:11" s="25" customFormat="1" ht="42.75" hidden="1" customHeight="1">
      <c r="A1026" s="95" t="s">
        <v>422</v>
      </c>
      <c r="B1026" s="138"/>
      <c r="C1026" s="142" t="s">
        <v>940</v>
      </c>
      <c r="D1026" s="138" t="s">
        <v>167</v>
      </c>
      <c r="E1026" s="138" t="s">
        <v>423</v>
      </c>
      <c r="F1026" s="139"/>
      <c r="G1026" s="30">
        <f>SUM(G1027:G1028)</f>
        <v>0</v>
      </c>
      <c r="H1026" s="30">
        <f>SUM(H1027:H1028)</f>
        <v>0</v>
      </c>
      <c r="I1026" s="20" t="e">
        <f t="shared" si="49"/>
        <v>#DIV/0!</v>
      </c>
      <c r="J1026" s="229"/>
      <c r="K1026" s="229">
        <f t="shared" si="48"/>
        <v>0</v>
      </c>
    </row>
    <row r="1027" spans="1:11" s="25" customFormat="1" ht="15" hidden="1" customHeight="1">
      <c r="A1027" s="95" t="s">
        <v>592</v>
      </c>
      <c r="B1027" s="138"/>
      <c r="C1027" s="142" t="s">
        <v>940</v>
      </c>
      <c r="D1027" s="138" t="s">
        <v>167</v>
      </c>
      <c r="E1027" s="138" t="s">
        <v>423</v>
      </c>
      <c r="F1027" s="139" t="s">
        <v>593</v>
      </c>
      <c r="G1027" s="30"/>
      <c r="H1027" s="30"/>
      <c r="I1027" s="20" t="e">
        <f t="shared" si="49"/>
        <v>#DIV/0!</v>
      </c>
      <c r="J1027" s="229">
        <f>SUM(ведомствен.2013!G909)</f>
        <v>0</v>
      </c>
      <c r="K1027" s="229">
        <f t="shared" si="48"/>
        <v>0</v>
      </c>
    </row>
    <row r="1028" spans="1:11" s="25" customFormat="1" ht="15" hidden="1" customHeight="1">
      <c r="A1028" s="115" t="s">
        <v>164</v>
      </c>
      <c r="B1028" s="138"/>
      <c r="C1028" s="142" t="s">
        <v>940</v>
      </c>
      <c r="D1028" s="138" t="s">
        <v>167</v>
      </c>
      <c r="E1028" s="138" t="s">
        <v>423</v>
      </c>
      <c r="F1028" s="139" t="s">
        <v>165</v>
      </c>
      <c r="G1028" s="30"/>
      <c r="H1028" s="30"/>
      <c r="I1028" s="20" t="e">
        <f t="shared" si="49"/>
        <v>#DIV/0!</v>
      </c>
      <c r="J1028" s="229">
        <f>SUM(ведомствен.2013!G910)</f>
        <v>0</v>
      </c>
      <c r="K1028" s="229">
        <f t="shared" si="48"/>
        <v>0</v>
      </c>
    </row>
    <row r="1029" spans="1:11" s="25" customFormat="1" ht="42.75" hidden="1" customHeight="1">
      <c r="A1029" s="95" t="s">
        <v>969</v>
      </c>
      <c r="B1029" s="138"/>
      <c r="C1029" s="142" t="s">
        <v>940</v>
      </c>
      <c r="D1029" s="138" t="s">
        <v>167</v>
      </c>
      <c r="E1029" s="138" t="s">
        <v>424</v>
      </c>
      <c r="F1029" s="139"/>
      <c r="G1029" s="30">
        <f>SUM(G1030)</f>
        <v>0</v>
      </c>
      <c r="H1029" s="30">
        <f>SUM(H1030)</f>
        <v>0</v>
      </c>
      <c r="I1029" s="20" t="e">
        <f t="shared" si="49"/>
        <v>#DIV/0!</v>
      </c>
      <c r="J1029" s="229"/>
      <c r="K1029" s="229">
        <f t="shared" si="48"/>
        <v>0</v>
      </c>
    </row>
    <row r="1030" spans="1:11" s="25" customFormat="1" ht="15" hidden="1">
      <c r="A1030" s="95" t="s">
        <v>592</v>
      </c>
      <c r="B1030" s="138"/>
      <c r="C1030" s="142" t="s">
        <v>940</v>
      </c>
      <c r="D1030" s="138" t="s">
        <v>167</v>
      </c>
      <c r="E1030" s="138" t="s">
        <v>424</v>
      </c>
      <c r="F1030" s="139" t="s">
        <v>593</v>
      </c>
      <c r="G1030" s="30"/>
      <c r="H1030" s="30"/>
      <c r="I1030" s="20" t="e">
        <f t="shared" si="49"/>
        <v>#DIV/0!</v>
      </c>
      <c r="J1030" s="229"/>
      <c r="K1030" s="229">
        <f t="shared" si="48"/>
        <v>0</v>
      </c>
    </row>
    <row r="1031" spans="1:11" s="33" customFormat="1" ht="99.75" hidden="1" customHeight="1">
      <c r="A1031" s="95" t="s">
        <v>425</v>
      </c>
      <c r="B1031" s="138"/>
      <c r="C1031" s="142" t="s">
        <v>940</v>
      </c>
      <c r="D1031" s="138" t="s">
        <v>167</v>
      </c>
      <c r="E1031" s="138" t="s">
        <v>426</v>
      </c>
      <c r="F1031" s="139"/>
      <c r="G1031" s="30">
        <f>SUM(G1032)</f>
        <v>0</v>
      </c>
      <c r="H1031" s="30">
        <f>SUM(H1032)</f>
        <v>0</v>
      </c>
      <c r="I1031" s="20" t="e">
        <f t="shared" si="49"/>
        <v>#DIV/0!</v>
      </c>
      <c r="J1031" s="237"/>
      <c r="K1031" s="229">
        <f t="shared" si="48"/>
        <v>0</v>
      </c>
    </row>
    <row r="1032" spans="1:11" s="33" customFormat="1" ht="15" hidden="1" customHeight="1">
      <c r="A1032" s="95" t="s">
        <v>592</v>
      </c>
      <c r="B1032" s="138"/>
      <c r="C1032" s="142" t="s">
        <v>940</v>
      </c>
      <c r="D1032" s="138" t="s">
        <v>167</v>
      </c>
      <c r="E1032" s="138" t="s">
        <v>426</v>
      </c>
      <c r="F1032" s="139" t="s">
        <v>593</v>
      </c>
      <c r="G1032" s="30"/>
      <c r="H1032" s="30"/>
      <c r="I1032" s="20" t="e">
        <f t="shared" si="49"/>
        <v>#DIV/0!</v>
      </c>
      <c r="J1032" s="237"/>
      <c r="K1032" s="229">
        <f t="shared" si="48"/>
        <v>0</v>
      </c>
    </row>
    <row r="1033" spans="1:11" s="25" customFormat="1" ht="15">
      <c r="A1033" s="128" t="s">
        <v>427</v>
      </c>
      <c r="B1033" s="160"/>
      <c r="C1033" s="160" t="s">
        <v>940</v>
      </c>
      <c r="D1033" s="160" t="s">
        <v>167</v>
      </c>
      <c r="E1033" s="160" t="s">
        <v>428</v>
      </c>
      <c r="F1033" s="141"/>
      <c r="G1033" s="30">
        <f>SUM(G1034:G1036)</f>
        <v>19120.3</v>
      </c>
      <c r="H1033" s="30">
        <f>SUM(H1034:H1036)</f>
        <v>19120.2</v>
      </c>
      <c r="I1033" s="20">
        <f t="shared" si="49"/>
        <v>99.999476995653851</v>
      </c>
      <c r="J1033" s="229"/>
      <c r="K1033" s="229"/>
    </row>
    <row r="1034" spans="1:11" s="25" customFormat="1" ht="13.5" customHeight="1">
      <c r="A1034" s="95" t="s">
        <v>592</v>
      </c>
      <c r="B1034" s="160"/>
      <c r="C1034" s="160" t="s">
        <v>940</v>
      </c>
      <c r="D1034" s="160" t="s">
        <v>167</v>
      </c>
      <c r="E1034" s="160" t="s">
        <v>428</v>
      </c>
      <c r="F1034" s="141" t="s">
        <v>593</v>
      </c>
      <c r="G1034" s="30">
        <v>15039.1</v>
      </c>
      <c r="H1034" s="30">
        <v>15039.1</v>
      </c>
      <c r="I1034" s="20">
        <f t="shared" si="49"/>
        <v>100</v>
      </c>
      <c r="J1034" s="229">
        <f>SUM(ведомствен.2013!G916)</f>
        <v>15039.1</v>
      </c>
      <c r="K1034" s="229">
        <f t="shared" ref="K1034:K1041" si="50">SUM(G1034-J1034)</f>
        <v>0</v>
      </c>
    </row>
    <row r="1035" spans="1:11" s="25" customFormat="1" ht="18.75" customHeight="1">
      <c r="A1035" s="95" t="s">
        <v>164</v>
      </c>
      <c r="B1035" s="160"/>
      <c r="C1035" s="160" t="s">
        <v>940</v>
      </c>
      <c r="D1035" s="160" t="s">
        <v>167</v>
      </c>
      <c r="E1035" s="160" t="s">
        <v>428</v>
      </c>
      <c r="F1035" s="141" t="s">
        <v>165</v>
      </c>
      <c r="G1035" s="81">
        <v>3781.2</v>
      </c>
      <c r="H1035" s="81">
        <v>3781.1</v>
      </c>
      <c r="I1035" s="20">
        <f t="shared" si="49"/>
        <v>99.997355336930084</v>
      </c>
      <c r="J1035" s="229">
        <f>SUM(ведомствен.2013!G917)</f>
        <v>3781.2</v>
      </c>
      <c r="K1035" s="229">
        <f t="shared" si="50"/>
        <v>0</v>
      </c>
    </row>
    <row r="1036" spans="1:11" s="25" customFormat="1" ht="42.75">
      <c r="A1036" s="97" t="s">
        <v>954</v>
      </c>
      <c r="B1036" s="160"/>
      <c r="C1036" s="160" t="s">
        <v>940</v>
      </c>
      <c r="D1036" s="160" t="s">
        <v>167</v>
      </c>
      <c r="E1036" s="160" t="s">
        <v>428</v>
      </c>
      <c r="F1036" s="141" t="s">
        <v>51</v>
      </c>
      <c r="G1036" s="81">
        <v>300</v>
      </c>
      <c r="H1036" s="81">
        <v>300</v>
      </c>
      <c r="I1036" s="20">
        <f t="shared" si="49"/>
        <v>100</v>
      </c>
      <c r="J1036" s="229">
        <f>SUM(ведомствен.2013!G918)</f>
        <v>300</v>
      </c>
      <c r="K1036" s="229">
        <f t="shared" si="50"/>
        <v>0</v>
      </c>
    </row>
    <row r="1037" spans="1:11" s="25" customFormat="1" ht="28.5" hidden="1" customHeight="1">
      <c r="A1037" s="95" t="s">
        <v>429</v>
      </c>
      <c r="B1037" s="160"/>
      <c r="C1037" s="160" t="s">
        <v>940</v>
      </c>
      <c r="D1037" s="160" t="s">
        <v>167</v>
      </c>
      <c r="E1037" s="160" t="s">
        <v>430</v>
      </c>
      <c r="F1037" s="141"/>
      <c r="G1037" s="30">
        <f>SUM(G1038)</f>
        <v>0</v>
      </c>
      <c r="H1037" s="30">
        <f>SUM(H1038)</f>
        <v>0</v>
      </c>
      <c r="I1037" s="20" t="e">
        <f t="shared" si="49"/>
        <v>#DIV/0!</v>
      </c>
      <c r="J1037" s="229"/>
      <c r="K1037" s="229">
        <f t="shared" si="50"/>
        <v>0</v>
      </c>
    </row>
    <row r="1038" spans="1:11" s="25" customFormat="1" ht="15" hidden="1">
      <c r="A1038" s="95" t="s">
        <v>592</v>
      </c>
      <c r="B1038" s="160"/>
      <c r="C1038" s="160" t="s">
        <v>940</v>
      </c>
      <c r="D1038" s="160" t="s">
        <v>167</v>
      </c>
      <c r="E1038" s="160" t="s">
        <v>430</v>
      </c>
      <c r="F1038" s="141" t="s">
        <v>593</v>
      </c>
      <c r="G1038" s="30"/>
      <c r="H1038" s="30"/>
      <c r="I1038" s="20" t="e">
        <f t="shared" si="49"/>
        <v>#DIV/0!</v>
      </c>
      <c r="J1038" s="229">
        <f>SUM(ведомствен.2013!G919)</f>
        <v>0</v>
      </c>
      <c r="K1038" s="229">
        <f t="shared" si="50"/>
        <v>0</v>
      </c>
    </row>
    <row r="1039" spans="1:11" s="25" customFormat="1" ht="42.75" hidden="1">
      <c r="A1039" s="95" t="s">
        <v>514</v>
      </c>
      <c r="B1039" s="138"/>
      <c r="C1039" s="142" t="s">
        <v>940</v>
      </c>
      <c r="D1039" s="142" t="s">
        <v>167</v>
      </c>
      <c r="E1039" s="138" t="s">
        <v>545</v>
      </c>
      <c r="F1039" s="139"/>
      <c r="G1039" s="30">
        <f>SUM(G1040)</f>
        <v>0</v>
      </c>
      <c r="H1039" s="30">
        <f>SUM(H1040)</f>
        <v>0</v>
      </c>
      <c r="I1039" s="20" t="e">
        <f t="shared" si="49"/>
        <v>#DIV/0!</v>
      </c>
      <c r="J1039" s="229"/>
      <c r="K1039" s="229">
        <f t="shared" si="50"/>
        <v>0</v>
      </c>
    </row>
    <row r="1040" spans="1:11" s="25" customFormat="1" ht="57" hidden="1">
      <c r="A1040" s="119" t="s">
        <v>546</v>
      </c>
      <c r="B1040" s="138"/>
      <c r="C1040" s="142" t="s">
        <v>940</v>
      </c>
      <c r="D1040" s="142" t="s">
        <v>167</v>
      </c>
      <c r="E1040" s="138" t="s">
        <v>547</v>
      </c>
      <c r="F1040" s="140"/>
      <c r="G1040" s="30">
        <f>SUM(G1041)</f>
        <v>0</v>
      </c>
      <c r="H1040" s="30">
        <f>SUM(H1041)</f>
        <v>0</v>
      </c>
      <c r="I1040" s="20" t="e">
        <f t="shared" si="49"/>
        <v>#DIV/0!</v>
      </c>
      <c r="J1040" s="229"/>
      <c r="K1040" s="229">
        <f t="shared" si="50"/>
        <v>0</v>
      </c>
    </row>
    <row r="1041" spans="1:11" s="25" customFormat="1" ht="15" hidden="1">
      <c r="A1041" s="95" t="s">
        <v>592</v>
      </c>
      <c r="B1041" s="143"/>
      <c r="C1041" s="142" t="s">
        <v>940</v>
      </c>
      <c r="D1041" s="142" t="s">
        <v>167</v>
      </c>
      <c r="E1041" s="138" t="s">
        <v>547</v>
      </c>
      <c r="F1041" s="144" t="s">
        <v>593</v>
      </c>
      <c r="G1041" s="204"/>
      <c r="H1041" s="204"/>
      <c r="I1041" s="20" t="e">
        <f t="shared" si="49"/>
        <v>#DIV/0!</v>
      </c>
      <c r="J1041" s="229"/>
      <c r="K1041" s="229">
        <f t="shared" si="50"/>
        <v>0</v>
      </c>
    </row>
    <row r="1042" spans="1:11" s="25" customFormat="1" ht="48" customHeight="1">
      <c r="A1042" s="119" t="s">
        <v>548</v>
      </c>
      <c r="B1042" s="138"/>
      <c r="C1042" s="142" t="s">
        <v>940</v>
      </c>
      <c r="D1042" s="142" t="s">
        <v>167</v>
      </c>
      <c r="E1042" s="142" t="s">
        <v>549</v>
      </c>
      <c r="F1042" s="140"/>
      <c r="G1042" s="30">
        <f>SUM(G1043)</f>
        <v>77.099999999999994</v>
      </c>
      <c r="H1042" s="30">
        <f>SUM(H1043)</f>
        <v>2.8</v>
      </c>
      <c r="I1042" s="20">
        <f t="shared" si="49"/>
        <v>3.6316472114137488</v>
      </c>
      <c r="J1042" s="229"/>
      <c r="K1042" s="229"/>
    </row>
    <row r="1043" spans="1:11" s="25" customFormat="1" ht="23.25" customHeight="1">
      <c r="A1043" s="95" t="s">
        <v>592</v>
      </c>
      <c r="B1043" s="138"/>
      <c r="C1043" s="142" t="s">
        <v>940</v>
      </c>
      <c r="D1043" s="142" t="s">
        <v>167</v>
      </c>
      <c r="E1043" s="142" t="s">
        <v>549</v>
      </c>
      <c r="F1043" s="140" t="s">
        <v>593</v>
      </c>
      <c r="G1043" s="30">
        <v>77.099999999999994</v>
      </c>
      <c r="H1043" s="30">
        <v>2.8</v>
      </c>
      <c r="I1043" s="20">
        <f t="shared" si="49"/>
        <v>3.6316472114137488</v>
      </c>
      <c r="J1043" s="229">
        <f>SUM(ведомствен.2013!G922)</f>
        <v>77.099999999999994</v>
      </c>
      <c r="K1043" s="229">
        <f>SUM(G1043-J1043)</f>
        <v>0</v>
      </c>
    </row>
    <row r="1044" spans="1:11" s="25" customFormat="1" ht="28.5">
      <c r="A1044" s="114" t="s">
        <v>550</v>
      </c>
      <c r="B1044" s="138"/>
      <c r="C1044" s="142" t="s">
        <v>940</v>
      </c>
      <c r="D1044" s="142" t="s">
        <v>167</v>
      </c>
      <c r="E1044" s="142" t="s">
        <v>551</v>
      </c>
      <c r="F1044" s="140"/>
      <c r="G1044" s="30">
        <f>SUM(G1045:G1046)</f>
        <v>115034.90000000001</v>
      </c>
      <c r="H1044" s="30">
        <f>SUM(H1045:H1046)</f>
        <v>80152.5</v>
      </c>
      <c r="I1044" s="20">
        <f t="shared" si="49"/>
        <v>69.676680729065694</v>
      </c>
      <c r="J1044" s="229"/>
      <c r="K1044" s="229"/>
    </row>
    <row r="1045" spans="1:11" s="25" customFormat="1" ht="14.25" customHeight="1">
      <c r="A1045" s="95" t="s">
        <v>592</v>
      </c>
      <c r="B1045" s="142"/>
      <c r="C1045" s="142" t="s">
        <v>940</v>
      </c>
      <c r="D1045" s="142" t="s">
        <v>167</v>
      </c>
      <c r="E1045" s="142" t="s">
        <v>551</v>
      </c>
      <c r="F1045" s="140" t="s">
        <v>593</v>
      </c>
      <c r="G1045" s="30">
        <v>114894.3</v>
      </c>
      <c r="H1045" s="30">
        <v>80011.899999999994</v>
      </c>
      <c r="I1045" s="20">
        <f t="shared" si="49"/>
        <v>69.63957306846379</v>
      </c>
      <c r="J1045" s="229">
        <f>SUM(ведомствен.2013!G924)</f>
        <v>114894.3</v>
      </c>
      <c r="K1045" s="229">
        <f>SUM(G1045-J1045)</f>
        <v>0</v>
      </c>
    </row>
    <row r="1046" spans="1:11" s="25" customFormat="1" ht="21" customHeight="1">
      <c r="A1046" s="115" t="s">
        <v>164</v>
      </c>
      <c r="B1046" s="142"/>
      <c r="C1046" s="142" t="s">
        <v>940</v>
      </c>
      <c r="D1046" s="142" t="s">
        <v>167</v>
      </c>
      <c r="E1046" s="142" t="s">
        <v>551</v>
      </c>
      <c r="F1046" s="140" t="s">
        <v>165</v>
      </c>
      <c r="G1046" s="30">
        <v>140.6</v>
      </c>
      <c r="H1046" s="30">
        <v>140.6</v>
      </c>
      <c r="I1046" s="20">
        <f t="shared" si="49"/>
        <v>100</v>
      </c>
      <c r="J1046" s="229">
        <f>SUM(ведомствен.2013!G925)</f>
        <v>140.6</v>
      </c>
      <c r="K1046" s="229">
        <f>SUM(G1046-J1046)</f>
        <v>0</v>
      </c>
    </row>
    <row r="1047" spans="1:11" s="25" customFormat="1" ht="42.75">
      <c r="A1047" s="95" t="s">
        <v>552</v>
      </c>
      <c r="B1047" s="138"/>
      <c r="C1047" s="142" t="s">
        <v>940</v>
      </c>
      <c r="D1047" s="142" t="s">
        <v>167</v>
      </c>
      <c r="E1047" s="142" t="s">
        <v>553</v>
      </c>
      <c r="F1047" s="140"/>
      <c r="G1047" s="30">
        <f>SUM(G1048)</f>
        <v>97590.399999999994</v>
      </c>
      <c r="H1047" s="30">
        <f>SUM(H1048)</f>
        <v>97581.9</v>
      </c>
      <c r="I1047" s="20">
        <f t="shared" si="49"/>
        <v>99.991290126897724</v>
      </c>
      <c r="J1047" s="229"/>
      <c r="K1047" s="229"/>
    </row>
    <row r="1048" spans="1:11" s="25" customFormat="1" ht="15">
      <c r="A1048" s="95" t="s">
        <v>592</v>
      </c>
      <c r="B1048" s="138"/>
      <c r="C1048" s="142" t="s">
        <v>940</v>
      </c>
      <c r="D1048" s="142" t="s">
        <v>167</v>
      </c>
      <c r="E1048" s="142" t="s">
        <v>553</v>
      </c>
      <c r="F1048" s="140" t="s">
        <v>593</v>
      </c>
      <c r="G1048" s="30">
        <v>97590.399999999994</v>
      </c>
      <c r="H1048" s="30">
        <v>97581.9</v>
      </c>
      <c r="I1048" s="20">
        <f t="shared" si="49"/>
        <v>99.991290126897724</v>
      </c>
      <c r="J1048" s="229">
        <f>SUM(ведомствен.2013!G927)</f>
        <v>97590.399999999994</v>
      </c>
      <c r="K1048" s="229">
        <f>SUM(G1048-J1048)</f>
        <v>0</v>
      </c>
    </row>
    <row r="1049" spans="1:11" s="25" customFormat="1" ht="28.5">
      <c r="A1049" s="95" t="s">
        <v>556</v>
      </c>
      <c r="B1049" s="138"/>
      <c r="C1049" s="142" t="s">
        <v>940</v>
      </c>
      <c r="D1049" s="142" t="s">
        <v>167</v>
      </c>
      <c r="E1049" s="142" t="s">
        <v>557</v>
      </c>
      <c r="F1049" s="140"/>
      <c r="G1049" s="30">
        <f>SUM(G1050+G1054+G1056+G1069+G1071+G1064+G1075)+G1052+G1067+G1078+G1080+G1083+G1085+G1088+G1090+G1093</f>
        <v>402125.6</v>
      </c>
      <c r="H1049" s="30">
        <f>SUM(H1050+H1054+H1056+H1069+H1071+H1064+H1075)+H1052+H1067+H1078+H1080+H1083+H1085+H1088+H1090+H1093</f>
        <v>393068.20000000007</v>
      </c>
      <c r="I1049" s="20">
        <f t="shared" si="49"/>
        <v>97.747619151827209</v>
      </c>
      <c r="J1049" s="229"/>
      <c r="K1049" s="229"/>
    </row>
    <row r="1050" spans="1:11" s="25" customFormat="1" ht="28.5">
      <c r="A1050" s="119" t="s">
        <v>865</v>
      </c>
      <c r="B1050" s="138"/>
      <c r="C1050" s="142" t="s">
        <v>940</v>
      </c>
      <c r="D1050" s="142" t="s">
        <v>167</v>
      </c>
      <c r="E1050" s="142" t="s">
        <v>769</v>
      </c>
      <c r="F1050" s="140"/>
      <c r="G1050" s="30">
        <f>SUM(G1051)</f>
        <v>51550</v>
      </c>
      <c r="H1050" s="30">
        <f>SUM(H1051)</f>
        <v>51355.9</v>
      </c>
      <c r="I1050" s="20">
        <f t="shared" si="49"/>
        <v>99.623472356935011</v>
      </c>
      <c r="J1050" s="229"/>
      <c r="K1050" s="229"/>
    </row>
    <row r="1051" spans="1:11" s="25" customFormat="1" ht="15">
      <c r="A1051" s="95" t="s">
        <v>592</v>
      </c>
      <c r="B1051" s="138"/>
      <c r="C1051" s="142" t="s">
        <v>940</v>
      </c>
      <c r="D1051" s="142" t="s">
        <v>167</v>
      </c>
      <c r="E1051" s="142" t="s">
        <v>769</v>
      </c>
      <c r="F1051" s="140" t="s">
        <v>593</v>
      </c>
      <c r="G1051" s="30">
        <v>51550</v>
      </c>
      <c r="H1051" s="30">
        <v>51355.9</v>
      </c>
      <c r="I1051" s="20">
        <f t="shared" si="49"/>
        <v>99.623472356935011</v>
      </c>
      <c r="J1051" s="229">
        <f>SUM(ведомствен.2013!G932)</f>
        <v>51550</v>
      </c>
      <c r="K1051" s="229">
        <f>SUM(G1051-J1051)</f>
        <v>0</v>
      </c>
    </row>
    <row r="1052" spans="1:11" s="25" customFormat="1" ht="77.25" customHeight="1">
      <c r="A1052" s="95" t="s">
        <v>866</v>
      </c>
      <c r="B1052" s="138"/>
      <c r="C1052" s="142" t="s">
        <v>940</v>
      </c>
      <c r="D1052" s="138" t="s">
        <v>167</v>
      </c>
      <c r="E1052" s="142" t="s">
        <v>848</v>
      </c>
      <c r="F1052" s="139"/>
      <c r="G1052" s="30">
        <f>SUM(G1053)</f>
        <v>53270.5</v>
      </c>
      <c r="H1052" s="30">
        <f>SUM(H1053)</f>
        <v>53036.5</v>
      </c>
      <c r="I1052" s="20">
        <f t="shared" si="49"/>
        <v>99.560732487962383</v>
      </c>
      <c r="J1052" s="229"/>
      <c r="K1052" s="229"/>
    </row>
    <row r="1053" spans="1:11" s="25" customFormat="1" ht="27" customHeight="1">
      <c r="A1053" s="95" t="s">
        <v>592</v>
      </c>
      <c r="B1053" s="138"/>
      <c r="C1053" s="142" t="s">
        <v>940</v>
      </c>
      <c r="D1053" s="138" t="s">
        <v>167</v>
      </c>
      <c r="E1053" s="142" t="s">
        <v>848</v>
      </c>
      <c r="F1053" s="139" t="s">
        <v>593</v>
      </c>
      <c r="G1053" s="30">
        <v>53270.5</v>
      </c>
      <c r="H1053" s="30">
        <v>53036.5</v>
      </c>
      <c r="I1053" s="20">
        <f t="shared" si="49"/>
        <v>99.560732487962383</v>
      </c>
      <c r="J1053" s="229">
        <f>SUM(ведомствен.2013!G934)</f>
        <v>53270.5</v>
      </c>
      <c r="K1053" s="229">
        <f t="shared" ref="K1053:K1063" si="51">SUM(G1053-J1053)</f>
        <v>0</v>
      </c>
    </row>
    <row r="1054" spans="1:11" s="25" customFormat="1" ht="71.25" hidden="1" customHeight="1">
      <c r="A1054" s="117" t="s">
        <v>370</v>
      </c>
      <c r="B1054" s="138"/>
      <c r="C1054" s="142" t="s">
        <v>940</v>
      </c>
      <c r="D1054" s="138" t="s">
        <v>167</v>
      </c>
      <c r="E1054" s="142" t="s">
        <v>770</v>
      </c>
      <c r="F1054" s="139"/>
      <c r="G1054" s="30">
        <f>SUM(G1055)</f>
        <v>0</v>
      </c>
      <c r="H1054" s="30">
        <f>SUM(H1055)</f>
        <v>0</v>
      </c>
      <c r="I1054" s="20" t="e">
        <f t="shared" si="49"/>
        <v>#DIV/0!</v>
      </c>
      <c r="J1054" s="229"/>
      <c r="K1054" s="229">
        <f t="shared" si="51"/>
        <v>0</v>
      </c>
    </row>
    <row r="1055" spans="1:11" s="25" customFormat="1" ht="15" hidden="1">
      <c r="A1055" s="95" t="s">
        <v>592</v>
      </c>
      <c r="B1055" s="138"/>
      <c r="C1055" s="142" t="s">
        <v>940</v>
      </c>
      <c r="D1055" s="138" t="s">
        <v>167</v>
      </c>
      <c r="E1055" s="142" t="s">
        <v>770</v>
      </c>
      <c r="F1055" s="139" t="s">
        <v>593</v>
      </c>
      <c r="G1055" s="30"/>
      <c r="H1055" s="30"/>
      <c r="I1055" s="20" t="e">
        <f t="shared" si="49"/>
        <v>#DIV/0!</v>
      </c>
      <c r="J1055" s="229">
        <f>SUM(ведомствен.2013!G936)</f>
        <v>0</v>
      </c>
      <c r="K1055" s="229">
        <f t="shared" si="51"/>
        <v>0</v>
      </c>
    </row>
    <row r="1056" spans="1:11" s="25" customFormat="1" ht="71.25" hidden="1" customHeight="1">
      <c r="A1056" s="117" t="s">
        <v>1005</v>
      </c>
      <c r="B1056" s="138"/>
      <c r="C1056" s="142" t="s">
        <v>940</v>
      </c>
      <c r="D1056" s="138" t="s">
        <v>167</v>
      </c>
      <c r="E1056" s="142" t="s">
        <v>771</v>
      </c>
      <c r="F1056" s="139"/>
      <c r="G1056" s="30">
        <f>SUM(G1057)</f>
        <v>0</v>
      </c>
      <c r="H1056" s="30">
        <f>SUM(H1057)</f>
        <v>0</v>
      </c>
      <c r="I1056" s="20" t="e">
        <f t="shared" si="49"/>
        <v>#DIV/0!</v>
      </c>
      <c r="J1056" s="229"/>
      <c r="K1056" s="229">
        <f t="shared" si="51"/>
        <v>0</v>
      </c>
    </row>
    <row r="1057" spans="1:11" s="25" customFormat="1" ht="15" hidden="1">
      <c r="A1057" s="95" t="s">
        <v>592</v>
      </c>
      <c r="B1057" s="138"/>
      <c r="C1057" s="142" t="s">
        <v>940</v>
      </c>
      <c r="D1057" s="138" t="s">
        <v>167</v>
      </c>
      <c r="E1057" s="142" t="s">
        <v>771</v>
      </c>
      <c r="F1057" s="139" t="s">
        <v>593</v>
      </c>
      <c r="G1057" s="30"/>
      <c r="H1057" s="30"/>
      <c r="I1057" s="20" t="e">
        <f t="shared" si="49"/>
        <v>#DIV/0!</v>
      </c>
      <c r="J1057" s="229">
        <f>SUM(ведомствен.2013!G938)</f>
        <v>0</v>
      </c>
      <c r="K1057" s="229">
        <f t="shared" si="51"/>
        <v>0</v>
      </c>
    </row>
    <row r="1058" spans="1:11" s="25" customFormat="1" ht="71.25" hidden="1" customHeight="1">
      <c r="A1058" s="95" t="s">
        <v>1006</v>
      </c>
      <c r="B1058" s="138"/>
      <c r="C1058" s="142" t="s">
        <v>940</v>
      </c>
      <c r="D1058" s="138" t="s">
        <v>167</v>
      </c>
      <c r="E1058" s="142" t="s">
        <v>770</v>
      </c>
      <c r="F1058" s="139"/>
      <c r="G1058" s="30">
        <f>SUM(G1059)</f>
        <v>0</v>
      </c>
      <c r="H1058" s="30">
        <f>SUM(H1059)</f>
        <v>0</v>
      </c>
      <c r="I1058" s="20" t="e">
        <f t="shared" si="49"/>
        <v>#DIV/0!</v>
      </c>
      <c r="J1058" s="229"/>
      <c r="K1058" s="229">
        <f t="shared" si="51"/>
        <v>0</v>
      </c>
    </row>
    <row r="1059" spans="1:11" s="25" customFormat="1" ht="15" hidden="1" customHeight="1">
      <c r="A1059" s="95" t="s">
        <v>592</v>
      </c>
      <c r="B1059" s="138"/>
      <c r="C1059" s="142" t="s">
        <v>940</v>
      </c>
      <c r="D1059" s="138" t="s">
        <v>167</v>
      </c>
      <c r="E1059" s="142" t="s">
        <v>770</v>
      </c>
      <c r="F1059" s="139" t="s">
        <v>593</v>
      </c>
      <c r="G1059" s="30"/>
      <c r="H1059" s="30"/>
      <c r="I1059" s="20" t="e">
        <f t="shared" si="49"/>
        <v>#DIV/0!</v>
      </c>
      <c r="J1059" s="229"/>
      <c r="K1059" s="229">
        <f t="shared" si="51"/>
        <v>0</v>
      </c>
    </row>
    <row r="1060" spans="1:11" s="25" customFormat="1" ht="71.25" hidden="1" customHeight="1">
      <c r="A1060" s="95" t="s">
        <v>1007</v>
      </c>
      <c r="B1060" s="138"/>
      <c r="C1060" s="142" t="s">
        <v>940</v>
      </c>
      <c r="D1060" s="138" t="s">
        <v>167</v>
      </c>
      <c r="E1060" s="142" t="s">
        <v>771</v>
      </c>
      <c r="F1060" s="139"/>
      <c r="G1060" s="30">
        <f>SUM(G1061)</f>
        <v>0</v>
      </c>
      <c r="H1060" s="30">
        <f>SUM(H1061)</f>
        <v>0</v>
      </c>
      <c r="I1060" s="20" t="e">
        <f t="shared" si="49"/>
        <v>#DIV/0!</v>
      </c>
      <c r="J1060" s="229"/>
      <c r="K1060" s="229">
        <f t="shared" si="51"/>
        <v>0</v>
      </c>
    </row>
    <row r="1061" spans="1:11" s="25" customFormat="1" ht="15" hidden="1" customHeight="1">
      <c r="A1061" s="95" t="s">
        <v>592</v>
      </c>
      <c r="B1061" s="138"/>
      <c r="C1061" s="142" t="s">
        <v>940</v>
      </c>
      <c r="D1061" s="138" t="s">
        <v>167</v>
      </c>
      <c r="E1061" s="142" t="s">
        <v>771</v>
      </c>
      <c r="F1061" s="139" t="s">
        <v>593</v>
      </c>
      <c r="G1061" s="30"/>
      <c r="H1061" s="30"/>
      <c r="I1061" s="20" t="e">
        <f t="shared" si="49"/>
        <v>#DIV/0!</v>
      </c>
      <c r="J1061" s="229"/>
      <c r="K1061" s="229">
        <f t="shared" si="51"/>
        <v>0</v>
      </c>
    </row>
    <row r="1062" spans="1:11" s="25" customFormat="1" ht="42.75" hidden="1" customHeight="1">
      <c r="A1062" s="119" t="s">
        <v>772</v>
      </c>
      <c r="B1062" s="138"/>
      <c r="C1062" s="142" t="s">
        <v>940</v>
      </c>
      <c r="D1062" s="142" t="s">
        <v>167</v>
      </c>
      <c r="E1062" s="142" t="s">
        <v>773</v>
      </c>
      <c r="F1062" s="140"/>
      <c r="G1062" s="30">
        <f>SUM(G1063)</f>
        <v>0</v>
      </c>
      <c r="H1062" s="30">
        <f>SUM(H1063)</f>
        <v>0</v>
      </c>
      <c r="I1062" s="20" t="e">
        <f t="shared" si="49"/>
        <v>#DIV/0!</v>
      </c>
      <c r="J1062" s="229"/>
      <c r="K1062" s="229">
        <f t="shared" si="51"/>
        <v>0</v>
      </c>
    </row>
    <row r="1063" spans="1:11" s="25" customFormat="1" ht="15" hidden="1" customHeight="1">
      <c r="A1063" s="95" t="s">
        <v>592</v>
      </c>
      <c r="B1063" s="138"/>
      <c r="C1063" s="142" t="s">
        <v>940</v>
      </c>
      <c r="D1063" s="142" t="s">
        <v>167</v>
      </c>
      <c r="E1063" s="142" t="s">
        <v>773</v>
      </c>
      <c r="F1063" s="140" t="s">
        <v>593</v>
      </c>
      <c r="G1063" s="30"/>
      <c r="H1063" s="30"/>
      <c r="I1063" s="20" t="e">
        <f t="shared" si="49"/>
        <v>#DIV/0!</v>
      </c>
      <c r="J1063" s="229"/>
      <c r="K1063" s="229">
        <f t="shared" si="51"/>
        <v>0</v>
      </c>
    </row>
    <row r="1064" spans="1:11" ht="93" customHeight="1">
      <c r="A1064" s="95" t="s">
        <v>887</v>
      </c>
      <c r="B1064" s="138"/>
      <c r="C1064" s="142" t="s">
        <v>940</v>
      </c>
      <c r="D1064" s="142" t="s">
        <v>167</v>
      </c>
      <c r="E1064" s="142" t="s">
        <v>777</v>
      </c>
      <c r="F1064" s="140"/>
      <c r="G1064" s="30">
        <f>SUM(G1065:G1066)</f>
        <v>146026.6</v>
      </c>
      <c r="H1064" s="30">
        <f>SUM(H1065:H1066)</f>
        <v>139418.70000000001</v>
      </c>
      <c r="I1064" s="20">
        <f t="shared" si="49"/>
        <v>95.474865538196468</v>
      </c>
      <c r="K1064" s="229"/>
    </row>
    <row r="1065" spans="1:11" ht="15">
      <c r="A1065" s="95" t="s">
        <v>592</v>
      </c>
      <c r="B1065" s="138"/>
      <c r="C1065" s="142" t="s">
        <v>940</v>
      </c>
      <c r="D1065" s="138" t="s">
        <v>167</v>
      </c>
      <c r="E1065" s="142" t="s">
        <v>777</v>
      </c>
      <c r="F1065" s="139" t="s">
        <v>593</v>
      </c>
      <c r="G1065" s="30">
        <v>145411.4</v>
      </c>
      <c r="H1065" s="30">
        <v>138803.5</v>
      </c>
      <c r="I1065" s="20">
        <f t="shared" si="49"/>
        <v>95.455720803183254</v>
      </c>
      <c r="J1065" s="229">
        <f>SUM(ведомствен.2013!G946)</f>
        <v>145411.4</v>
      </c>
      <c r="K1065" s="229">
        <f>SUM(G1065-J1065)</f>
        <v>0</v>
      </c>
    </row>
    <row r="1066" spans="1:11" ht="15">
      <c r="A1066" s="115" t="s">
        <v>164</v>
      </c>
      <c r="B1066" s="138"/>
      <c r="C1066" s="142" t="s">
        <v>940</v>
      </c>
      <c r="D1066" s="138" t="s">
        <v>167</v>
      </c>
      <c r="E1066" s="142" t="s">
        <v>777</v>
      </c>
      <c r="F1066" s="139" t="s">
        <v>165</v>
      </c>
      <c r="G1066" s="30">
        <v>615.20000000000005</v>
      </c>
      <c r="H1066" s="30">
        <v>615.20000000000005</v>
      </c>
      <c r="I1066" s="20">
        <f t="shared" si="49"/>
        <v>100</v>
      </c>
      <c r="J1066" s="229">
        <f>SUM(ведомствен.2013!G947)</f>
        <v>615.20000000000005</v>
      </c>
      <c r="K1066" s="229">
        <f>SUM(G1066-J1066)</f>
        <v>0</v>
      </c>
    </row>
    <row r="1067" spans="1:11" ht="85.5">
      <c r="A1067" s="115" t="s">
        <v>867</v>
      </c>
      <c r="B1067" s="138"/>
      <c r="C1067" s="142" t="s">
        <v>940</v>
      </c>
      <c r="D1067" s="142" t="s">
        <v>167</v>
      </c>
      <c r="E1067" s="142" t="s">
        <v>849</v>
      </c>
      <c r="F1067" s="139"/>
      <c r="G1067" s="30">
        <f>SUM(G1068)</f>
        <v>1517.3</v>
      </c>
      <c r="H1067" s="30">
        <f>SUM(H1068)</f>
        <v>1513.9</v>
      </c>
      <c r="I1067" s="20">
        <f t="shared" si="49"/>
        <v>99.775917748632452</v>
      </c>
      <c r="J1067" s="229"/>
      <c r="K1067" s="229"/>
    </row>
    <row r="1068" spans="1:11" ht="14.25" customHeight="1">
      <c r="A1068" s="95" t="s">
        <v>592</v>
      </c>
      <c r="B1068" s="138"/>
      <c r="C1068" s="142" t="s">
        <v>940</v>
      </c>
      <c r="D1068" s="142" t="s">
        <v>167</v>
      </c>
      <c r="E1068" s="142" t="s">
        <v>849</v>
      </c>
      <c r="F1068" s="139" t="s">
        <v>593</v>
      </c>
      <c r="G1068" s="30">
        <v>1517.3</v>
      </c>
      <c r="H1068" s="30">
        <v>1513.9</v>
      </c>
      <c r="I1068" s="20">
        <f t="shared" si="49"/>
        <v>99.775917748632452</v>
      </c>
      <c r="J1068" s="229">
        <f>SUM(ведомствен.2013!G948)</f>
        <v>1517.3</v>
      </c>
      <c r="K1068" s="229">
        <f t="shared" ref="K1068:K1074" si="52">SUM(G1068-J1068)</f>
        <v>0</v>
      </c>
    </row>
    <row r="1069" spans="1:11" s="25" customFormat="1" ht="71.25" hidden="1">
      <c r="A1069" s="119" t="s">
        <v>573</v>
      </c>
      <c r="B1069" s="138"/>
      <c r="C1069" s="142" t="s">
        <v>940</v>
      </c>
      <c r="D1069" s="142" t="s">
        <v>167</v>
      </c>
      <c r="E1069" s="142" t="s">
        <v>778</v>
      </c>
      <c r="F1069" s="140"/>
      <c r="G1069" s="30">
        <f>SUM(G1070)</f>
        <v>0</v>
      </c>
      <c r="H1069" s="30">
        <f>SUM(H1070)</f>
        <v>0</v>
      </c>
      <c r="I1069" s="20" t="e">
        <f t="shared" si="49"/>
        <v>#DIV/0!</v>
      </c>
      <c r="J1069" s="229"/>
      <c r="K1069" s="229">
        <f t="shared" si="52"/>
        <v>0</v>
      </c>
    </row>
    <row r="1070" spans="1:11" s="25" customFormat="1" ht="15" hidden="1">
      <c r="A1070" s="95" t="s">
        <v>592</v>
      </c>
      <c r="B1070" s="138"/>
      <c r="C1070" s="142" t="s">
        <v>940</v>
      </c>
      <c r="D1070" s="142" t="s">
        <v>167</v>
      </c>
      <c r="E1070" s="142" t="s">
        <v>778</v>
      </c>
      <c r="F1070" s="140" t="s">
        <v>593</v>
      </c>
      <c r="G1070" s="30"/>
      <c r="H1070" s="30"/>
      <c r="I1070" s="20" t="e">
        <f t="shared" si="49"/>
        <v>#DIV/0!</v>
      </c>
      <c r="J1070" s="229">
        <f>SUM(ведомствен.2013!G951)</f>
        <v>0</v>
      </c>
      <c r="K1070" s="229">
        <f t="shared" si="52"/>
        <v>0</v>
      </c>
    </row>
    <row r="1071" spans="1:11" s="25" customFormat="1" ht="71.25" hidden="1" customHeight="1">
      <c r="A1071" s="119" t="s">
        <v>573</v>
      </c>
      <c r="B1071" s="138"/>
      <c r="C1071" s="142" t="s">
        <v>940</v>
      </c>
      <c r="D1071" s="142" t="s">
        <v>167</v>
      </c>
      <c r="E1071" s="142" t="s">
        <v>779</v>
      </c>
      <c r="F1071" s="140"/>
      <c r="G1071" s="30">
        <f>SUM(G1072)</f>
        <v>0</v>
      </c>
      <c r="H1071" s="30">
        <f>SUM(H1072)</f>
        <v>0</v>
      </c>
      <c r="I1071" s="20" t="e">
        <f t="shared" si="49"/>
        <v>#DIV/0!</v>
      </c>
      <c r="J1071" s="229"/>
      <c r="K1071" s="229">
        <f t="shared" si="52"/>
        <v>0</v>
      </c>
    </row>
    <row r="1072" spans="1:11" s="25" customFormat="1" ht="15" hidden="1" customHeight="1">
      <c r="A1072" s="95" t="s">
        <v>592</v>
      </c>
      <c r="B1072" s="138"/>
      <c r="C1072" s="142" t="s">
        <v>940</v>
      </c>
      <c r="D1072" s="142" t="s">
        <v>167</v>
      </c>
      <c r="E1072" s="142" t="s">
        <v>779</v>
      </c>
      <c r="F1072" s="140" t="s">
        <v>593</v>
      </c>
      <c r="G1072" s="30"/>
      <c r="H1072" s="30"/>
      <c r="I1072" s="20" t="e">
        <f t="shared" si="49"/>
        <v>#DIV/0!</v>
      </c>
      <c r="J1072" s="229">
        <f>SUM(ведомствен.2013!G953)</f>
        <v>0</v>
      </c>
      <c r="K1072" s="229">
        <f t="shared" si="52"/>
        <v>0</v>
      </c>
    </row>
    <row r="1073" spans="1:11" s="25" customFormat="1" ht="28.5" hidden="1" customHeight="1">
      <c r="A1073" s="94" t="s">
        <v>429</v>
      </c>
      <c r="B1073" s="142"/>
      <c r="C1073" s="142" t="s">
        <v>940</v>
      </c>
      <c r="D1073" s="142" t="s">
        <v>167</v>
      </c>
      <c r="E1073" s="142" t="s">
        <v>780</v>
      </c>
      <c r="F1073" s="140"/>
      <c r="G1073" s="30">
        <f>SUM(G1074)</f>
        <v>0</v>
      </c>
      <c r="H1073" s="30">
        <f>SUM(H1074)</f>
        <v>0</v>
      </c>
      <c r="I1073" s="20" t="e">
        <f t="shared" si="49"/>
        <v>#DIV/0!</v>
      </c>
      <c r="J1073" s="229"/>
      <c r="K1073" s="229">
        <f t="shared" si="52"/>
        <v>0</v>
      </c>
    </row>
    <row r="1074" spans="1:11" s="25" customFormat="1" ht="15" hidden="1" customHeight="1">
      <c r="A1074" s="94" t="s">
        <v>592</v>
      </c>
      <c r="B1074" s="142"/>
      <c r="C1074" s="142" t="s">
        <v>940</v>
      </c>
      <c r="D1074" s="142" t="s">
        <v>167</v>
      </c>
      <c r="E1074" s="142" t="s">
        <v>780</v>
      </c>
      <c r="F1074" s="140" t="s">
        <v>593</v>
      </c>
      <c r="G1074" s="30"/>
      <c r="H1074" s="30"/>
      <c r="I1074" s="20" t="e">
        <f t="shared" si="49"/>
        <v>#DIV/0!</v>
      </c>
      <c r="J1074" s="229"/>
      <c r="K1074" s="229">
        <f t="shared" si="52"/>
        <v>0</v>
      </c>
    </row>
    <row r="1075" spans="1:11" ht="104.25" customHeight="1">
      <c r="A1075" s="94" t="s">
        <v>868</v>
      </c>
      <c r="B1075" s="142"/>
      <c r="C1075" s="142" t="s">
        <v>940</v>
      </c>
      <c r="D1075" s="142" t="s">
        <v>167</v>
      </c>
      <c r="E1075" s="142" t="s">
        <v>327</v>
      </c>
      <c r="F1075" s="140"/>
      <c r="G1075" s="30">
        <f>SUM(G1076:G1077)</f>
        <v>7537</v>
      </c>
      <c r="H1075" s="30">
        <f>SUM(H1076:H1077)</f>
        <v>7067.4</v>
      </c>
      <c r="I1075" s="20">
        <f t="shared" si="49"/>
        <v>93.769404272256864</v>
      </c>
      <c r="K1075" s="229"/>
    </row>
    <row r="1076" spans="1:11" ht="18" customHeight="1">
      <c r="A1076" s="95" t="s">
        <v>592</v>
      </c>
      <c r="B1076" s="138"/>
      <c r="C1076" s="142" t="s">
        <v>940</v>
      </c>
      <c r="D1076" s="138" t="s">
        <v>167</v>
      </c>
      <c r="E1076" s="142" t="s">
        <v>327</v>
      </c>
      <c r="F1076" s="139" t="s">
        <v>593</v>
      </c>
      <c r="G1076" s="30">
        <v>7506.6</v>
      </c>
      <c r="H1076" s="30">
        <v>7037</v>
      </c>
      <c r="I1076" s="20">
        <f t="shared" si="49"/>
        <v>93.744171795486636</v>
      </c>
      <c r="J1076" s="229">
        <f>SUM(ведомствен.2013!G957)</f>
        <v>7506.6</v>
      </c>
      <c r="K1076" s="229">
        <f>SUM(G1076-J1076)</f>
        <v>0</v>
      </c>
    </row>
    <row r="1077" spans="1:11" ht="18.75" customHeight="1">
      <c r="A1077" s="115" t="s">
        <v>164</v>
      </c>
      <c r="B1077" s="138"/>
      <c r="C1077" s="142" t="s">
        <v>940</v>
      </c>
      <c r="D1077" s="138" t="s">
        <v>167</v>
      </c>
      <c r="E1077" s="142" t="s">
        <v>327</v>
      </c>
      <c r="F1077" s="139" t="s">
        <v>165</v>
      </c>
      <c r="G1077" s="30">
        <v>30.4</v>
      </c>
      <c r="H1077" s="30">
        <v>30.4</v>
      </c>
      <c r="I1077" s="20">
        <f t="shared" si="49"/>
        <v>100</v>
      </c>
      <c r="J1077" s="229">
        <f>SUM(ведомствен.2013!G958)</f>
        <v>30.4</v>
      </c>
      <c r="K1077" s="229">
        <f>SUM(G1077-J1077)</f>
        <v>0</v>
      </c>
    </row>
    <row r="1078" spans="1:11" ht="66" customHeight="1">
      <c r="A1078" s="97" t="s">
        <v>869</v>
      </c>
      <c r="B1078" s="160"/>
      <c r="C1078" s="160" t="s">
        <v>940</v>
      </c>
      <c r="D1078" s="160" t="s">
        <v>167</v>
      </c>
      <c r="E1078" s="160" t="s">
        <v>870</v>
      </c>
      <c r="F1078" s="141"/>
      <c r="G1078" s="209">
        <f>SUM(G1079)</f>
        <v>120748.1</v>
      </c>
      <c r="H1078" s="209">
        <f>SUM(H1079)</f>
        <v>120075</v>
      </c>
      <c r="I1078" s="20">
        <f t="shared" si="49"/>
        <v>99.442558516448699</v>
      </c>
      <c r="J1078" s="229"/>
      <c r="K1078" s="229"/>
    </row>
    <row r="1079" spans="1:11" ht="18" customHeight="1">
      <c r="A1079" s="97" t="s">
        <v>592</v>
      </c>
      <c r="B1079" s="160"/>
      <c r="C1079" s="160" t="s">
        <v>940</v>
      </c>
      <c r="D1079" s="160" t="s">
        <v>167</v>
      </c>
      <c r="E1079" s="160" t="s">
        <v>870</v>
      </c>
      <c r="F1079" s="141" t="s">
        <v>593</v>
      </c>
      <c r="G1079" s="209">
        <v>120748.1</v>
      </c>
      <c r="H1079" s="209">
        <v>120075</v>
      </c>
      <c r="I1079" s="20">
        <f t="shared" si="49"/>
        <v>99.442558516448699</v>
      </c>
      <c r="J1079" s="229">
        <f>SUM(ведомствен.2013!G960)</f>
        <v>120748.1</v>
      </c>
      <c r="K1079" s="229">
        <f>SUM(G1079-J1079)</f>
        <v>0</v>
      </c>
    </row>
    <row r="1080" spans="1:11" ht="93.75" customHeight="1">
      <c r="A1080" s="97" t="s">
        <v>871</v>
      </c>
      <c r="B1080" s="160"/>
      <c r="C1080" s="160" t="s">
        <v>940</v>
      </c>
      <c r="D1080" s="160" t="s">
        <v>167</v>
      </c>
      <c r="E1080" s="160" t="s">
        <v>872</v>
      </c>
      <c r="F1080" s="141"/>
      <c r="G1080" s="209">
        <f>SUM(G1081:G1082)</f>
        <v>985.3</v>
      </c>
      <c r="H1080" s="209">
        <f>SUM(H1081:H1082)</f>
        <v>905.19999999999993</v>
      </c>
      <c r="I1080" s="20">
        <f t="shared" si="49"/>
        <v>91.870496295544498</v>
      </c>
      <c r="J1080" s="229"/>
      <c r="K1080" s="229"/>
    </row>
    <row r="1081" spans="1:11" ht="18" customHeight="1">
      <c r="A1081" s="97" t="s">
        <v>592</v>
      </c>
      <c r="B1081" s="160"/>
      <c r="C1081" s="160" t="s">
        <v>940</v>
      </c>
      <c r="D1081" s="160" t="s">
        <v>167</v>
      </c>
      <c r="E1081" s="160" t="s">
        <v>872</v>
      </c>
      <c r="F1081" s="141" t="s">
        <v>593</v>
      </c>
      <c r="G1081" s="209">
        <v>980.4</v>
      </c>
      <c r="H1081" s="209">
        <v>900.3</v>
      </c>
      <c r="I1081" s="20">
        <f t="shared" si="49"/>
        <v>91.829865361077111</v>
      </c>
      <c r="J1081" s="229">
        <f>SUM(ведомствен.2013!G962)</f>
        <v>980.4</v>
      </c>
      <c r="K1081" s="229">
        <f>SUM(G1081-J1081)</f>
        <v>0</v>
      </c>
    </row>
    <row r="1082" spans="1:11" ht="18" customHeight="1">
      <c r="A1082" s="115" t="s">
        <v>164</v>
      </c>
      <c r="B1082" s="138"/>
      <c r="C1082" s="142" t="s">
        <v>940</v>
      </c>
      <c r="D1082" s="138" t="s">
        <v>167</v>
      </c>
      <c r="E1082" s="160" t="s">
        <v>872</v>
      </c>
      <c r="F1082" s="139" t="s">
        <v>165</v>
      </c>
      <c r="G1082" s="188">
        <v>4.9000000000000004</v>
      </c>
      <c r="H1082" s="188">
        <v>4.9000000000000004</v>
      </c>
      <c r="I1082" s="20">
        <f t="shared" si="49"/>
        <v>100</v>
      </c>
      <c r="J1082" s="229">
        <f>SUM(ведомствен.2013!G963)</f>
        <v>4.9000000000000004</v>
      </c>
      <c r="K1082" s="229">
        <f>SUM(G1082-J1082)</f>
        <v>0</v>
      </c>
    </row>
    <row r="1083" spans="1:11" ht="79.5" customHeight="1">
      <c r="A1083" s="97" t="s">
        <v>873</v>
      </c>
      <c r="B1083" s="160"/>
      <c r="C1083" s="160" t="s">
        <v>940</v>
      </c>
      <c r="D1083" s="160" t="s">
        <v>167</v>
      </c>
      <c r="E1083" s="160" t="s">
        <v>874</v>
      </c>
      <c r="F1083" s="141"/>
      <c r="G1083" s="209">
        <f>SUM(G1084)</f>
        <v>262.7</v>
      </c>
      <c r="H1083" s="209">
        <f>SUM(H1084)</f>
        <v>234</v>
      </c>
      <c r="I1083" s="20">
        <f t="shared" ref="I1083:I1146" si="53">SUM(H1083/G1083*100)</f>
        <v>89.074990483441198</v>
      </c>
      <c r="J1083" s="229"/>
      <c r="K1083" s="229"/>
    </row>
    <row r="1084" spans="1:11" ht="18" customHeight="1">
      <c r="A1084" s="97" t="s">
        <v>592</v>
      </c>
      <c r="B1084" s="160"/>
      <c r="C1084" s="160" t="s">
        <v>940</v>
      </c>
      <c r="D1084" s="160" t="s">
        <v>167</v>
      </c>
      <c r="E1084" s="160" t="s">
        <v>874</v>
      </c>
      <c r="F1084" s="141" t="s">
        <v>593</v>
      </c>
      <c r="G1084" s="209">
        <v>262.7</v>
      </c>
      <c r="H1084" s="209">
        <v>234</v>
      </c>
      <c r="I1084" s="20">
        <f t="shared" si="53"/>
        <v>89.074990483441198</v>
      </c>
      <c r="J1084" s="229">
        <f>SUM(ведомствен.2013!G965)</f>
        <v>262.7</v>
      </c>
      <c r="K1084" s="229">
        <f>SUM(G1084-J1084)</f>
        <v>0</v>
      </c>
    </row>
    <row r="1085" spans="1:11" ht="68.25" customHeight="1">
      <c r="A1085" s="97" t="s">
        <v>875</v>
      </c>
      <c r="B1085" s="160"/>
      <c r="C1085" s="160" t="s">
        <v>940</v>
      </c>
      <c r="D1085" s="160" t="s">
        <v>167</v>
      </c>
      <c r="E1085" s="160" t="s">
        <v>876</v>
      </c>
      <c r="F1085" s="141"/>
      <c r="G1085" s="209">
        <f>SUM(G1086)+G1087</f>
        <v>6405.1</v>
      </c>
      <c r="H1085" s="209">
        <f>SUM(H1086)+H1087</f>
        <v>5682.3</v>
      </c>
      <c r="I1085" s="20">
        <f t="shared" si="53"/>
        <v>88.715242541100054</v>
      </c>
      <c r="J1085" s="229"/>
      <c r="K1085" s="229"/>
    </row>
    <row r="1086" spans="1:11" ht="18" customHeight="1">
      <c r="A1086" s="97" t="s">
        <v>592</v>
      </c>
      <c r="B1086" s="160"/>
      <c r="C1086" s="160" t="s">
        <v>940</v>
      </c>
      <c r="D1086" s="160" t="s">
        <v>167</v>
      </c>
      <c r="E1086" s="160" t="s">
        <v>876</v>
      </c>
      <c r="F1086" s="141" t="s">
        <v>593</v>
      </c>
      <c r="G1086" s="209">
        <v>6391.1</v>
      </c>
      <c r="H1086" s="209">
        <v>5668.3</v>
      </c>
      <c r="I1086" s="20">
        <f t="shared" si="53"/>
        <v>88.690522758210633</v>
      </c>
      <c r="J1086" s="229">
        <f>SUM(ведомствен.2013!G967)</f>
        <v>6391.1</v>
      </c>
      <c r="K1086" s="229">
        <f>SUM(G1086-J1086)</f>
        <v>0</v>
      </c>
    </row>
    <row r="1087" spans="1:11" ht="18" customHeight="1">
      <c r="A1087" s="115" t="s">
        <v>164</v>
      </c>
      <c r="B1087" s="138"/>
      <c r="C1087" s="142" t="s">
        <v>940</v>
      </c>
      <c r="D1087" s="138" t="s">
        <v>167</v>
      </c>
      <c r="E1087" s="160" t="s">
        <v>876</v>
      </c>
      <c r="F1087" s="139" t="s">
        <v>165</v>
      </c>
      <c r="G1087" s="188">
        <v>14</v>
      </c>
      <c r="H1087" s="188">
        <v>14</v>
      </c>
      <c r="I1087" s="20">
        <f t="shared" si="53"/>
        <v>100</v>
      </c>
      <c r="J1087" s="229">
        <f>SUM(ведомствен.2013!G968)</f>
        <v>14</v>
      </c>
      <c r="K1087" s="229">
        <f>SUM(G1087-J1087)</f>
        <v>0</v>
      </c>
    </row>
    <row r="1088" spans="1:11" ht="41.25" customHeight="1">
      <c r="A1088" s="97" t="s">
        <v>877</v>
      </c>
      <c r="B1088" s="160"/>
      <c r="C1088" s="160" t="s">
        <v>940</v>
      </c>
      <c r="D1088" s="160" t="s">
        <v>167</v>
      </c>
      <c r="E1088" s="160" t="s">
        <v>878</v>
      </c>
      <c r="F1088" s="141"/>
      <c r="G1088" s="209">
        <f>SUM(G1089)</f>
        <v>5777.2</v>
      </c>
      <c r="H1088" s="209">
        <f>SUM(H1089)</f>
        <v>5774.4</v>
      </c>
      <c r="I1088" s="20">
        <f t="shared" si="53"/>
        <v>99.951533614899944</v>
      </c>
      <c r="J1088" s="229"/>
      <c r="K1088" s="229"/>
    </row>
    <row r="1089" spans="1:11" ht="18" customHeight="1">
      <c r="A1089" s="97" t="s">
        <v>592</v>
      </c>
      <c r="B1089" s="160"/>
      <c r="C1089" s="160" t="s">
        <v>940</v>
      </c>
      <c r="D1089" s="160" t="s">
        <v>167</v>
      </c>
      <c r="E1089" s="160" t="s">
        <v>878</v>
      </c>
      <c r="F1089" s="141" t="s">
        <v>593</v>
      </c>
      <c r="G1089" s="209">
        <v>5777.2</v>
      </c>
      <c r="H1089" s="209">
        <v>5774.4</v>
      </c>
      <c r="I1089" s="20">
        <f t="shared" si="53"/>
        <v>99.951533614899944</v>
      </c>
      <c r="J1089" s="229">
        <f>SUM(ведомствен.2013!G970)</f>
        <v>5777.2</v>
      </c>
      <c r="K1089" s="229">
        <f>SUM(G1089-J1089)</f>
        <v>0</v>
      </c>
    </row>
    <row r="1090" spans="1:11" ht="45" customHeight="1">
      <c r="A1090" s="170" t="s">
        <v>879</v>
      </c>
      <c r="B1090" s="160"/>
      <c r="C1090" s="160" t="s">
        <v>940</v>
      </c>
      <c r="D1090" s="160" t="s">
        <v>167</v>
      </c>
      <c r="E1090" s="160" t="s">
        <v>880</v>
      </c>
      <c r="F1090" s="141"/>
      <c r="G1090" s="209">
        <f>SUM(G1091)+G1092</f>
        <v>1922</v>
      </c>
      <c r="H1090" s="209">
        <f>SUM(H1091)+H1092</f>
        <v>1830</v>
      </c>
      <c r="I1090" s="20">
        <f t="shared" si="53"/>
        <v>95.21331945889699</v>
      </c>
      <c r="J1090" s="229"/>
      <c r="K1090" s="229"/>
    </row>
    <row r="1091" spans="1:11" ht="18" customHeight="1">
      <c r="A1091" s="97" t="s">
        <v>592</v>
      </c>
      <c r="B1091" s="160"/>
      <c r="C1091" s="160" t="s">
        <v>940</v>
      </c>
      <c r="D1091" s="160" t="s">
        <v>167</v>
      </c>
      <c r="E1091" s="160" t="s">
        <v>880</v>
      </c>
      <c r="F1091" s="141" t="s">
        <v>593</v>
      </c>
      <c r="G1091" s="209">
        <v>1656.4</v>
      </c>
      <c r="H1091" s="209">
        <v>1564.4</v>
      </c>
      <c r="I1091" s="20">
        <f t="shared" si="53"/>
        <v>94.445786042018824</v>
      </c>
      <c r="J1091" s="229">
        <f>SUM(ведомствен.2013!G972)</f>
        <v>1656.4</v>
      </c>
      <c r="K1091" s="229">
        <f>SUM(G1091-J1091)</f>
        <v>0</v>
      </c>
    </row>
    <row r="1092" spans="1:11" ht="48.75" customHeight="1">
      <c r="A1092" s="97" t="s">
        <v>954</v>
      </c>
      <c r="B1092" s="160"/>
      <c r="C1092" s="160" t="s">
        <v>940</v>
      </c>
      <c r="D1092" s="160" t="s">
        <v>167</v>
      </c>
      <c r="E1092" s="160" t="s">
        <v>880</v>
      </c>
      <c r="F1092" s="141" t="s">
        <v>51</v>
      </c>
      <c r="G1092" s="184">
        <v>265.60000000000002</v>
      </c>
      <c r="H1092" s="184">
        <v>265.60000000000002</v>
      </c>
      <c r="I1092" s="20">
        <f t="shared" si="53"/>
        <v>100</v>
      </c>
      <c r="J1092" s="229">
        <f>SUM(ведомствен.2013!G973)</f>
        <v>265.60000000000002</v>
      </c>
      <c r="K1092" s="229">
        <f>SUM(G1092-J1092)</f>
        <v>0</v>
      </c>
    </row>
    <row r="1093" spans="1:11" ht="45" customHeight="1">
      <c r="A1093" s="97" t="s">
        <v>881</v>
      </c>
      <c r="B1093" s="160"/>
      <c r="C1093" s="160" t="s">
        <v>940</v>
      </c>
      <c r="D1093" s="160" t="s">
        <v>167</v>
      </c>
      <c r="E1093" s="160" t="s">
        <v>882</v>
      </c>
      <c r="F1093" s="141"/>
      <c r="G1093" s="209">
        <f>SUM(G1094)</f>
        <v>6123.8</v>
      </c>
      <c r="H1093" s="209">
        <f>SUM(H1094)</f>
        <v>6174.9</v>
      </c>
      <c r="I1093" s="20">
        <f t="shared" si="53"/>
        <v>100.83444919821025</v>
      </c>
      <c r="K1093" s="229"/>
    </row>
    <row r="1094" spans="1:11" ht="18" customHeight="1">
      <c r="A1094" s="97" t="s">
        <v>592</v>
      </c>
      <c r="B1094" s="160"/>
      <c r="C1094" s="160" t="s">
        <v>940</v>
      </c>
      <c r="D1094" s="160" t="s">
        <v>167</v>
      </c>
      <c r="E1094" s="160" t="s">
        <v>882</v>
      </c>
      <c r="F1094" s="141" t="s">
        <v>593</v>
      </c>
      <c r="G1094" s="209">
        <v>6123.8</v>
      </c>
      <c r="H1094" s="209">
        <v>6174.9</v>
      </c>
      <c r="I1094" s="20">
        <f t="shared" si="53"/>
        <v>100.83444919821025</v>
      </c>
      <c r="J1094" s="229">
        <f>SUM(ведомствен.2013!G975)</f>
        <v>6123.8</v>
      </c>
      <c r="K1094" s="229">
        <f>SUM(G1094-J1094)</f>
        <v>0</v>
      </c>
    </row>
    <row r="1095" spans="1:11" ht="18" customHeight="1">
      <c r="A1095" s="95" t="s">
        <v>328</v>
      </c>
      <c r="B1095" s="138"/>
      <c r="C1095" s="142" t="s">
        <v>940</v>
      </c>
      <c r="D1095" s="142" t="s">
        <v>167</v>
      </c>
      <c r="E1095" s="142" t="s">
        <v>329</v>
      </c>
      <c r="F1095" s="140"/>
      <c r="G1095" s="30">
        <f>SUM(G1096)</f>
        <v>9748.1</v>
      </c>
      <c r="H1095" s="30">
        <f>SUM(H1096)</f>
        <v>9477.1</v>
      </c>
      <c r="I1095" s="20">
        <f t="shared" si="53"/>
        <v>97.219971071285684</v>
      </c>
      <c r="K1095" s="229"/>
    </row>
    <row r="1096" spans="1:11" ht="18" customHeight="1">
      <c r="A1096" s="95" t="s">
        <v>592</v>
      </c>
      <c r="B1096" s="138"/>
      <c r="C1096" s="142" t="s">
        <v>940</v>
      </c>
      <c r="D1096" s="142" t="s">
        <v>167</v>
      </c>
      <c r="E1096" s="142" t="s">
        <v>329</v>
      </c>
      <c r="F1096" s="140" t="s">
        <v>593</v>
      </c>
      <c r="G1096" s="30">
        <v>9748.1</v>
      </c>
      <c r="H1096" s="30">
        <v>9477.1</v>
      </c>
      <c r="I1096" s="20">
        <f t="shared" si="53"/>
        <v>97.219971071285684</v>
      </c>
      <c r="J1096" s="229">
        <f>SUM(ведомствен.2013!G1496)</f>
        <v>9748.1</v>
      </c>
      <c r="K1096" s="229">
        <f>SUM(G1096-J1096)</f>
        <v>0</v>
      </c>
    </row>
    <row r="1097" spans="1:11" ht="30.75" customHeight="1">
      <c r="A1097" s="95" t="s">
        <v>330</v>
      </c>
      <c r="B1097" s="138"/>
      <c r="C1097" s="142" t="s">
        <v>940</v>
      </c>
      <c r="D1097" s="138" t="s">
        <v>167</v>
      </c>
      <c r="E1097" s="138" t="s">
        <v>331</v>
      </c>
      <c r="F1097" s="140"/>
      <c r="G1097" s="30">
        <f>SUM(G1098)</f>
        <v>1078</v>
      </c>
      <c r="H1097" s="30">
        <f>SUM(H1098)</f>
        <v>1078</v>
      </c>
      <c r="I1097" s="20">
        <f t="shared" si="53"/>
        <v>100</v>
      </c>
      <c r="K1097" s="229"/>
    </row>
    <row r="1098" spans="1:11" ht="15">
      <c r="A1098" s="94" t="s">
        <v>332</v>
      </c>
      <c r="B1098" s="138"/>
      <c r="C1098" s="142" t="s">
        <v>940</v>
      </c>
      <c r="D1098" s="138" t="s">
        <v>167</v>
      </c>
      <c r="E1098" s="138" t="s">
        <v>333</v>
      </c>
      <c r="F1098" s="140"/>
      <c r="G1098" s="30">
        <f>SUM(G1099:G1099)</f>
        <v>1078</v>
      </c>
      <c r="H1098" s="30">
        <f>SUM(H1099:H1099)</f>
        <v>1078</v>
      </c>
      <c r="I1098" s="20">
        <f t="shared" si="53"/>
        <v>100</v>
      </c>
      <c r="K1098" s="229"/>
    </row>
    <row r="1099" spans="1:11" ht="13.5" customHeight="1">
      <c r="A1099" s="95" t="s">
        <v>592</v>
      </c>
      <c r="B1099" s="138"/>
      <c r="C1099" s="142" t="s">
        <v>940</v>
      </c>
      <c r="D1099" s="138" t="s">
        <v>167</v>
      </c>
      <c r="E1099" s="138" t="s">
        <v>333</v>
      </c>
      <c r="F1099" s="140" t="s">
        <v>593</v>
      </c>
      <c r="G1099" s="30">
        <v>1078</v>
      </c>
      <c r="H1099" s="30">
        <v>1078</v>
      </c>
      <c r="I1099" s="20">
        <f t="shared" si="53"/>
        <v>100</v>
      </c>
      <c r="J1099" s="229">
        <f>SUM(ведомствен.2013!G978)</f>
        <v>1078</v>
      </c>
      <c r="K1099" s="229">
        <f>SUM(G1099-J1099)</f>
        <v>0</v>
      </c>
    </row>
    <row r="1100" spans="1:11" ht="45" customHeight="1">
      <c r="A1100" s="94" t="s">
        <v>1050</v>
      </c>
      <c r="B1100" s="138"/>
      <c r="C1100" s="142" t="s">
        <v>940</v>
      </c>
      <c r="D1100" s="138" t="s">
        <v>167</v>
      </c>
      <c r="E1100" s="138" t="s">
        <v>1053</v>
      </c>
      <c r="F1100" s="140"/>
      <c r="G1100" s="81">
        <f t="shared" ref="G1100:H1102" si="54">SUM(G1101)</f>
        <v>85.9</v>
      </c>
      <c r="H1100" s="81">
        <f t="shared" si="54"/>
        <v>0</v>
      </c>
      <c r="I1100" s="20">
        <f t="shared" si="53"/>
        <v>0</v>
      </c>
      <c r="J1100" s="229"/>
      <c r="K1100" s="229"/>
    </row>
    <row r="1101" spans="1:11" ht="46.5" customHeight="1">
      <c r="A1101" s="94" t="s">
        <v>1051</v>
      </c>
      <c r="B1101" s="138"/>
      <c r="C1101" s="142" t="s">
        <v>940</v>
      </c>
      <c r="D1101" s="138" t="s">
        <v>167</v>
      </c>
      <c r="E1101" s="138" t="s">
        <v>1054</v>
      </c>
      <c r="F1101" s="140"/>
      <c r="G1101" s="81">
        <f t="shared" si="54"/>
        <v>85.9</v>
      </c>
      <c r="H1101" s="81">
        <f t="shared" si="54"/>
        <v>0</v>
      </c>
      <c r="I1101" s="20">
        <f t="shared" si="53"/>
        <v>0</v>
      </c>
      <c r="J1101" s="229"/>
      <c r="K1101" s="229"/>
    </row>
    <row r="1102" spans="1:11" ht="30" customHeight="1">
      <c r="A1102" s="94" t="s">
        <v>1052</v>
      </c>
      <c r="B1102" s="138"/>
      <c r="C1102" s="142" t="s">
        <v>940</v>
      </c>
      <c r="D1102" s="138" t="s">
        <v>167</v>
      </c>
      <c r="E1102" s="138" t="s">
        <v>1055</v>
      </c>
      <c r="F1102" s="140"/>
      <c r="G1102" s="81">
        <f t="shared" si="54"/>
        <v>85.9</v>
      </c>
      <c r="H1102" s="81">
        <f t="shared" si="54"/>
        <v>0</v>
      </c>
      <c r="I1102" s="20">
        <f t="shared" si="53"/>
        <v>0</v>
      </c>
      <c r="J1102" s="229"/>
      <c r="K1102" s="229"/>
    </row>
    <row r="1103" spans="1:11" ht="13.5" customHeight="1">
      <c r="A1103" s="94" t="s">
        <v>592</v>
      </c>
      <c r="B1103" s="138"/>
      <c r="C1103" s="142" t="s">
        <v>940</v>
      </c>
      <c r="D1103" s="138" t="s">
        <v>167</v>
      </c>
      <c r="E1103" s="138" t="s">
        <v>1055</v>
      </c>
      <c r="F1103" s="140" t="s">
        <v>593</v>
      </c>
      <c r="G1103" s="81">
        <v>85.9</v>
      </c>
      <c r="H1103" s="81"/>
      <c r="I1103" s="20">
        <f t="shared" si="53"/>
        <v>0</v>
      </c>
      <c r="J1103" s="229">
        <f>SUM(ведомствен.2013!G982)</f>
        <v>85.9</v>
      </c>
      <c r="K1103" s="229">
        <f>SUM(G1103-J1103)</f>
        <v>0</v>
      </c>
    </row>
    <row r="1104" spans="1:11" s="32" customFormat="1" ht="15">
      <c r="A1104" s="95" t="s">
        <v>932</v>
      </c>
      <c r="B1104" s="109"/>
      <c r="C1104" s="142" t="s">
        <v>940</v>
      </c>
      <c r="D1104" s="142" t="s">
        <v>167</v>
      </c>
      <c r="E1104" s="142" t="s">
        <v>933</v>
      </c>
      <c r="F1104" s="144"/>
      <c r="G1104" s="204">
        <f>SUM(G1105)</f>
        <v>3424.5</v>
      </c>
      <c r="H1104" s="204">
        <f>SUM(H1105)</f>
        <v>3160.9</v>
      </c>
      <c r="I1104" s="20">
        <f t="shared" si="53"/>
        <v>92.302525916192153</v>
      </c>
      <c r="J1104" s="236"/>
      <c r="K1104" s="229"/>
    </row>
    <row r="1105" spans="1:11" s="32" customFormat="1" ht="42.75">
      <c r="A1105" s="245" t="s">
        <v>1032</v>
      </c>
      <c r="B1105" s="143"/>
      <c r="C1105" s="142" t="s">
        <v>940</v>
      </c>
      <c r="D1105" s="142" t="s">
        <v>167</v>
      </c>
      <c r="E1105" s="142" t="s">
        <v>826</v>
      </c>
      <c r="F1105" s="144"/>
      <c r="G1105" s="204">
        <f>SUM(G1106)+G1109</f>
        <v>3424.5</v>
      </c>
      <c r="H1105" s="204">
        <f>SUM(H1106)+H1109</f>
        <v>3160.9</v>
      </c>
      <c r="I1105" s="20">
        <f t="shared" si="53"/>
        <v>92.302525916192153</v>
      </c>
      <c r="J1105" s="236"/>
      <c r="K1105" s="229"/>
    </row>
    <row r="1106" spans="1:11" s="32" customFormat="1" ht="31.5" customHeight="1">
      <c r="A1106" s="95" t="s">
        <v>335</v>
      </c>
      <c r="B1106" s="143"/>
      <c r="C1106" s="142" t="s">
        <v>940</v>
      </c>
      <c r="D1106" s="142" t="s">
        <v>167</v>
      </c>
      <c r="E1106" s="142" t="s">
        <v>336</v>
      </c>
      <c r="F1106" s="144"/>
      <c r="G1106" s="204">
        <f>SUM(G1107:G1108)</f>
        <v>3424.5</v>
      </c>
      <c r="H1106" s="204">
        <f>SUM(H1107:H1108)</f>
        <v>3160.9</v>
      </c>
      <c r="I1106" s="20">
        <f t="shared" si="53"/>
        <v>92.302525916192153</v>
      </c>
      <c r="J1106" s="236"/>
      <c r="K1106" s="229"/>
    </row>
    <row r="1107" spans="1:11" s="32" customFormat="1" ht="21.75" customHeight="1">
      <c r="A1107" s="220" t="s">
        <v>979</v>
      </c>
      <c r="B1107" s="143"/>
      <c r="C1107" s="142" t="s">
        <v>940</v>
      </c>
      <c r="D1107" s="142" t="s">
        <v>167</v>
      </c>
      <c r="E1107" s="142" t="s">
        <v>336</v>
      </c>
      <c r="F1107" s="144" t="s">
        <v>980</v>
      </c>
      <c r="G1107" s="82">
        <v>3424.5</v>
      </c>
      <c r="H1107" s="82">
        <v>3160.9</v>
      </c>
      <c r="I1107" s="20">
        <f t="shared" si="53"/>
        <v>92.302525916192153</v>
      </c>
      <c r="J1107" s="236">
        <f>SUM(ведомствен.2013!G675)</f>
        <v>3424.5</v>
      </c>
      <c r="K1107" s="229">
        <f>SUM(G1107-J1107)</f>
        <v>0</v>
      </c>
    </row>
    <row r="1108" spans="1:11" s="32" customFormat="1" ht="15" hidden="1" customHeight="1">
      <c r="A1108" s="95" t="s">
        <v>503</v>
      </c>
      <c r="B1108" s="143"/>
      <c r="C1108" s="142" t="s">
        <v>940</v>
      </c>
      <c r="D1108" s="142" t="s">
        <v>167</v>
      </c>
      <c r="E1108" s="142" t="s">
        <v>336</v>
      </c>
      <c r="F1108" s="144" t="s">
        <v>505</v>
      </c>
      <c r="G1108" s="204"/>
      <c r="H1108" s="204"/>
      <c r="I1108" s="20" t="e">
        <f t="shared" si="53"/>
        <v>#DIV/0!</v>
      </c>
      <c r="J1108" s="236">
        <f>SUM(ведомствен.2013!G676)</f>
        <v>0</v>
      </c>
      <c r="K1108" s="229">
        <f>SUM(G1108-J1108)</f>
        <v>0</v>
      </c>
    </row>
    <row r="1109" spans="1:11" s="32" customFormat="1" ht="28.5" hidden="1">
      <c r="A1109" s="95" t="s">
        <v>506</v>
      </c>
      <c r="B1109" s="143"/>
      <c r="C1109" s="142" t="s">
        <v>940</v>
      </c>
      <c r="D1109" s="142" t="s">
        <v>167</v>
      </c>
      <c r="E1109" s="142" t="s">
        <v>504</v>
      </c>
      <c r="F1109" s="144"/>
      <c r="G1109" s="204">
        <f>SUM(G1110)</f>
        <v>0</v>
      </c>
      <c r="H1109" s="204">
        <f>SUM(H1110)</f>
        <v>0</v>
      </c>
      <c r="I1109" s="20" t="e">
        <f t="shared" si="53"/>
        <v>#DIV/0!</v>
      </c>
      <c r="J1109" s="236"/>
      <c r="K1109" s="229">
        <f>SUM(G1109-J1109)</f>
        <v>0</v>
      </c>
    </row>
    <row r="1110" spans="1:11" s="32" customFormat="1" ht="15" hidden="1">
      <c r="A1110" s="95" t="s">
        <v>503</v>
      </c>
      <c r="B1110" s="143"/>
      <c r="C1110" s="142" t="s">
        <v>940</v>
      </c>
      <c r="D1110" s="142" t="s">
        <v>167</v>
      </c>
      <c r="E1110" s="142" t="s">
        <v>504</v>
      </c>
      <c r="F1110" s="144" t="s">
        <v>505</v>
      </c>
      <c r="G1110" s="204"/>
      <c r="H1110" s="204"/>
      <c r="I1110" s="20" t="e">
        <f t="shared" si="53"/>
        <v>#DIV/0!</v>
      </c>
      <c r="J1110" s="236"/>
      <c r="K1110" s="229">
        <f>SUM(G1110-J1110)</f>
        <v>0</v>
      </c>
    </row>
    <row r="1111" spans="1:11" ht="18" customHeight="1">
      <c r="A1111" s="97" t="s">
        <v>200</v>
      </c>
      <c r="B1111" s="138"/>
      <c r="C1111" s="142" t="s">
        <v>940</v>
      </c>
      <c r="D1111" s="142" t="s">
        <v>167</v>
      </c>
      <c r="E1111" s="142" t="s">
        <v>201</v>
      </c>
      <c r="F1111" s="140"/>
      <c r="G1111" s="30">
        <f>SUM(G1116+G1112+G1120)+G1124+G1122+G1114</f>
        <v>3803.3</v>
      </c>
      <c r="H1111" s="30">
        <f>SUM(H1116+H1112+H1120)+H1124+H1122+H1114</f>
        <v>3646.3999999999996</v>
      </c>
      <c r="I1111" s="20">
        <f t="shared" si="53"/>
        <v>95.874635185233856</v>
      </c>
      <c r="K1111" s="229"/>
    </row>
    <row r="1112" spans="1:11" ht="44.25" customHeight="1">
      <c r="A1112" s="97" t="s">
        <v>1033</v>
      </c>
      <c r="B1112" s="142"/>
      <c r="C1112" s="142" t="s">
        <v>940</v>
      </c>
      <c r="D1112" s="142" t="s">
        <v>167</v>
      </c>
      <c r="E1112" s="142" t="s">
        <v>1034</v>
      </c>
      <c r="F1112" s="140"/>
      <c r="G1112" s="81">
        <f>SUM(G1113)</f>
        <v>1281.5999999999999</v>
      </c>
      <c r="H1112" s="81">
        <f>SUM(H1113)</f>
        <v>1281.5999999999999</v>
      </c>
      <c r="I1112" s="20">
        <f t="shared" si="53"/>
        <v>100</v>
      </c>
      <c r="K1112" s="229"/>
    </row>
    <row r="1113" spans="1:11" ht="19.5" customHeight="1">
      <c r="A1113" s="220" t="s">
        <v>979</v>
      </c>
      <c r="B1113" s="142"/>
      <c r="C1113" s="142" t="s">
        <v>940</v>
      </c>
      <c r="D1113" s="142" t="s">
        <v>167</v>
      </c>
      <c r="E1113" s="142" t="s">
        <v>1034</v>
      </c>
      <c r="F1113" s="140" t="s">
        <v>980</v>
      </c>
      <c r="G1113" s="81">
        <v>1281.5999999999999</v>
      </c>
      <c r="H1113" s="81">
        <v>1281.5999999999999</v>
      </c>
      <c r="I1113" s="20">
        <f t="shared" si="53"/>
        <v>100</v>
      </c>
      <c r="J1113" s="225">
        <f>SUM(ведомствен.2013!G683)</f>
        <v>1281.5999999999999</v>
      </c>
      <c r="K1113" s="229">
        <f>SUM(G1113-J1113)</f>
        <v>0</v>
      </c>
    </row>
    <row r="1114" spans="1:11" ht="45.75" customHeight="1">
      <c r="A1114" s="94" t="s">
        <v>1056</v>
      </c>
      <c r="B1114" s="146"/>
      <c r="C1114" s="142" t="s">
        <v>940</v>
      </c>
      <c r="D1114" s="142" t="s">
        <v>167</v>
      </c>
      <c r="E1114" s="142" t="s">
        <v>1057</v>
      </c>
      <c r="F1114" s="140"/>
      <c r="G1114" s="81">
        <f>SUM(G1115)</f>
        <v>533</v>
      </c>
      <c r="H1114" s="81">
        <f>SUM(H1115)</f>
        <v>533</v>
      </c>
      <c r="I1114" s="20">
        <f t="shared" si="53"/>
        <v>100</v>
      </c>
      <c r="K1114" s="229"/>
    </row>
    <row r="1115" spans="1:11" ht="19.5" customHeight="1">
      <c r="A1115" s="94" t="s">
        <v>332</v>
      </c>
      <c r="B1115" s="146"/>
      <c r="C1115" s="142" t="s">
        <v>940</v>
      </c>
      <c r="D1115" s="142" t="s">
        <v>167</v>
      </c>
      <c r="E1115" s="142" t="s">
        <v>1057</v>
      </c>
      <c r="F1115" s="140" t="s">
        <v>508</v>
      </c>
      <c r="G1115" s="81">
        <v>533</v>
      </c>
      <c r="H1115" s="81">
        <v>533</v>
      </c>
      <c r="I1115" s="20">
        <f t="shared" si="53"/>
        <v>100</v>
      </c>
      <c r="J1115" s="225">
        <f>SUM(ведомствен.2013!G989)</f>
        <v>533</v>
      </c>
      <c r="K1115" s="229">
        <f t="shared" ref="K1115:K1123" si="55">SUM(G1115-J1115)</f>
        <v>0</v>
      </c>
    </row>
    <row r="1116" spans="1:11" ht="15" hidden="1" customHeight="1">
      <c r="A1116" s="115" t="s">
        <v>164</v>
      </c>
      <c r="B1116" s="138"/>
      <c r="C1116" s="142" t="s">
        <v>940</v>
      </c>
      <c r="D1116" s="142" t="s">
        <v>167</v>
      </c>
      <c r="E1116" s="142" t="s">
        <v>201</v>
      </c>
      <c r="F1116" s="140" t="s">
        <v>165</v>
      </c>
      <c r="G1116" s="30">
        <f>SUM(G1117:G1117)</f>
        <v>0</v>
      </c>
      <c r="H1116" s="30">
        <f>SUM(H1117:H1117)</f>
        <v>0</v>
      </c>
      <c r="I1116" s="20" t="e">
        <f t="shared" si="53"/>
        <v>#DIV/0!</v>
      </c>
      <c r="K1116" s="229">
        <f t="shared" si="55"/>
        <v>0</v>
      </c>
    </row>
    <row r="1117" spans="1:11" ht="28.5" hidden="1" customHeight="1">
      <c r="A1117" s="115" t="s">
        <v>27</v>
      </c>
      <c r="B1117" s="138"/>
      <c r="C1117" s="142" t="s">
        <v>940</v>
      </c>
      <c r="D1117" s="142" t="s">
        <v>167</v>
      </c>
      <c r="E1117" s="154" t="s">
        <v>28</v>
      </c>
      <c r="F1117" s="139" t="s">
        <v>165</v>
      </c>
      <c r="G1117" s="30">
        <f>SUM(G1118:G1119)</f>
        <v>0</v>
      </c>
      <c r="H1117" s="30">
        <f>SUM(H1118:H1119)</f>
        <v>0</v>
      </c>
      <c r="I1117" s="20" t="e">
        <f t="shared" si="53"/>
        <v>#DIV/0!</v>
      </c>
      <c r="K1117" s="229">
        <f t="shared" si="55"/>
        <v>0</v>
      </c>
    </row>
    <row r="1118" spans="1:11" s="29" customFormat="1" ht="28.5" hidden="1" customHeight="1">
      <c r="A1118" s="95" t="s">
        <v>335</v>
      </c>
      <c r="B1118" s="142"/>
      <c r="C1118" s="142" t="s">
        <v>940</v>
      </c>
      <c r="D1118" s="142" t="s">
        <v>167</v>
      </c>
      <c r="E1118" s="154" t="s">
        <v>509</v>
      </c>
      <c r="F1118" s="139" t="s">
        <v>165</v>
      </c>
      <c r="G1118" s="204"/>
      <c r="H1118" s="204"/>
      <c r="I1118" s="20" t="e">
        <f t="shared" si="53"/>
        <v>#DIV/0!</v>
      </c>
      <c r="J1118" s="234"/>
      <c r="K1118" s="229">
        <f t="shared" si="55"/>
        <v>0</v>
      </c>
    </row>
    <row r="1119" spans="1:11" s="29" customFormat="1" ht="28.5" hidden="1" customHeight="1">
      <c r="A1119" s="95" t="s">
        <v>277</v>
      </c>
      <c r="B1119" s="142"/>
      <c r="C1119" s="142" t="s">
        <v>940</v>
      </c>
      <c r="D1119" s="142" t="s">
        <v>167</v>
      </c>
      <c r="E1119" s="154" t="s">
        <v>278</v>
      </c>
      <c r="F1119" s="139" t="s">
        <v>165</v>
      </c>
      <c r="G1119" s="204"/>
      <c r="H1119" s="204"/>
      <c r="I1119" s="20" t="e">
        <f t="shared" si="53"/>
        <v>#DIV/0!</v>
      </c>
      <c r="J1119" s="234"/>
      <c r="K1119" s="229">
        <f t="shared" si="55"/>
        <v>0</v>
      </c>
    </row>
    <row r="1120" spans="1:11" ht="42.75" hidden="1" customHeight="1">
      <c r="A1120" s="115" t="s">
        <v>609</v>
      </c>
      <c r="B1120" s="138"/>
      <c r="C1120" s="142" t="s">
        <v>940</v>
      </c>
      <c r="D1120" s="142" t="s">
        <v>167</v>
      </c>
      <c r="E1120" s="142" t="s">
        <v>610</v>
      </c>
      <c r="F1120" s="140"/>
      <c r="G1120" s="30">
        <f>SUM(G1121)</f>
        <v>0</v>
      </c>
      <c r="H1120" s="30">
        <f>SUM(H1121)</f>
        <v>0</v>
      </c>
      <c r="I1120" s="20" t="e">
        <f t="shared" si="53"/>
        <v>#DIV/0!</v>
      </c>
      <c r="K1120" s="229">
        <f t="shared" si="55"/>
        <v>0</v>
      </c>
    </row>
    <row r="1121" spans="1:11" ht="15" hidden="1" customHeight="1">
      <c r="A1121" s="115" t="s">
        <v>164</v>
      </c>
      <c r="B1121" s="138"/>
      <c r="C1121" s="142" t="s">
        <v>940</v>
      </c>
      <c r="D1121" s="142" t="s">
        <v>167</v>
      </c>
      <c r="E1121" s="142" t="s">
        <v>610</v>
      </c>
      <c r="F1121" s="140" t="s">
        <v>165</v>
      </c>
      <c r="G1121" s="30"/>
      <c r="H1121" s="30"/>
      <c r="I1121" s="20" t="e">
        <f t="shared" si="53"/>
        <v>#DIV/0!</v>
      </c>
      <c r="J1121" s="225">
        <f>SUM(ведомствен.2013!G1116)</f>
        <v>0</v>
      </c>
      <c r="K1121" s="229">
        <f t="shared" si="55"/>
        <v>0</v>
      </c>
    </row>
    <row r="1122" spans="1:11" s="25" customFormat="1" ht="42.75" hidden="1">
      <c r="A1122" s="94" t="s">
        <v>272</v>
      </c>
      <c r="B1122" s="142"/>
      <c r="C1122" s="142" t="s">
        <v>940</v>
      </c>
      <c r="D1122" s="142" t="s">
        <v>167</v>
      </c>
      <c r="E1122" s="142" t="s">
        <v>271</v>
      </c>
      <c r="F1122" s="140"/>
      <c r="G1122" s="30">
        <f>SUM(G1123)</f>
        <v>0</v>
      </c>
      <c r="H1122" s="30">
        <f>SUM(H1123)</f>
        <v>0</v>
      </c>
      <c r="I1122" s="20" t="e">
        <f t="shared" si="53"/>
        <v>#DIV/0!</v>
      </c>
      <c r="J1122" s="229">
        <f>SUM(ведомствен.2013!G986)</f>
        <v>0</v>
      </c>
      <c r="K1122" s="229">
        <f t="shared" si="55"/>
        <v>0</v>
      </c>
    </row>
    <row r="1123" spans="1:11" s="25" customFormat="1" ht="15" hidden="1" customHeight="1">
      <c r="A1123" s="94" t="s">
        <v>332</v>
      </c>
      <c r="B1123" s="146"/>
      <c r="C1123" s="142" t="s">
        <v>940</v>
      </c>
      <c r="D1123" s="142" t="s">
        <v>167</v>
      </c>
      <c r="E1123" s="142" t="s">
        <v>271</v>
      </c>
      <c r="F1123" s="140" t="s">
        <v>508</v>
      </c>
      <c r="G1123" s="30"/>
      <c r="H1123" s="30"/>
      <c r="I1123" s="20" t="e">
        <f t="shared" si="53"/>
        <v>#DIV/0!</v>
      </c>
      <c r="J1123" s="229"/>
      <c r="K1123" s="229">
        <f t="shared" si="55"/>
        <v>0</v>
      </c>
    </row>
    <row r="1124" spans="1:11" ht="36" customHeight="1">
      <c r="A1124" s="115" t="s">
        <v>911</v>
      </c>
      <c r="B1124" s="138"/>
      <c r="C1124" s="142" t="s">
        <v>940</v>
      </c>
      <c r="D1124" s="142" t="s">
        <v>167</v>
      </c>
      <c r="E1124" s="154" t="s">
        <v>28</v>
      </c>
      <c r="F1124" s="139"/>
      <c r="G1124" s="30">
        <f>SUM(G1126)</f>
        <v>1988.7</v>
      </c>
      <c r="H1124" s="30">
        <f>SUM(H1126)</f>
        <v>1831.8</v>
      </c>
      <c r="I1124" s="20">
        <f t="shared" si="53"/>
        <v>92.11042389500679</v>
      </c>
      <c r="K1124" s="229"/>
    </row>
    <row r="1125" spans="1:11" ht="28.5" hidden="1" customHeight="1">
      <c r="A1125" s="115" t="s">
        <v>900</v>
      </c>
      <c r="B1125" s="138"/>
      <c r="C1125" s="142" t="s">
        <v>940</v>
      </c>
      <c r="D1125" s="142" t="s">
        <v>167</v>
      </c>
      <c r="E1125" s="154" t="s">
        <v>901</v>
      </c>
      <c r="F1125" s="139"/>
      <c r="G1125" s="81"/>
      <c r="H1125" s="81"/>
      <c r="I1125" s="20" t="e">
        <f t="shared" si="53"/>
        <v>#DIV/0!</v>
      </c>
      <c r="K1125" s="229">
        <f>SUM(G1125-J1125)</f>
        <v>0</v>
      </c>
    </row>
    <row r="1126" spans="1:11" ht="21" customHeight="1">
      <c r="A1126" s="220" t="s">
        <v>979</v>
      </c>
      <c r="B1126" s="143"/>
      <c r="C1126" s="142" t="s">
        <v>940</v>
      </c>
      <c r="D1126" s="142" t="s">
        <v>167</v>
      </c>
      <c r="E1126" s="154" t="s">
        <v>509</v>
      </c>
      <c r="F1126" s="144" t="s">
        <v>980</v>
      </c>
      <c r="G1126" s="82">
        <v>1988.7</v>
      </c>
      <c r="H1126" s="82">
        <v>1831.8</v>
      </c>
      <c r="I1126" s="20">
        <f t="shared" si="53"/>
        <v>92.11042389500679</v>
      </c>
      <c r="J1126" s="225">
        <f>SUM(ведомствен.2013!G686)</f>
        <v>1988.7</v>
      </c>
      <c r="K1126" s="229">
        <f>SUM(G1126-J1126)</f>
        <v>0</v>
      </c>
    </row>
    <row r="1127" spans="1:11" ht="28.5" hidden="1" customHeight="1">
      <c r="A1127" s="95" t="s">
        <v>335</v>
      </c>
      <c r="B1127" s="142"/>
      <c r="C1127" s="142" t="s">
        <v>940</v>
      </c>
      <c r="D1127" s="142" t="s">
        <v>167</v>
      </c>
      <c r="E1127" s="154" t="s">
        <v>509</v>
      </c>
      <c r="F1127" s="139" t="s">
        <v>165</v>
      </c>
      <c r="G1127" s="204">
        <v>1767</v>
      </c>
      <c r="H1127" s="204">
        <v>1767</v>
      </c>
      <c r="I1127" s="20">
        <f t="shared" si="53"/>
        <v>100</v>
      </c>
      <c r="J1127" s="225">
        <f>SUM(ведомствен.2013!G687)</f>
        <v>0</v>
      </c>
      <c r="K1127" s="229">
        <f>SUM(G1127-J1127)</f>
        <v>1767</v>
      </c>
    </row>
    <row r="1128" spans="1:11" ht="28.5" hidden="1" customHeight="1">
      <c r="A1128" s="95" t="s">
        <v>393</v>
      </c>
      <c r="B1128" s="142"/>
      <c r="C1128" s="142" t="s">
        <v>940</v>
      </c>
      <c r="D1128" s="142" t="s">
        <v>167</v>
      </c>
      <c r="E1128" s="154" t="s">
        <v>278</v>
      </c>
      <c r="F1128" s="139" t="s">
        <v>165</v>
      </c>
      <c r="G1128" s="204"/>
      <c r="H1128" s="204"/>
      <c r="I1128" s="20" t="e">
        <f t="shared" si="53"/>
        <v>#DIV/0!</v>
      </c>
      <c r="K1128" s="229">
        <f>SUM(G1128-J1128)</f>
        <v>0</v>
      </c>
    </row>
    <row r="1129" spans="1:11" ht="18.75" customHeight="1">
      <c r="A1129" s="119" t="s">
        <v>279</v>
      </c>
      <c r="B1129" s="138"/>
      <c r="C1129" s="154" t="s">
        <v>940</v>
      </c>
      <c r="D1129" s="163" t="s">
        <v>191</v>
      </c>
      <c r="E1129" s="163"/>
      <c r="F1129" s="164"/>
      <c r="G1129" s="204">
        <f>SUM(G1130+G1138)</f>
        <v>69295.7</v>
      </c>
      <c r="H1129" s="204">
        <f>SUM(H1130+H1138)</f>
        <v>68751.599999999991</v>
      </c>
      <c r="I1129" s="20">
        <f t="shared" si="53"/>
        <v>99.21481419482015</v>
      </c>
      <c r="K1129" s="229"/>
    </row>
    <row r="1130" spans="1:11" ht="15" customHeight="1">
      <c r="A1130" s="119" t="s">
        <v>965</v>
      </c>
      <c r="B1130" s="138"/>
      <c r="C1130" s="154" t="s">
        <v>940</v>
      </c>
      <c r="D1130" s="163" t="s">
        <v>191</v>
      </c>
      <c r="E1130" s="163" t="s">
        <v>966</v>
      </c>
      <c r="F1130" s="164"/>
      <c r="G1130" s="30">
        <f>SUM(G1131)</f>
        <v>11558.3</v>
      </c>
      <c r="H1130" s="30">
        <f>SUM(H1131)</f>
        <v>11014.2</v>
      </c>
      <c r="I1130" s="20">
        <f t="shared" si="53"/>
        <v>95.292560324615224</v>
      </c>
      <c r="K1130" s="229"/>
    </row>
    <row r="1131" spans="1:11" s="25" customFormat="1" ht="46.5" customHeight="1">
      <c r="A1131" s="95" t="s">
        <v>380</v>
      </c>
      <c r="B1131" s="138"/>
      <c r="C1131" s="154" t="s">
        <v>940</v>
      </c>
      <c r="D1131" s="163" t="s">
        <v>191</v>
      </c>
      <c r="E1131" s="138" t="s">
        <v>381</v>
      </c>
      <c r="F1131" s="139"/>
      <c r="G1131" s="30">
        <f>SUM(G1132+G1134)+G1136</f>
        <v>11558.3</v>
      </c>
      <c r="H1131" s="30">
        <f>SUM(H1132+H1134)+H1136</f>
        <v>11014.2</v>
      </c>
      <c r="I1131" s="20">
        <f t="shared" si="53"/>
        <v>95.292560324615224</v>
      </c>
      <c r="J1131" s="229"/>
      <c r="K1131" s="229"/>
    </row>
    <row r="1132" spans="1:11" s="25" customFormat="1" ht="57" customHeight="1">
      <c r="A1132" s="119" t="s">
        <v>1122</v>
      </c>
      <c r="B1132" s="138"/>
      <c r="C1132" s="154" t="s">
        <v>940</v>
      </c>
      <c r="D1132" s="163" t="s">
        <v>191</v>
      </c>
      <c r="E1132" s="138" t="s">
        <v>123</v>
      </c>
      <c r="F1132" s="140"/>
      <c r="G1132" s="30">
        <f>SUM(G1133)</f>
        <v>5921.9</v>
      </c>
      <c r="H1132" s="30">
        <f>SUM(H1133)</f>
        <v>5918</v>
      </c>
      <c r="I1132" s="20">
        <f t="shared" si="53"/>
        <v>99.934142758236391</v>
      </c>
      <c r="J1132" s="229"/>
      <c r="K1132" s="229"/>
    </row>
    <row r="1133" spans="1:11" s="25" customFormat="1" ht="15" customHeight="1">
      <c r="A1133" s="95" t="s">
        <v>592</v>
      </c>
      <c r="B1133" s="143"/>
      <c r="C1133" s="154" t="s">
        <v>940</v>
      </c>
      <c r="D1133" s="163" t="s">
        <v>191</v>
      </c>
      <c r="E1133" s="138" t="s">
        <v>123</v>
      </c>
      <c r="F1133" s="144" t="s">
        <v>593</v>
      </c>
      <c r="G1133" s="204">
        <v>5921.9</v>
      </c>
      <c r="H1133" s="204">
        <v>5918</v>
      </c>
      <c r="I1133" s="20">
        <f t="shared" si="53"/>
        <v>99.934142758236391</v>
      </c>
      <c r="J1133" s="229">
        <f>SUM(ведомствен.2013!G692)</f>
        <v>5921.9</v>
      </c>
      <c r="K1133" s="229">
        <f>SUM(G1133-J1133)</f>
        <v>0</v>
      </c>
    </row>
    <row r="1134" spans="1:11" s="25" customFormat="1" ht="50.25" customHeight="1">
      <c r="A1134" s="119" t="s">
        <v>861</v>
      </c>
      <c r="B1134" s="138"/>
      <c r="C1134" s="154" t="s">
        <v>940</v>
      </c>
      <c r="D1134" s="163" t="s">
        <v>191</v>
      </c>
      <c r="E1134" s="138" t="s">
        <v>860</v>
      </c>
      <c r="F1134" s="140"/>
      <c r="G1134" s="30">
        <f>SUM(G1135)</f>
        <v>5636.4</v>
      </c>
      <c r="H1134" s="30">
        <f>SUM(H1135)</f>
        <v>5096.2</v>
      </c>
      <c r="I1134" s="20">
        <f t="shared" si="53"/>
        <v>90.415868284720744</v>
      </c>
      <c r="J1134" s="229"/>
      <c r="K1134" s="229"/>
    </row>
    <row r="1135" spans="1:11" s="25" customFormat="1" ht="16.5" customHeight="1">
      <c r="A1135" s="95" t="s">
        <v>592</v>
      </c>
      <c r="B1135" s="143"/>
      <c r="C1135" s="154" t="s">
        <v>940</v>
      </c>
      <c r="D1135" s="163" t="s">
        <v>191</v>
      </c>
      <c r="E1135" s="138" t="s">
        <v>860</v>
      </c>
      <c r="F1135" s="144" t="s">
        <v>593</v>
      </c>
      <c r="G1135" s="204">
        <v>5636.4</v>
      </c>
      <c r="H1135" s="204">
        <v>5096.2</v>
      </c>
      <c r="I1135" s="20">
        <f t="shared" si="53"/>
        <v>90.415868284720744</v>
      </c>
      <c r="J1135" s="229">
        <f>SUM(ведомствен.2013!G694)</f>
        <v>5636.4</v>
      </c>
      <c r="K1135" s="229">
        <f>SUM(G1135-J1135)</f>
        <v>0</v>
      </c>
    </row>
    <row r="1136" spans="1:11" s="25" customFormat="1" ht="72.75" hidden="1" customHeight="1">
      <c r="A1136" s="95" t="s">
        <v>1124</v>
      </c>
      <c r="B1136" s="143"/>
      <c r="C1136" s="154" t="s">
        <v>940</v>
      </c>
      <c r="D1136" s="163" t="s">
        <v>191</v>
      </c>
      <c r="E1136" s="138" t="s">
        <v>1125</v>
      </c>
      <c r="F1136" s="140"/>
      <c r="G1136" s="204">
        <f>SUM(G1137)</f>
        <v>0</v>
      </c>
      <c r="H1136" s="204">
        <f>SUM(H1137)</f>
        <v>0</v>
      </c>
      <c r="I1136" s="20" t="e">
        <f t="shared" si="53"/>
        <v>#DIV/0!</v>
      </c>
      <c r="J1136" s="229"/>
      <c r="K1136" s="229"/>
    </row>
    <row r="1137" spans="1:11" s="25" customFormat="1" ht="15" hidden="1">
      <c r="A1137" s="95" t="s">
        <v>592</v>
      </c>
      <c r="B1137" s="143"/>
      <c r="C1137" s="154" t="s">
        <v>940</v>
      </c>
      <c r="D1137" s="163" t="s">
        <v>191</v>
      </c>
      <c r="E1137" s="138" t="s">
        <v>1125</v>
      </c>
      <c r="F1137" s="144" t="s">
        <v>593</v>
      </c>
      <c r="G1137" s="204"/>
      <c r="H1137" s="204"/>
      <c r="I1137" s="20" t="e">
        <f t="shared" si="53"/>
        <v>#DIV/0!</v>
      </c>
      <c r="J1137" s="229">
        <f>SUM(ведомствен.2013!G696)</f>
        <v>0</v>
      </c>
      <c r="K1137" s="229">
        <f>SUM(G1137-J1137)</f>
        <v>0</v>
      </c>
    </row>
    <row r="1138" spans="1:11" ht="21" customHeight="1">
      <c r="A1138" s="97" t="s">
        <v>281</v>
      </c>
      <c r="B1138" s="138"/>
      <c r="C1138" s="154" t="s">
        <v>940</v>
      </c>
      <c r="D1138" s="163" t="s">
        <v>191</v>
      </c>
      <c r="E1138" s="163" t="s">
        <v>435</v>
      </c>
      <c r="F1138" s="140"/>
      <c r="G1138" s="30">
        <f>SUM(G1141+G1139)</f>
        <v>57737.399999999994</v>
      </c>
      <c r="H1138" s="30">
        <f>SUM(H1141+H1139)</f>
        <v>57737.399999999994</v>
      </c>
      <c r="I1138" s="20">
        <f t="shared" si="53"/>
        <v>100</v>
      </c>
      <c r="K1138" s="229"/>
    </row>
    <row r="1139" spans="1:11" ht="59.25" customHeight="1">
      <c r="A1139" s="98" t="s">
        <v>282</v>
      </c>
      <c r="B1139" s="138"/>
      <c r="C1139" s="154" t="s">
        <v>940</v>
      </c>
      <c r="D1139" s="163" t="s">
        <v>191</v>
      </c>
      <c r="E1139" s="142" t="s">
        <v>283</v>
      </c>
      <c r="F1139" s="141"/>
      <c r="G1139" s="204">
        <f>SUM(G1140)</f>
        <v>26750.1</v>
      </c>
      <c r="H1139" s="204">
        <f>SUM(H1140)</f>
        <v>26750.1</v>
      </c>
      <c r="I1139" s="20">
        <f t="shared" si="53"/>
        <v>100</v>
      </c>
      <c r="K1139" s="229"/>
    </row>
    <row r="1140" spans="1:11" ht="21" customHeight="1">
      <c r="A1140" s="98" t="s">
        <v>592</v>
      </c>
      <c r="B1140" s="138"/>
      <c r="C1140" s="154" t="s">
        <v>940</v>
      </c>
      <c r="D1140" s="163" t="s">
        <v>191</v>
      </c>
      <c r="E1140" s="142" t="s">
        <v>283</v>
      </c>
      <c r="F1140" s="141" t="s">
        <v>593</v>
      </c>
      <c r="G1140" s="204">
        <v>26750.1</v>
      </c>
      <c r="H1140" s="204">
        <v>26750.1</v>
      </c>
      <c r="I1140" s="20">
        <f t="shared" si="53"/>
        <v>100</v>
      </c>
      <c r="J1140" s="225">
        <f>SUM(ведомствен.2013!G1500)</f>
        <v>26750.1</v>
      </c>
      <c r="K1140" s="229">
        <f>SUM(G1140-J1140)</f>
        <v>0</v>
      </c>
    </row>
    <row r="1141" spans="1:11" ht="28.5">
      <c r="A1141" s="97" t="s">
        <v>284</v>
      </c>
      <c r="B1141" s="138"/>
      <c r="C1141" s="154" t="s">
        <v>940</v>
      </c>
      <c r="D1141" s="163" t="s">
        <v>191</v>
      </c>
      <c r="E1141" s="163" t="s">
        <v>285</v>
      </c>
      <c r="F1141" s="164"/>
      <c r="G1141" s="30">
        <f>SUM(G1142)</f>
        <v>30987.3</v>
      </c>
      <c r="H1141" s="30">
        <f>SUM(H1142)</f>
        <v>30987.3</v>
      </c>
      <c r="I1141" s="20">
        <f t="shared" si="53"/>
        <v>100</v>
      </c>
      <c r="K1141" s="229"/>
    </row>
    <row r="1142" spans="1:11" ht="33.75" customHeight="1">
      <c r="A1142" s="97" t="s">
        <v>883</v>
      </c>
      <c r="B1142" s="138"/>
      <c r="C1142" s="154" t="s">
        <v>940</v>
      </c>
      <c r="D1142" s="163" t="s">
        <v>191</v>
      </c>
      <c r="E1142" s="166" t="s">
        <v>285</v>
      </c>
      <c r="F1142" s="164"/>
      <c r="G1142" s="30">
        <f>SUM(G1147)+G1143+G1145</f>
        <v>30987.3</v>
      </c>
      <c r="H1142" s="30">
        <f>SUM(H1147)+H1143+H1145</f>
        <v>30987.3</v>
      </c>
      <c r="I1142" s="20">
        <f t="shared" si="53"/>
        <v>100</v>
      </c>
      <c r="K1142" s="229"/>
    </row>
    <row r="1143" spans="1:11" ht="26.25" customHeight="1">
      <c r="A1143" s="97" t="s">
        <v>286</v>
      </c>
      <c r="B1143" s="138"/>
      <c r="C1143" s="154" t="s">
        <v>940</v>
      </c>
      <c r="D1143" s="154" t="s">
        <v>191</v>
      </c>
      <c r="E1143" s="166" t="s">
        <v>287</v>
      </c>
      <c r="F1143" s="144"/>
      <c r="G1143" s="30">
        <f>SUM(G1144)</f>
        <v>3216.8</v>
      </c>
      <c r="H1143" s="30">
        <f>SUM(H1144)</f>
        <v>3216.8</v>
      </c>
      <c r="I1143" s="20">
        <f t="shared" si="53"/>
        <v>100</v>
      </c>
      <c r="K1143" s="229"/>
    </row>
    <row r="1144" spans="1:11" ht="30" customHeight="1">
      <c r="A1144" s="97" t="s">
        <v>288</v>
      </c>
      <c r="B1144" s="138"/>
      <c r="C1144" s="154" t="s">
        <v>940</v>
      </c>
      <c r="D1144" s="154" t="s">
        <v>191</v>
      </c>
      <c r="E1144" s="166" t="s">
        <v>287</v>
      </c>
      <c r="F1144" s="144" t="s">
        <v>289</v>
      </c>
      <c r="G1144" s="30">
        <v>3216.8</v>
      </c>
      <c r="H1144" s="30">
        <v>3216.8</v>
      </c>
      <c r="I1144" s="20">
        <f t="shared" si="53"/>
        <v>100</v>
      </c>
      <c r="J1144" s="225">
        <f>SUM(ведомствен.2013!G997)</f>
        <v>3216.8</v>
      </c>
      <c r="K1144" s="229">
        <f>SUM(G1144-J1144)</f>
        <v>0</v>
      </c>
    </row>
    <row r="1145" spans="1:11" ht="26.25" customHeight="1">
      <c r="A1145" s="97" t="s">
        <v>884</v>
      </c>
      <c r="B1145" s="138"/>
      <c r="C1145" s="154" t="s">
        <v>940</v>
      </c>
      <c r="D1145" s="154" t="s">
        <v>191</v>
      </c>
      <c r="E1145" s="166" t="s">
        <v>290</v>
      </c>
      <c r="F1145" s="144"/>
      <c r="G1145" s="30">
        <f>SUM(G1146)</f>
        <v>2977</v>
      </c>
      <c r="H1145" s="30">
        <f>SUM(H1146)</f>
        <v>2977</v>
      </c>
      <c r="I1145" s="20">
        <f t="shared" si="53"/>
        <v>100</v>
      </c>
      <c r="K1145" s="229"/>
    </row>
    <row r="1146" spans="1:11" ht="36.75" customHeight="1">
      <c r="A1146" s="97" t="s">
        <v>288</v>
      </c>
      <c r="B1146" s="138"/>
      <c r="C1146" s="154" t="s">
        <v>940</v>
      </c>
      <c r="D1146" s="154" t="s">
        <v>191</v>
      </c>
      <c r="E1146" s="166" t="s">
        <v>290</v>
      </c>
      <c r="F1146" s="144" t="s">
        <v>289</v>
      </c>
      <c r="G1146" s="30">
        <v>2977</v>
      </c>
      <c r="H1146" s="30">
        <v>2977</v>
      </c>
      <c r="I1146" s="20">
        <f t="shared" si="53"/>
        <v>100</v>
      </c>
      <c r="J1146" s="225">
        <f>SUM(ведомствен.2013!G999)</f>
        <v>2977</v>
      </c>
      <c r="K1146" s="229">
        <f>SUM(G1146-J1146)</f>
        <v>0</v>
      </c>
    </row>
    <row r="1147" spans="1:11" ht="19.5" customHeight="1">
      <c r="A1147" s="97" t="s">
        <v>885</v>
      </c>
      <c r="B1147" s="138"/>
      <c r="C1147" s="154" t="s">
        <v>940</v>
      </c>
      <c r="D1147" s="154" t="s">
        <v>191</v>
      </c>
      <c r="E1147" s="166" t="s">
        <v>886</v>
      </c>
      <c r="F1147" s="144"/>
      <c r="G1147" s="30">
        <f>SUM(G1148)</f>
        <v>24793.5</v>
      </c>
      <c r="H1147" s="30">
        <f>SUM(H1148)</f>
        <v>24793.5</v>
      </c>
      <c r="I1147" s="20">
        <f t="shared" ref="I1147:I1210" si="56">SUM(H1147/G1147*100)</f>
        <v>100</v>
      </c>
      <c r="K1147" s="229"/>
    </row>
    <row r="1148" spans="1:11" ht="27.75" customHeight="1">
      <c r="A1148" s="97" t="s">
        <v>288</v>
      </c>
      <c r="B1148" s="138"/>
      <c r="C1148" s="154" t="s">
        <v>940</v>
      </c>
      <c r="D1148" s="154" t="s">
        <v>191</v>
      </c>
      <c r="E1148" s="166" t="s">
        <v>886</v>
      </c>
      <c r="F1148" s="144" t="s">
        <v>289</v>
      </c>
      <c r="G1148" s="30">
        <v>24793.5</v>
      </c>
      <c r="H1148" s="30">
        <v>24793.5</v>
      </c>
      <c r="I1148" s="20">
        <f t="shared" si="56"/>
        <v>100</v>
      </c>
      <c r="J1148" s="225">
        <f>SUM(ведомствен.2013!G1001)</f>
        <v>24793.5</v>
      </c>
      <c r="K1148" s="229">
        <f>SUM(G1148-J1148)</f>
        <v>0</v>
      </c>
    </row>
    <row r="1149" spans="1:11" ht="28.5" hidden="1" customHeight="1">
      <c r="A1149" s="94" t="s">
        <v>288</v>
      </c>
      <c r="B1149" s="138"/>
      <c r="C1149" s="154" t="s">
        <v>940</v>
      </c>
      <c r="D1149" s="154" t="s">
        <v>191</v>
      </c>
      <c r="E1149" s="163" t="s">
        <v>292</v>
      </c>
      <c r="F1149" s="144"/>
      <c r="G1149" s="30">
        <f>SUM(G1150)</f>
        <v>0</v>
      </c>
      <c r="H1149" s="30">
        <f>SUM(H1150)</f>
        <v>0</v>
      </c>
      <c r="I1149" s="20" t="e">
        <f t="shared" si="56"/>
        <v>#DIV/0!</v>
      </c>
      <c r="K1149" s="229">
        <f>SUM(G1149-J1149)</f>
        <v>0</v>
      </c>
    </row>
    <row r="1150" spans="1:11" ht="42.75" hidden="1" customHeight="1">
      <c r="A1150" s="94" t="s">
        <v>293</v>
      </c>
      <c r="B1150" s="138"/>
      <c r="C1150" s="154" t="s">
        <v>940</v>
      </c>
      <c r="D1150" s="154" t="s">
        <v>191</v>
      </c>
      <c r="E1150" s="163" t="s">
        <v>292</v>
      </c>
      <c r="F1150" s="144" t="s">
        <v>289</v>
      </c>
      <c r="G1150" s="30"/>
      <c r="H1150" s="30"/>
      <c r="I1150" s="20" t="e">
        <f t="shared" si="56"/>
        <v>#DIV/0!</v>
      </c>
      <c r="J1150" s="225">
        <f>SUM(ведомствен.2013!G1005)</f>
        <v>0</v>
      </c>
      <c r="K1150" s="229">
        <f>SUM(G1150-J1150)</f>
        <v>0</v>
      </c>
    </row>
    <row r="1151" spans="1:11" ht="19.5" customHeight="1">
      <c r="A1151" s="115" t="s">
        <v>294</v>
      </c>
      <c r="B1151" s="138"/>
      <c r="C1151" s="163" t="s">
        <v>940</v>
      </c>
      <c r="D1151" s="163" t="s">
        <v>732</v>
      </c>
      <c r="E1151" s="163"/>
      <c r="F1151" s="164"/>
      <c r="G1151" s="204">
        <f>SUM(G1152+G1179)+G1177+G1165+G1167+G1169+G1172</f>
        <v>36449.5</v>
      </c>
      <c r="H1151" s="204">
        <f>SUM(H1152+H1179)+H1177+H1165+H1167+H1169+H1172</f>
        <v>36448.800000000003</v>
      </c>
      <c r="I1151" s="20">
        <f t="shared" si="56"/>
        <v>99.998079534698704</v>
      </c>
      <c r="K1151" s="229"/>
    </row>
    <row r="1152" spans="1:11" ht="42.75">
      <c r="A1152" s="95" t="s">
        <v>160</v>
      </c>
      <c r="B1152" s="138"/>
      <c r="C1152" s="138" t="s">
        <v>940</v>
      </c>
      <c r="D1152" s="138" t="s">
        <v>732</v>
      </c>
      <c r="E1152" s="138" t="s">
        <v>161</v>
      </c>
      <c r="F1152" s="140"/>
      <c r="G1152" s="30">
        <f>SUM(G1153)</f>
        <v>27321.599999999999</v>
      </c>
      <c r="H1152" s="30">
        <f>SUM(H1153)</f>
        <v>27320.9</v>
      </c>
      <c r="I1152" s="20">
        <f t="shared" si="56"/>
        <v>99.997437924572509</v>
      </c>
      <c r="K1152" s="229"/>
    </row>
    <row r="1153" spans="1:11" ht="15">
      <c r="A1153" s="95" t="s">
        <v>168</v>
      </c>
      <c r="B1153" s="138"/>
      <c r="C1153" s="138" t="s">
        <v>940</v>
      </c>
      <c r="D1153" s="138" t="s">
        <v>732</v>
      </c>
      <c r="E1153" s="138" t="s">
        <v>170</v>
      </c>
      <c r="F1153" s="140"/>
      <c r="G1153" s="30">
        <f>SUM(G1154+G1157+G1163+G1161)</f>
        <v>27321.599999999999</v>
      </c>
      <c r="H1153" s="30">
        <f>SUM(H1154+H1157+H1163+H1161)</f>
        <v>27320.9</v>
      </c>
      <c r="I1153" s="20">
        <f t="shared" si="56"/>
        <v>99.997437924572509</v>
      </c>
      <c r="K1153" s="229"/>
    </row>
    <row r="1154" spans="1:11" ht="14.25" customHeight="1">
      <c r="A1154" s="115" t="s">
        <v>164</v>
      </c>
      <c r="B1154" s="138"/>
      <c r="C1154" s="138" t="s">
        <v>940</v>
      </c>
      <c r="D1154" s="138" t="s">
        <v>732</v>
      </c>
      <c r="E1154" s="138" t="s">
        <v>170</v>
      </c>
      <c r="F1154" s="149" t="s">
        <v>165</v>
      </c>
      <c r="G1154" s="30">
        <v>3618</v>
      </c>
      <c r="H1154" s="30">
        <v>3617.3</v>
      </c>
      <c r="I1154" s="20">
        <f t="shared" si="56"/>
        <v>99.980652294085132</v>
      </c>
      <c r="J1154" s="225">
        <f>SUM(ведомствен.2013!G1009)</f>
        <v>3618</v>
      </c>
      <c r="K1154" s="229">
        <f>SUM(G1154-J1154)</f>
        <v>0</v>
      </c>
    </row>
    <row r="1155" spans="1:11" ht="28.5" hidden="1" customHeight="1">
      <c r="A1155" s="115" t="s">
        <v>295</v>
      </c>
      <c r="B1155" s="138"/>
      <c r="C1155" s="138" t="s">
        <v>940</v>
      </c>
      <c r="D1155" s="138" t="s">
        <v>732</v>
      </c>
      <c r="E1155" s="138" t="s">
        <v>296</v>
      </c>
      <c r="F1155" s="198"/>
      <c r="G1155" s="30">
        <f>SUM(G1156)</f>
        <v>0</v>
      </c>
      <c r="H1155" s="30">
        <f>SUM(H1156)</f>
        <v>0</v>
      </c>
      <c r="I1155" s="20" t="e">
        <f t="shared" si="56"/>
        <v>#DIV/0!</v>
      </c>
      <c r="K1155" s="229">
        <f>SUM(G1155-J1155)</f>
        <v>0</v>
      </c>
    </row>
    <row r="1156" spans="1:11" ht="15" hidden="1" customHeight="1">
      <c r="A1156" s="115" t="s">
        <v>164</v>
      </c>
      <c r="B1156" s="138"/>
      <c r="C1156" s="138" t="s">
        <v>940</v>
      </c>
      <c r="D1156" s="138" t="s">
        <v>732</v>
      </c>
      <c r="E1156" s="138" t="s">
        <v>296</v>
      </c>
      <c r="F1156" s="198" t="s">
        <v>165</v>
      </c>
      <c r="G1156" s="30"/>
      <c r="H1156" s="30"/>
      <c r="I1156" s="20" t="e">
        <f t="shared" si="56"/>
        <v>#DIV/0!</v>
      </c>
      <c r="K1156" s="229">
        <f>SUM(G1156-J1156)</f>
        <v>0</v>
      </c>
    </row>
    <row r="1157" spans="1:11" ht="30.75" customHeight="1">
      <c r="A1157" s="115" t="s">
        <v>297</v>
      </c>
      <c r="B1157" s="138"/>
      <c r="C1157" s="138" t="s">
        <v>940</v>
      </c>
      <c r="D1157" s="138" t="s">
        <v>732</v>
      </c>
      <c r="E1157" s="138" t="s">
        <v>298</v>
      </c>
      <c r="F1157" s="198"/>
      <c r="G1157" s="30">
        <f>SUM(G1158)</f>
        <v>4131.3</v>
      </c>
      <c r="H1157" s="30">
        <f>SUM(H1158)</f>
        <v>4131.3</v>
      </c>
      <c r="I1157" s="20">
        <f t="shared" si="56"/>
        <v>100</v>
      </c>
      <c r="K1157" s="229"/>
    </row>
    <row r="1158" spans="1:11" ht="24" customHeight="1">
      <c r="A1158" s="115" t="s">
        <v>164</v>
      </c>
      <c r="B1158" s="171"/>
      <c r="C1158" s="138" t="s">
        <v>940</v>
      </c>
      <c r="D1158" s="138" t="s">
        <v>732</v>
      </c>
      <c r="E1158" s="138" t="s">
        <v>298</v>
      </c>
      <c r="F1158" s="149" t="s">
        <v>165</v>
      </c>
      <c r="G1158" s="30">
        <v>4131.3</v>
      </c>
      <c r="H1158" s="30">
        <v>4131.3</v>
      </c>
      <c r="I1158" s="20">
        <f t="shared" si="56"/>
        <v>100</v>
      </c>
      <c r="J1158" s="225">
        <f>SUM(ведомствен.2013!G1013)</f>
        <v>4131.3</v>
      </c>
      <c r="K1158" s="229">
        <f>SUM(G1158-J1158)</f>
        <v>0</v>
      </c>
    </row>
    <row r="1159" spans="1:11" ht="28.5" hidden="1" customHeight="1">
      <c r="A1159" s="115" t="s">
        <v>299</v>
      </c>
      <c r="B1159" s="171"/>
      <c r="C1159" s="138" t="s">
        <v>940</v>
      </c>
      <c r="D1159" s="138" t="s">
        <v>732</v>
      </c>
      <c r="E1159" s="138" t="s">
        <v>300</v>
      </c>
      <c r="F1159" s="149"/>
      <c r="G1159" s="30"/>
      <c r="H1159" s="30"/>
      <c r="I1159" s="20" t="e">
        <f t="shared" si="56"/>
        <v>#DIV/0!</v>
      </c>
      <c r="K1159" s="229">
        <f>SUM(G1159-J1159)</f>
        <v>0</v>
      </c>
    </row>
    <row r="1160" spans="1:11" s="40" customFormat="1" ht="15" hidden="1" customHeight="1">
      <c r="A1160" s="129" t="s">
        <v>164</v>
      </c>
      <c r="B1160" s="199"/>
      <c r="C1160" s="199" t="s">
        <v>940</v>
      </c>
      <c r="D1160" s="199" t="s">
        <v>732</v>
      </c>
      <c r="E1160" s="199" t="s">
        <v>300</v>
      </c>
      <c r="F1160" s="200" t="s">
        <v>165</v>
      </c>
      <c r="G1160" s="210"/>
      <c r="H1160" s="210"/>
      <c r="I1160" s="20" t="e">
        <f t="shared" si="56"/>
        <v>#DIV/0!</v>
      </c>
      <c r="J1160" s="243"/>
      <c r="K1160" s="229">
        <f>SUM(G1160-J1160)</f>
        <v>0</v>
      </c>
    </row>
    <row r="1161" spans="1:11" ht="28.5">
      <c r="A1161" s="115" t="s">
        <v>295</v>
      </c>
      <c r="B1161" s="138"/>
      <c r="C1161" s="138" t="s">
        <v>940</v>
      </c>
      <c r="D1161" s="138" t="s">
        <v>732</v>
      </c>
      <c r="E1161" s="138" t="s">
        <v>296</v>
      </c>
      <c r="F1161" s="149"/>
      <c r="G1161" s="30">
        <f>SUM(G1162)</f>
        <v>14160.4</v>
      </c>
      <c r="H1161" s="30">
        <f>SUM(H1162)</f>
        <v>14160.4</v>
      </c>
      <c r="I1161" s="20">
        <f t="shared" si="56"/>
        <v>100</v>
      </c>
      <c r="K1161" s="229"/>
    </row>
    <row r="1162" spans="1:11" ht="14.25" customHeight="1">
      <c r="A1162" s="115" t="s">
        <v>164</v>
      </c>
      <c r="B1162" s="138"/>
      <c r="C1162" s="138" t="s">
        <v>940</v>
      </c>
      <c r="D1162" s="138" t="s">
        <v>732</v>
      </c>
      <c r="E1162" s="138" t="s">
        <v>296</v>
      </c>
      <c r="F1162" s="149" t="s">
        <v>165</v>
      </c>
      <c r="G1162" s="30">
        <v>14160.4</v>
      </c>
      <c r="H1162" s="30">
        <v>14160.4</v>
      </c>
      <c r="I1162" s="20">
        <f t="shared" si="56"/>
        <v>100</v>
      </c>
      <c r="J1162" s="225">
        <f>SUM(ведомствен.2013!G1017)</f>
        <v>14160.4</v>
      </c>
      <c r="K1162" s="229">
        <f>SUM(G1162-J1162)</f>
        <v>0</v>
      </c>
    </row>
    <row r="1163" spans="1:11" ht="28.5">
      <c r="A1163" s="115" t="s">
        <v>299</v>
      </c>
      <c r="B1163" s="171"/>
      <c r="C1163" s="138" t="s">
        <v>940</v>
      </c>
      <c r="D1163" s="138" t="s">
        <v>732</v>
      </c>
      <c r="E1163" s="138" t="s">
        <v>301</v>
      </c>
      <c r="F1163" s="149"/>
      <c r="G1163" s="30">
        <f>SUM(G1164)</f>
        <v>5411.9</v>
      </c>
      <c r="H1163" s="30">
        <f>SUM(H1164)</f>
        <v>5411.9</v>
      </c>
      <c r="I1163" s="20">
        <f t="shared" si="56"/>
        <v>100</v>
      </c>
      <c r="K1163" s="229"/>
    </row>
    <row r="1164" spans="1:11" s="40" customFormat="1" ht="18" customHeight="1">
      <c r="A1164" s="129" t="s">
        <v>164</v>
      </c>
      <c r="B1164" s="199"/>
      <c r="C1164" s="199" t="s">
        <v>940</v>
      </c>
      <c r="D1164" s="199" t="s">
        <v>732</v>
      </c>
      <c r="E1164" s="138" t="s">
        <v>301</v>
      </c>
      <c r="F1164" s="200" t="s">
        <v>165</v>
      </c>
      <c r="G1164" s="210">
        <v>5411.9</v>
      </c>
      <c r="H1164" s="210">
        <v>5411.9</v>
      </c>
      <c r="I1164" s="20">
        <f t="shared" si="56"/>
        <v>100</v>
      </c>
      <c r="J1164" s="225">
        <f>SUM(ведомствен.2013!G1019)</f>
        <v>5411.9</v>
      </c>
      <c r="K1164" s="229">
        <f>SUM(G1164-J1164)</f>
        <v>0</v>
      </c>
    </row>
    <row r="1165" spans="1:11" s="40" customFormat="1" ht="18" customHeight="1">
      <c r="A1165" s="95" t="s">
        <v>902</v>
      </c>
      <c r="B1165" s="138"/>
      <c r="C1165" s="138" t="s">
        <v>940</v>
      </c>
      <c r="D1165" s="138" t="s">
        <v>732</v>
      </c>
      <c r="E1165" s="138" t="s">
        <v>903</v>
      </c>
      <c r="F1165" s="139"/>
      <c r="G1165" s="30">
        <f>SUM(G1166)</f>
        <v>206.4</v>
      </c>
      <c r="H1165" s="30">
        <f>SUM(H1166)</f>
        <v>206.4</v>
      </c>
      <c r="I1165" s="20">
        <f t="shared" si="56"/>
        <v>100</v>
      </c>
      <c r="J1165" s="225"/>
      <c r="K1165" s="229"/>
    </row>
    <row r="1166" spans="1:11" s="25" customFormat="1" ht="18.75" customHeight="1">
      <c r="A1166" s="95" t="s">
        <v>164</v>
      </c>
      <c r="B1166" s="138"/>
      <c r="C1166" s="138" t="s">
        <v>940</v>
      </c>
      <c r="D1166" s="138" t="s">
        <v>732</v>
      </c>
      <c r="E1166" s="138" t="s">
        <v>903</v>
      </c>
      <c r="F1166" s="139" t="s">
        <v>165</v>
      </c>
      <c r="G1166" s="30">
        <v>206.4</v>
      </c>
      <c r="H1166" s="30">
        <v>206.4</v>
      </c>
      <c r="I1166" s="20">
        <f t="shared" si="56"/>
        <v>100</v>
      </c>
      <c r="J1166" s="229">
        <f>SUM(ведомствен.2013!G1021)</f>
        <v>206.4</v>
      </c>
      <c r="K1166" s="229">
        <f>SUM(G1166-J1166)</f>
        <v>0</v>
      </c>
    </row>
    <row r="1167" spans="1:11" s="25" customFormat="1" ht="27.75" customHeight="1">
      <c r="A1167" s="95" t="s">
        <v>904</v>
      </c>
      <c r="B1167" s="138"/>
      <c r="C1167" s="138" t="s">
        <v>940</v>
      </c>
      <c r="D1167" s="138" t="s">
        <v>732</v>
      </c>
      <c r="E1167" s="138" t="s">
        <v>905</v>
      </c>
      <c r="F1167" s="139"/>
      <c r="G1167" s="30">
        <f>SUM(G1168)</f>
        <v>1064.7</v>
      </c>
      <c r="H1167" s="30">
        <f>SUM(H1168)</f>
        <v>1064.7</v>
      </c>
      <c r="I1167" s="20">
        <f t="shared" si="56"/>
        <v>100</v>
      </c>
      <c r="J1167" s="229"/>
      <c r="K1167" s="229"/>
    </row>
    <row r="1168" spans="1:11" s="25" customFormat="1" ht="21" customHeight="1">
      <c r="A1168" s="95" t="s">
        <v>164</v>
      </c>
      <c r="B1168" s="138"/>
      <c r="C1168" s="138" t="s">
        <v>940</v>
      </c>
      <c r="D1168" s="138" t="s">
        <v>732</v>
      </c>
      <c r="E1168" s="138" t="s">
        <v>905</v>
      </c>
      <c r="F1168" s="139" t="s">
        <v>165</v>
      </c>
      <c r="G1168" s="30">
        <v>1064.7</v>
      </c>
      <c r="H1168" s="30">
        <v>1064.7</v>
      </c>
      <c r="I1168" s="20">
        <f t="shared" si="56"/>
        <v>100</v>
      </c>
      <c r="J1168" s="229">
        <f>SUM(ведомствен.2013!G1023)</f>
        <v>1064.7</v>
      </c>
      <c r="K1168" s="229">
        <f>SUM(G1168-J1168)</f>
        <v>0</v>
      </c>
    </row>
    <row r="1169" spans="1:11" s="25" customFormat="1" ht="29.25" customHeight="1">
      <c r="A1169" s="95" t="s">
        <v>175</v>
      </c>
      <c r="B1169" s="138"/>
      <c r="C1169" s="138" t="s">
        <v>940</v>
      </c>
      <c r="D1169" s="138" t="s">
        <v>732</v>
      </c>
      <c r="E1169" s="138" t="s">
        <v>176</v>
      </c>
      <c r="F1169" s="141"/>
      <c r="G1169" s="81">
        <f>SUM(G1170)</f>
        <v>1863.4</v>
      </c>
      <c r="H1169" s="81">
        <f>SUM(H1170)</f>
        <v>1863.4</v>
      </c>
      <c r="I1169" s="20">
        <f t="shared" si="56"/>
        <v>100</v>
      </c>
      <c r="J1169" s="229"/>
      <c r="K1169" s="229"/>
    </row>
    <row r="1170" spans="1:11" s="25" customFormat="1" ht="21.75" customHeight="1">
      <c r="A1170" s="95" t="s">
        <v>177</v>
      </c>
      <c r="B1170" s="138"/>
      <c r="C1170" s="138" t="s">
        <v>940</v>
      </c>
      <c r="D1170" s="138" t="s">
        <v>732</v>
      </c>
      <c r="E1170" s="138" t="s">
        <v>501</v>
      </c>
      <c r="F1170" s="141"/>
      <c r="G1170" s="81">
        <f>SUM(G1171)</f>
        <v>1863.4</v>
      </c>
      <c r="H1170" s="81">
        <f>SUM(H1171)</f>
        <v>1863.4</v>
      </c>
      <c r="I1170" s="20">
        <f t="shared" si="56"/>
        <v>100</v>
      </c>
      <c r="J1170" s="229"/>
      <c r="K1170" s="229"/>
    </row>
    <row r="1171" spans="1:11" s="25" customFormat="1" ht="21.75" customHeight="1">
      <c r="A1171" s="95" t="s">
        <v>164</v>
      </c>
      <c r="B1171" s="138"/>
      <c r="C1171" s="138" t="s">
        <v>940</v>
      </c>
      <c r="D1171" s="138" t="s">
        <v>732</v>
      </c>
      <c r="E1171" s="138" t="s">
        <v>501</v>
      </c>
      <c r="F1171" s="141" t="s">
        <v>165</v>
      </c>
      <c r="G1171" s="81">
        <v>1863.4</v>
      </c>
      <c r="H1171" s="81">
        <v>1863.4</v>
      </c>
      <c r="I1171" s="20">
        <f t="shared" si="56"/>
        <v>100</v>
      </c>
      <c r="J1171" s="229">
        <f>SUM(ведомствен.2013!G1026)</f>
        <v>1863.4</v>
      </c>
      <c r="K1171" s="229">
        <f>SUM(G1171-J1171)</f>
        <v>0</v>
      </c>
    </row>
    <row r="1172" spans="1:11" s="25" customFormat="1" ht="21.75" customHeight="1">
      <c r="A1172" s="95" t="s">
        <v>932</v>
      </c>
      <c r="B1172" s="138"/>
      <c r="C1172" s="138" t="s">
        <v>940</v>
      </c>
      <c r="D1172" s="138" t="s">
        <v>732</v>
      </c>
      <c r="E1172" s="138" t="s">
        <v>933</v>
      </c>
      <c r="F1172" s="141"/>
      <c r="G1172" s="81">
        <f>SUM(G1175)+G1173</f>
        <v>2730</v>
      </c>
      <c r="H1172" s="81">
        <f>SUM(H1175)+H1173</f>
        <v>2730</v>
      </c>
      <c r="I1172" s="20">
        <f t="shared" si="56"/>
        <v>100</v>
      </c>
      <c r="J1172" s="229"/>
      <c r="K1172" s="229"/>
    </row>
    <row r="1173" spans="1:11" s="25" customFormat="1" ht="36.75" customHeight="1">
      <c r="A1173" s="95" t="s">
        <v>1117</v>
      </c>
      <c r="B1173" s="138"/>
      <c r="C1173" s="138" t="s">
        <v>940</v>
      </c>
      <c r="D1173" s="138" t="s">
        <v>732</v>
      </c>
      <c r="E1173" s="138" t="s">
        <v>528</v>
      </c>
      <c r="F1173" s="141"/>
      <c r="G1173" s="81">
        <f>SUM(G1174)</f>
        <v>730</v>
      </c>
      <c r="H1173" s="81">
        <f>SUM(H1174)</f>
        <v>730</v>
      </c>
      <c r="I1173" s="20">
        <f t="shared" si="56"/>
        <v>100</v>
      </c>
      <c r="J1173" s="229"/>
      <c r="K1173" s="229"/>
    </row>
    <row r="1174" spans="1:11" s="25" customFormat="1" ht="21.75" customHeight="1">
      <c r="A1174" s="95" t="s">
        <v>1118</v>
      </c>
      <c r="B1174" s="138"/>
      <c r="C1174" s="138" t="s">
        <v>940</v>
      </c>
      <c r="D1174" s="138" t="s">
        <v>732</v>
      </c>
      <c r="E1174" s="138" t="s">
        <v>528</v>
      </c>
      <c r="F1174" s="141" t="s">
        <v>508</v>
      </c>
      <c r="G1174" s="81">
        <v>730</v>
      </c>
      <c r="H1174" s="81">
        <v>730</v>
      </c>
      <c r="I1174" s="20">
        <f t="shared" si="56"/>
        <v>100</v>
      </c>
      <c r="J1174" s="229">
        <f>SUM(ведомствен.2013!G1029)</f>
        <v>730</v>
      </c>
      <c r="K1174" s="229"/>
    </row>
    <row r="1175" spans="1:11" s="25" customFormat="1" ht="79.5" customHeight="1">
      <c r="A1175" s="95" t="s">
        <v>1131</v>
      </c>
      <c r="B1175" s="138"/>
      <c r="C1175" s="138" t="s">
        <v>940</v>
      </c>
      <c r="D1175" s="138" t="s">
        <v>732</v>
      </c>
      <c r="E1175" s="138" t="s">
        <v>1059</v>
      </c>
      <c r="F1175" s="141"/>
      <c r="G1175" s="81">
        <f>SUM(G1176)</f>
        <v>2000</v>
      </c>
      <c r="H1175" s="81">
        <f>SUM(H1176)</f>
        <v>2000</v>
      </c>
      <c r="I1175" s="20">
        <f t="shared" si="56"/>
        <v>100</v>
      </c>
      <c r="J1175" s="229"/>
      <c r="K1175" s="229"/>
    </row>
    <row r="1176" spans="1:11" s="25" customFormat="1" ht="21.75" customHeight="1">
      <c r="A1176" s="95" t="s">
        <v>164</v>
      </c>
      <c r="B1176" s="138"/>
      <c r="C1176" s="138" t="s">
        <v>940</v>
      </c>
      <c r="D1176" s="138" t="s">
        <v>732</v>
      </c>
      <c r="E1176" s="138" t="s">
        <v>1059</v>
      </c>
      <c r="F1176" s="141" t="s">
        <v>165</v>
      </c>
      <c r="G1176" s="81">
        <v>2000</v>
      </c>
      <c r="H1176" s="81">
        <v>2000</v>
      </c>
      <c r="I1176" s="20">
        <f t="shared" si="56"/>
        <v>100</v>
      </c>
      <c r="J1176" s="229">
        <f>SUM(ведомствен.2013!G1031)</f>
        <v>2000</v>
      </c>
      <c r="K1176" s="229">
        <f>SUM(G1176-J1176)</f>
        <v>0</v>
      </c>
    </row>
    <row r="1177" spans="1:11" ht="42.75" hidden="1" customHeight="1">
      <c r="A1177" s="119" t="s">
        <v>376</v>
      </c>
      <c r="B1177" s="138"/>
      <c r="C1177" s="163" t="s">
        <v>940</v>
      </c>
      <c r="D1177" s="163" t="s">
        <v>732</v>
      </c>
      <c r="E1177" s="138" t="s">
        <v>377</v>
      </c>
      <c r="F1177" s="139"/>
      <c r="G1177" s="204">
        <f>SUM(G1178)</f>
        <v>0</v>
      </c>
      <c r="H1177" s="204">
        <f>SUM(H1178)</f>
        <v>0</v>
      </c>
      <c r="I1177" s="20" t="e">
        <f t="shared" si="56"/>
        <v>#DIV/0!</v>
      </c>
      <c r="K1177" s="229"/>
    </row>
    <row r="1178" spans="1:11" ht="15" hidden="1" customHeight="1">
      <c r="A1178" s="97" t="s">
        <v>49</v>
      </c>
      <c r="B1178" s="138"/>
      <c r="C1178" s="163" t="s">
        <v>940</v>
      </c>
      <c r="D1178" s="163" t="s">
        <v>732</v>
      </c>
      <c r="E1178" s="138" t="s">
        <v>377</v>
      </c>
      <c r="F1178" s="139" t="s">
        <v>498</v>
      </c>
      <c r="G1178" s="204"/>
      <c r="H1178" s="204"/>
      <c r="I1178" s="20" t="e">
        <f t="shared" si="56"/>
        <v>#DIV/0!</v>
      </c>
      <c r="J1178" s="225">
        <f>SUM(ведомствен.2013!G736)</f>
        <v>0</v>
      </c>
      <c r="K1178" s="229">
        <f>SUM(G1178-J1178)</f>
        <v>0</v>
      </c>
    </row>
    <row r="1179" spans="1:11" ht="18.75" customHeight="1">
      <c r="A1179" s="97" t="s">
        <v>200</v>
      </c>
      <c r="B1179" s="138"/>
      <c r="C1179" s="138" t="s">
        <v>940</v>
      </c>
      <c r="D1179" s="138" t="s">
        <v>732</v>
      </c>
      <c r="E1179" s="142" t="s">
        <v>201</v>
      </c>
      <c r="F1179" s="140"/>
      <c r="G1179" s="30">
        <f>SUM(G1180)</f>
        <v>3263.4</v>
      </c>
      <c r="H1179" s="30">
        <f>SUM(H1180)</f>
        <v>3263.4</v>
      </c>
      <c r="I1179" s="20">
        <f t="shared" si="56"/>
        <v>100</v>
      </c>
      <c r="K1179" s="229"/>
    </row>
    <row r="1180" spans="1:11" ht="83.25" customHeight="1">
      <c r="A1180" s="115" t="s">
        <v>223</v>
      </c>
      <c r="B1180" s="138"/>
      <c r="C1180" s="138" t="s">
        <v>940</v>
      </c>
      <c r="D1180" s="138" t="s">
        <v>732</v>
      </c>
      <c r="E1180" s="142" t="s">
        <v>694</v>
      </c>
      <c r="F1180" s="149"/>
      <c r="G1180" s="30">
        <f>SUM(G1181:G1183)</f>
        <v>3263.4</v>
      </c>
      <c r="H1180" s="30">
        <f>SUM(H1181:H1183)</f>
        <v>3263.4</v>
      </c>
      <c r="I1180" s="20">
        <f t="shared" si="56"/>
        <v>100</v>
      </c>
      <c r="K1180" s="229"/>
    </row>
    <row r="1181" spans="1:11" ht="15" hidden="1" customHeight="1">
      <c r="A1181" s="129" t="s">
        <v>164</v>
      </c>
      <c r="B1181" s="142"/>
      <c r="C1181" s="138" t="s">
        <v>940</v>
      </c>
      <c r="D1181" s="138" t="s">
        <v>732</v>
      </c>
      <c r="E1181" s="142" t="s">
        <v>694</v>
      </c>
      <c r="F1181" s="140" t="s">
        <v>165</v>
      </c>
      <c r="G1181" s="30"/>
      <c r="H1181" s="30"/>
      <c r="I1181" s="20" t="e">
        <f t="shared" si="56"/>
        <v>#DIV/0!</v>
      </c>
      <c r="J1181" s="225">
        <f>SUM(ведомствен.2013!G1034)</f>
        <v>0</v>
      </c>
      <c r="K1181" s="229">
        <f>SUM(G1181-J1181)</f>
        <v>0</v>
      </c>
    </row>
    <row r="1182" spans="1:11" ht="48" customHeight="1">
      <c r="A1182" s="115" t="s">
        <v>275</v>
      </c>
      <c r="B1182" s="138"/>
      <c r="C1182" s="138" t="s">
        <v>940</v>
      </c>
      <c r="D1182" s="138" t="s">
        <v>732</v>
      </c>
      <c r="E1182" s="142" t="s">
        <v>694</v>
      </c>
      <c r="F1182" s="149" t="s">
        <v>51</v>
      </c>
      <c r="G1182" s="30">
        <v>2634.3</v>
      </c>
      <c r="H1182" s="30">
        <v>2634.3</v>
      </c>
      <c r="I1182" s="20">
        <f t="shared" si="56"/>
        <v>100</v>
      </c>
      <c r="J1182" s="225">
        <f>SUM(ведомствен.2013!G1035)</f>
        <v>2634.3</v>
      </c>
      <c r="K1182" s="229">
        <f>SUM(G1182-J1182)</f>
        <v>0</v>
      </c>
    </row>
    <row r="1183" spans="1:11" ht="21.75" customHeight="1">
      <c r="A1183" s="115" t="s">
        <v>276</v>
      </c>
      <c r="B1183" s="138"/>
      <c r="C1183" s="138" t="s">
        <v>940</v>
      </c>
      <c r="D1183" s="138" t="s">
        <v>732</v>
      </c>
      <c r="E1183" s="142" t="s">
        <v>694</v>
      </c>
      <c r="F1183" s="149" t="s">
        <v>132</v>
      </c>
      <c r="G1183" s="30">
        <v>629.1</v>
      </c>
      <c r="H1183" s="30">
        <v>629.1</v>
      </c>
      <c r="I1183" s="20">
        <f t="shared" si="56"/>
        <v>100</v>
      </c>
      <c r="J1183" s="225">
        <f>SUM(ведомствен.2013!G1036)</f>
        <v>629.1</v>
      </c>
      <c r="K1183" s="229">
        <f>SUM(G1183-J1183)</f>
        <v>0</v>
      </c>
    </row>
    <row r="1184" spans="1:11" s="83" customFormat="1" ht="18" customHeight="1">
      <c r="A1184" s="120" t="s">
        <v>490</v>
      </c>
      <c r="B1184" s="169"/>
      <c r="C1184" s="193" t="s">
        <v>766</v>
      </c>
      <c r="D1184" s="193"/>
      <c r="E1184" s="193"/>
      <c r="F1184" s="194"/>
      <c r="G1184" s="203">
        <f>SUM(G1185+G1200)</f>
        <v>52492.4</v>
      </c>
      <c r="H1184" s="203">
        <f>SUM(H1185+H1200)</f>
        <v>18198.300000000003</v>
      </c>
      <c r="I1184" s="203">
        <f t="shared" si="56"/>
        <v>34.668447241886447</v>
      </c>
      <c r="J1184" s="244"/>
    </row>
    <row r="1185" spans="1:12" s="40" customFormat="1" ht="15.75" customHeight="1">
      <c r="A1185" s="95" t="s">
        <v>471</v>
      </c>
      <c r="B1185" s="138"/>
      <c r="C1185" s="138" t="s">
        <v>766</v>
      </c>
      <c r="D1185" s="138" t="s">
        <v>836</v>
      </c>
      <c r="E1185" s="138"/>
      <c r="F1185" s="139"/>
      <c r="G1185" s="30">
        <f>SUM(G1186,G1189,G1195)</f>
        <v>52187.5</v>
      </c>
      <c r="H1185" s="30">
        <f>SUM(H1186,H1189,H1195)</f>
        <v>17893.400000000001</v>
      </c>
      <c r="I1185" s="20">
        <f t="shared" si="56"/>
        <v>34.286754491017966</v>
      </c>
      <c r="J1185" s="243"/>
      <c r="K1185" s="40">
        <f>SUM(J1186:J1210)</f>
        <v>52492.4</v>
      </c>
      <c r="L1185" s="40">
        <f>SUM(ведомствен.2013!G697+ведомствен.2013!G1193)</f>
        <v>52492.4</v>
      </c>
    </row>
    <row r="1186" spans="1:12" s="40" customFormat="1" ht="30" customHeight="1">
      <c r="A1186" s="95" t="s">
        <v>907</v>
      </c>
      <c r="B1186" s="138"/>
      <c r="C1186" s="138" t="s">
        <v>766</v>
      </c>
      <c r="D1186" s="138" t="s">
        <v>836</v>
      </c>
      <c r="E1186" s="138" t="s">
        <v>908</v>
      </c>
      <c r="F1186" s="140"/>
      <c r="G1186" s="81">
        <f>SUM(G1187)</f>
        <v>3854</v>
      </c>
      <c r="H1186" s="81">
        <f>SUM(H1187)</f>
        <v>3791.9</v>
      </c>
      <c r="I1186" s="20">
        <f t="shared" si="56"/>
        <v>98.388687078360149</v>
      </c>
      <c r="J1186" s="243"/>
    </row>
    <row r="1187" spans="1:12" s="40" customFormat="1" ht="30" customHeight="1">
      <c r="A1187" s="95" t="s">
        <v>48</v>
      </c>
      <c r="B1187" s="138"/>
      <c r="C1187" s="138" t="s">
        <v>766</v>
      </c>
      <c r="D1187" s="138" t="s">
        <v>836</v>
      </c>
      <c r="E1187" s="138" t="s">
        <v>983</v>
      </c>
      <c r="F1187" s="140"/>
      <c r="G1187" s="81">
        <f>SUM(G1188)</f>
        <v>3854</v>
      </c>
      <c r="H1187" s="81">
        <f>SUM(H1188)</f>
        <v>3791.9</v>
      </c>
      <c r="I1187" s="20">
        <f t="shared" si="56"/>
        <v>98.388687078360149</v>
      </c>
      <c r="J1187" s="243"/>
    </row>
    <row r="1188" spans="1:12" s="40" customFormat="1" ht="17.25" customHeight="1">
      <c r="A1188" s="97" t="s">
        <v>49</v>
      </c>
      <c r="B1188" s="138"/>
      <c r="C1188" s="138" t="s">
        <v>766</v>
      </c>
      <c r="D1188" s="138" t="s">
        <v>836</v>
      </c>
      <c r="E1188" s="138" t="s">
        <v>983</v>
      </c>
      <c r="F1188" s="139" t="s">
        <v>498</v>
      </c>
      <c r="G1188" s="81">
        <v>3854</v>
      </c>
      <c r="H1188" s="81">
        <v>3791.9</v>
      </c>
      <c r="I1188" s="20">
        <f t="shared" si="56"/>
        <v>98.388687078360149</v>
      </c>
      <c r="J1188" s="225">
        <f>SUM(ведомствен.2013!G1199)</f>
        <v>3854</v>
      </c>
      <c r="K1188" s="229">
        <f t="shared" ref="K1188:K1210" si="57">SUM(G1188-J1188)</f>
        <v>0</v>
      </c>
    </row>
    <row r="1189" spans="1:12" s="40" customFormat="1" ht="15" customHeight="1">
      <c r="A1189" s="97" t="s">
        <v>200</v>
      </c>
      <c r="B1189" s="138"/>
      <c r="C1189" s="138" t="s">
        <v>766</v>
      </c>
      <c r="D1189" s="138" t="s">
        <v>836</v>
      </c>
      <c r="E1189" s="158" t="s">
        <v>201</v>
      </c>
      <c r="F1189" s="139"/>
      <c r="G1189" s="30">
        <f>SUM(G1190)+G1193</f>
        <v>4923.5</v>
      </c>
      <c r="H1189" s="30">
        <f>SUM(H1190)+H1193</f>
        <v>4901.7999999999993</v>
      </c>
      <c r="I1189" s="20">
        <f t="shared" si="56"/>
        <v>99.559256626383657</v>
      </c>
      <c r="J1189" s="225"/>
      <c r="K1189" s="229"/>
    </row>
    <row r="1190" spans="1:12" s="40" customFormat="1" ht="39" customHeight="1">
      <c r="A1190" s="95" t="s">
        <v>608</v>
      </c>
      <c r="B1190" s="138"/>
      <c r="C1190" s="138" t="s">
        <v>766</v>
      </c>
      <c r="D1190" s="138" t="s">
        <v>836</v>
      </c>
      <c r="E1190" s="158" t="s">
        <v>158</v>
      </c>
      <c r="F1190" s="139"/>
      <c r="G1190" s="30">
        <f>SUM(G1191:G1192)</f>
        <v>4353.6000000000004</v>
      </c>
      <c r="H1190" s="30">
        <f>SUM(H1191:H1192)</f>
        <v>4331.8999999999996</v>
      </c>
      <c r="I1190" s="20">
        <f t="shared" si="56"/>
        <v>99.501561925762573</v>
      </c>
      <c r="J1190" s="225"/>
      <c r="K1190" s="229"/>
    </row>
    <row r="1191" spans="1:12" ht="30" customHeight="1">
      <c r="A1191" s="95" t="s">
        <v>159</v>
      </c>
      <c r="B1191" s="138"/>
      <c r="C1191" s="138" t="s">
        <v>766</v>
      </c>
      <c r="D1191" s="138" t="s">
        <v>836</v>
      </c>
      <c r="E1191" s="158" t="s">
        <v>158</v>
      </c>
      <c r="F1191" s="139" t="s">
        <v>569</v>
      </c>
      <c r="G1191" s="30">
        <v>4353.6000000000004</v>
      </c>
      <c r="H1191" s="30">
        <v>4331.8999999999996</v>
      </c>
      <c r="I1191" s="20">
        <f t="shared" si="56"/>
        <v>99.501561925762573</v>
      </c>
      <c r="J1191" s="225">
        <f>SUM(ведомствен.2013!G1202)</f>
        <v>4353.6000000000004</v>
      </c>
      <c r="K1191" s="229">
        <f t="shared" si="57"/>
        <v>0</v>
      </c>
    </row>
    <row r="1192" spans="1:12" ht="15" hidden="1" customHeight="1">
      <c r="A1192" s="97" t="s">
        <v>231</v>
      </c>
      <c r="B1192" s="138"/>
      <c r="C1192" s="138" t="s">
        <v>766</v>
      </c>
      <c r="D1192" s="138" t="s">
        <v>836</v>
      </c>
      <c r="E1192" s="158" t="s">
        <v>158</v>
      </c>
      <c r="F1192" s="139" t="s">
        <v>132</v>
      </c>
      <c r="G1192" s="30"/>
      <c r="H1192" s="30"/>
      <c r="I1192" s="20" t="e">
        <f t="shared" si="56"/>
        <v>#DIV/0!</v>
      </c>
      <c r="J1192" s="225">
        <f>SUM(ведомствен.2013!G1203)</f>
        <v>0</v>
      </c>
      <c r="K1192" s="229">
        <f t="shared" si="57"/>
        <v>0</v>
      </c>
    </row>
    <row r="1193" spans="1:12" ht="45" customHeight="1">
      <c r="A1193" s="95" t="s">
        <v>246</v>
      </c>
      <c r="B1193" s="138"/>
      <c r="C1193" s="138" t="s">
        <v>766</v>
      </c>
      <c r="D1193" s="138" t="s">
        <v>836</v>
      </c>
      <c r="E1193" s="158" t="s">
        <v>757</v>
      </c>
      <c r="F1193" s="139"/>
      <c r="G1193" s="30">
        <f>SUM(G1194)</f>
        <v>569.9</v>
      </c>
      <c r="H1193" s="30">
        <f>SUM(H1194)</f>
        <v>569.9</v>
      </c>
      <c r="I1193" s="20">
        <f t="shared" si="56"/>
        <v>100</v>
      </c>
      <c r="K1193" s="229"/>
    </row>
    <row r="1194" spans="1:12" ht="19.5" customHeight="1">
      <c r="A1194" s="97" t="s">
        <v>231</v>
      </c>
      <c r="B1194" s="138"/>
      <c r="C1194" s="138" t="s">
        <v>766</v>
      </c>
      <c r="D1194" s="138" t="s">
        <v>836</v>
      </c>
      <c r="E1194" s="158" t="s">
        <v>757</v>
      </c>
      <c r="F1194" s="139" t="s">
        <v>132</v>
      </c>
      <c r="G1194" s="30">
        <v>569.9</v>
      </c>
      <c r="H1194" s="30">
        <v>569.9</v>
      </c>
      <c r="I1194" s="20">
        <f t="shared" si="56"/>
        <v>100</v>
      </c>
      <c r="J1194" s="225">
        <f>SUM(ведомствен.2013!G1205)</f>
        <v>569.9</v>
      </c>
      <c r="K1194" s="229">
        <f t="shared" si="57"/>
        <v>0</v>
      </c>
    </row>
    <row r="1195" spans="1:12" ht="15">
      <c r="A1195" s="95" t="s">
        <v>273</v>
      </c>
      <c r="B1195" s="138"/>
      <c r="C1195" s="138" t="s">
        <v>766</v>
      </c>
      <c r="D1195" s="138" t="s">
        <v>838</v>
      </c>
      <c r="E1195" s="142"/>
      <c r="F1195" s="140"/>
      <c r="G1195" s="30">
        <f>SUM(G1196)</f>
        <v>43410</v>
      </c>
      <c r="H1195" s="30">
        <f>SUM(H1196)</f>
        <v>9199.7000000000007</v>
      </c>
      <c r="I1195" s="20">
        <f t="shared" si="56"/>
        <v>21.192582354296245</v>
      </c>
      <c r="K1195" s="229"/>
    </row>
    <row r="1196" spans="1:12" ht="18.75" customHeight="1">
      <c r="A1196" s="95" t="s">
        <v>932</v>
      </c>
      <c r="B1196" s="138"/>
      <c r="C1196" s="138" t="s">
        <v>766</v>
      </c>
      <c r="D1196" s="138" t="s">
        <v>838</v>
      </c>
      <c r="E1196" s="138" t="s">
        <v>933</v>
      </c>
      <c r="F1196" s="140"/>
      <c r="G1196" s="30">
        <f>SUM(G1197)</f>
        <v>43410</v>
      </c>
      <c r="H1196" s="30">
        <f>SUM(H1197)</f>
        <v>9199.7000000000007</v>
      </c>
      <c r="I1196" s="20">
        <f t="shared" si="56"/>
        <v>21.192582354296245</v>
      </c>
      <c r="K1196" s="229"/>
    </row>
    <row r="1197" spans="1:12" ht="33" customHeight="1">
      <c r="A1197" s="95" t="s">
        <v>274</v>
      </c>
      <c r="B1197" s="138"/>
      <c r="C1197" s="138" t="s">
        <v>766</v>
      </c>
      <c r="D1197" s="138" t="s">
        <v>838</v>
      </c>
      <c r="E1197" s="138" t="s">
        <v>566</v>
      </c>
      <c r="F1197" s="140"/>
      <c r="G1197" s="30">
        <f>SUM(G1198:G1199)</f>
        <v>43410</v>
      </c>
      <c r="H1197" s="30">
        <f>SUM(H1198:H1199)</f>
        <v>9199.7000000000007</v>
      </c>
      <c r="I1197" s="20">
        <f t="shared" si="56"/>
        <v>21.192582354296245</v>
      </c>
      <c r="K1197" s="229"/>
    </row>
    <row r="1198" spans="1:12" ht="19.5" customHeight="1">
      <c r="A1198" s="95" t="s">
        <v>164</v>
      </c>
      <c r="B1198" s="138"/>
      <c r="C1198" s="138" t="s">
        <v>766</v>
      </c>
      <c r="D1198" s="138" t="s">
        <v>838</v>
      </c>
      <c r="E1198" s="138" t="s">
        <v>566</v>
      </c>
      <c r="F1198" s="140" t="s">
        <v>165</v>
      </c>
      <c r="G1198" s="30"/>
      <c r="H1198" s="30">
        <v>5759.7</v>
      </c>
      <c r="I1198" s="20"/>
      <c r="K1198" s="229"/>
    </row>
    <row r="1199" spans="1:12" ht="24" customHeight="1">
      <c r="A1199" s="97" t="s">
        <v>231</v>
      </c>
      <c r="B1199" s="138"/>
      <c r="C1199" s="138" t="s">
        <v>766</v>
      </c>
      <c r="D1199" s="138" t="s">
        <v>838</v>
      </c>
      <c r="E1199" s="138" t="s">
        <v>566</v>
      </c>
      <c r="F1199" s="139" t="s">
        <v>132</v>
      </c>
      <c r="G1199" s="30">
        <v>43410</v>
      </c>
      <c r="H1199" s="30">
        <v>3440</v>
      </c>
      <c r="I1199" s="20">
        <f t="shared" si="56"/>
        <v>7.9244413729555401</v>
      </c>
      <c r="J1199" s="225">
        <f>SUM(ведомствен.2013!G1209)+ведомствен.2013!G701</f>
        <v>43410</v>
      </c>
      <c r="K1199" s="229">
        <f t="shared" si="57"/>
        <v>0</v>
      </c>
    </row>
    <row r="1200" spans="1:12" s="40" customFormat="1" ht="17.25" customHeight="1">
      <c r="A1200" s="95" t="s">
        <v>472</v>
      </c>
      <c r="B1200" s="138"/>
      <c r="C1200" s="138" t="s">
        <v>766</v>
      </c>
      <c r="D1200" s="138" t="s">
        <v>204</v>
      </c>
      <c r="E1200" s="142"/>
      <c r="F1200" s="140"/>
      <c r="G1200" s="30">
        <f>SUM(G1201+G1204+G1206)</f>
        <v>304.89999999999998</v>
      </c>
      <c r="H1200" s="30">
        <f>SUM(H1201+H1204+H1206)</f>
        <v>304.89999999999998</v>
      </c>
      <c r="I1200" s="20">
        <f t="shared" si="56"/>
        <v>100</v>
      </c>
      <c r="J1200" s="243"/>
      <c r="K1200" s="229"/>
    </row>
    <row r="1201" spans="1:11" s="40" customFormat="1" ht="42.75" hidden="1" customHeight="1">
      <c r="A1201" s="95" t="s">
        <v>160</v>
      </c>
      <c r="B1201" s="138"/>
      <c r="C1201" s="138" t="s">
        <v>766</v>
      </c>
      <c r="D1201" s="138" t="s">
        <v>204</v>
      </c>
      <c r="E1201" s="138" t="s">
        <v>161</v>
      </c>
      <c r="F1201" s="140"/>
      <c r="G1201" s="30">
        <f>SUM(G1202)</f>
        <v>0</v>
      </c>
      <c r="H1201" s="30">
        <f>SUM(H1202)</f>
        <v>0</v>
      </c>
      <c r="I1201" s="20" t="e">
        <f t="shared" si="56"/>
        <v>#DIV/0!</v>
      </c>
      <c r="J1201" s="243"/>
      <c r="K1201" s="229"/>
    </row>
    <row r="1202" spans="1:11" s="40" customFormat="1" ht="15" hidden="1" customHeight="1">
      <c r="A1202" s="95" t="s">
        <v>168</v>
      </c>
      <c r="B1202" s="138"/>
      <c r="C1202" s="138" t="s">
        <v>766</v>
      </c>
      <c r="D1202" s="138" t="s">
        <v>204</v>
      </c>
      <c r="E1202" s="138" t="s">
        <v>170</v>
      </c>
      <c r="F1202" s="140"/>
      <c r="G1202" s="30">
        <f>SUM(G1203)</f>
        <v>0</v>
      </c>
      <c r="H1202" s="30">
        <f>SUM(H1203)</f>
        <v>0</v>
      </c>
      <c r="I1202" s="20" t="e">
        <f t="shared" si="56"/>
        <v>#DIV/0!</v>
      </c>
      <c r="J1202" s="243"/>
      <c r="K1202" s="229"/>
    </row>
    <row r="1203" spans="1:11" s="40" customFormat="1" ht="15" hidden="1" customHeight="1">
      <c r="A1203" s="95" t="s">
        <v>164</v>
      </c>
      <c r="B1203" s="138"/>
      <c r="C1203" s="138" t="s">
        <v>766</v>
      </c>
      <c r="D1203" s="138" t="s">
        <v>204</v>
      </c>
      <c r="E1203" s="138" t="s">
        <v>170</v>
      </c>
      <c r="F1203" s="139" t="s">
        <v>165</v>
      </c>
      <c r="G1203" s="30"/>
      <c r="H1203" s="30"/>
      <c r="I1203" s="20" t="e">
        <f t="shared" si="56"/>
        <v>#DIV/0!</v>
      </c>
      <c r="J1203" s="225">
        <f>SUM(ведомствен.2013!G1213)</f>
        <v>0</v>
      </c>
      <c r="K1203" s="229"/>
    </row>
    <row r="1204" spans="1:11" s="40" customFormat="1" ht="15" hidden="1" customHeight="1">
      <c r="A1204" s="97" t="s">
        <v>728</v>
      </c>
      <c r="B1204" s="138"/>
      <c r="C1204" s="138" t="s">
        <v>766</v>
      </c>
      <c r="D1204" s="138" t="s">
        <v>204</v>
      </c>
      <c r="E1204" s="142" t="s">
        <v>729</v>
      </c>
      <c r="F1204" s="140"/>
      <c r="G1204" s="30">
        <f>SUM(G1205)</f>
        <v>0</v>
      </c>
      <c r="H1204" s="30">
        <f>SUM(H1205)</f>
        <v>0</v>
      </c>
      <c r="I1204" s="20" t="e">
        <f t="shared" si="56"/>
        <v>#DIV/0!</v>
      </c>
      <c r="J1204" s="243"/>
      <c r="K1204" s="229"/>
    </row>
    <row r="1205" spans="1:11" s="40" customFormat="1" ht="15" hidden="1" customHeight="1">
      <c r="A1205" s="95" t="s">
        <v>164</v>
      </c>
      <c r="B1205" s="138"/>
      <c r="C1205" s="138" t="s">
        <v>766</v>
      </c>
      <c r="D1205" s="138" t="s">
        <v>204</v>
      </c>
      <c r="E1205" s="142" t="s">
        <v>729</v>
      </c>
      <c r="F1205" s="140" t="s">
        <v>165</v>
      </c>
      <c r="G1205" s="30"/>
      <c r="H1205" s="30"/>
      <c r="I1205" s="20" t="e">
        <f t="shared" si="56"/>
        <v>#DIV/0!</v>
      </c>
      <c r="J1205" s="243"/>
      <c r="K1205" s="229"/>
    </row>
    <row r="1206" spans="1:11" ht="14.25" customHeight="1">
      <c r="A1206" s="97" t="s">
        <v>200</v>
      </c>
      <c r="B1206" s="142"/>
      <c r="C1206" s="138" t="s">
        <v>766</v>
      </c>
      <c r="D1206" s="138" t="s">
        <v>204</v>
      </c>
      <c r="E1206" s="142" t="s">
        <v>201</v>
      </c>
      <c r="F1206" s="140"/>
      <c r="G1206" s="204">
        <f>SUM(G1209)+G1207</f>
        <v>304.89999999999998</v>
      </c>
      <c r="H1206" s="204">
        <f>SUM(H1209)+H1207</f>
        <v>304.89999999999998</v>
      </c>
      <c r="I1206" s="20">
        <f t="shared" si="56"/>
        <v>100</v>
      </c>
      <c r="K1206" s="229"/>
    </row>
    <row r="1207" spans="1:11" ht="42.75" hidden="1">
      <c r="A1207" s="98" t="s">
        <v>386</v>
      </c>
      <c r="B1207" s="138"/>
      <c r="C1207" s="138" t="s">
        <v>766</v>
      </c>
      <c r="D1207" s="138" t="s">
        <v>204</v>
      </c>
      <c r="E1207" s="142" t="s">
        <v>597</v>
      </c>
      <c r="F1207" s="139"/>
      <c r="G1207" s="30">
        <f>SUM(G1208)</f>
        <v>0</v>
      </c>
      <c r="H1207" s="30">
        <f>SUM(H1208)</f>
        <v>0</v>
      </c>
      <c r="I1207" s="20" t="e">
        <f t="shared" si="56"/>
        <v>#DIV/0!</v>
      </c>
      <c r="K1207" s="229"/>
    </row>
    <row r="1208" spans="1:11" ht="15" hidden="1">
      <c r="A1208" s="95" t="s">
        <v>164</v>
      </c>
      <c r="B1208" s="138"/>
      <c r="C1208" s="138" t="s">
        <v>766</v>
      </c>
      <c r="D1208" s="138" t="s">
        <v>204</v>
      </c>
      <c r="E1208" s="142" t="s">
        <v>597</v>
      </c>
      <c r="F1208" s="139" t="s">
        <v>165</v>
      </c>
      <c r="G1208" s="30"/>
      <c r="H1208" s="30"/>
      <c r="I1208" s="20" t="e">
        <f t="shared" si="56"/>
        <v>#DIV/0!</v>
      </c>
      <c r="J1208" s="225">
        <f>SUM(ведомствен.2013!G1216)</f>
        <v>0</v>
      </c>
      <c r="K1208" s="229"/>
    </row>
    <row r="1209" spans="1:11" ht="29.25" customHeight="1">
      <c r="A1209" s="95" t="s">
        <v>629</v>
      </c>
      <c r="B1209" s="138"/>
      <c r="C1209" s="138" t="s">
        <v>766</v>
      </c>
      <c r="D1209" s="138" t="s">
        <v>204</v>
      </c>
      <c r="E1209" s="142" t="s">
        <v>41</v>
      </c>
      <c r="F1209" s="144"/>
      <c r="G1209" s="204">
        <f>SUM(G1210)</f>
        <v>304.89999999999998</v>
      </c>
      <c r="H1209" s="204">
        <f>SUM(H1210)</f>
        <v>304.89999999999998</v>
      </c>
      <c r="I1209" s="20">
        <f t="shared" si="56"/>
        <v>100</v>
      </c>
      <c r="K1209" s="229"/>
    </row>
    <row r="1210" spans="1:11" ht="20.25" customHeight="1">
      <c r="A1210" s="98" t="s">
        <v>207</v>
      </c>
      <c r="B1210" s="138"/>
      <c r="C1210" s="138" t="s">
        <v>766</v>
      </c>
      <c r="D1210" s="138" t="s">
        <v>204</v>
      </c>
      <c r="E1210" s="142" t="s">
        <v>41</v>
      </c>
      <c r="F1210" s="144" t="s">
        <v>208</v>
      </c>
      <c r="G1210" s="204">
        <v>304.89999999999998</v>
      </c>
      <c r="H1210" s="204">
        <v>304.89999999999998</v>
      </c>
      <c r="I1210" s="20">
        <f t="shared" si="56"/>
        <v>100</v>
      </c>
      <c r="J1210" s="225">
        <f>SUM(ведомствен.2013!G705)</f>
        <v>304.89999999999998</v>
      </c>
      <c r="K1210" s="229">
        <f t="shared" si="57"/>
        <v>0</v>
      </c>
    </row>
    <row r="1211" spans="1:11" s="40" customFormat="1" ht="15" hidden="1" customHeight="1">
      <c r="A1211" s="129"/>
      <c r="B1211" s="199"/>
      <c r="C1211" s="199"/>
      <c r="D1211" s="199"/>
      <c r="E1211" s="138"/>
      <c r="F1211" s="201"/>
      <c r="G1211" s="210"/>
      <c r="H1211" s="210"/>
      <c r="I1211" s="20" t="e">
        <f t="shared" ref="I1211:I1217" si="58">SUM(H1211/G1211*100)</f>
        <v>#DIV/0!</v>
      </c>
      <c r="J1211" s="243"/>
    </row>
    <row r="1212" spans="1:11" s="40" customFormat="1" ht="15" hidden="1" customHeight="1">
      <c r="A1212" s="129"/>
      <c r="B1212" s="199"/>
      <c r="C1212" s="199"/>
      <c r="D1212" s="199"/>
      <c r="E1212" s="138"/>
      <c r="F1212" s="201"/>
      <c r="G1212" s="210"/>
      <c r="H1212" s="210"/>
      <c r="I1212" s="20" t="e">
        <f t="shared" si="58"/>
        <v>#DIV/0!</v>
      </c>
      <c r="J1212" s="243"/>
    </row>
    <row r="1213" spans="1:11" s="83" customFormat="1" ht="21" customHeight="1">
      <c r="A1213" s="120" t="s">
        <v>741</v>
      </c>
      <c r="B1213" s="169"/>
      <c r="C1213" s="169" t="s">
        <v>469</v>
      </c>
      <c r="D1213" s="169" t="s">
        <v>342</v>
      </c>
      <c r="E1213" s="169"/>
      <c r="F1213" s="195"/>
      <c r="G1213" s="203">
        <f>SUM(G1214)</f>
        <v>13330.2</v>
      </c>
      <c r="H1213" s="203">
        <f>SUM(H1214)</f>
        <v>12742.8</v>
      </c>
      <c r="I1213" s="203">
        <f t="shared" si="58"/>
        <v>95.593464464149065</v>
      </c>
      <c r="J1213" s="244"/>
      <c r="K1213" s="106">
        <f>SUM(J1213:J1217)</f>
        <v>13330.2</v>
      </c>
    </row>
    <row r="1214" spans="1:11" s="40" customFormat="1" ht="33" customHeight="1">
      <c r="A1214" s="115" t="s">
        <v>470</v>
      </c>
      <c r="B1214" s="138"/>
      <c r="C1214" s="163" t="s">
        <v>469</v>
      </c>
      <c r="D1214" s="163" t="s">
        <v>836</v>
      </c>
      <c r="E1214" s="138"/>
      <c r="F1214" s="139"/>
      <c r="G1214" s="204">
        <f>SUM(G1215)</f>
        <v>13330.2</v>
      </c>
      <c r="H1214" s="204">
        <f>SUM(H1215)</f>
        <v>12742.8</v>
      </c>
      <c r="I1214" s="20">
        <f t="shared" si="58"/>
        <v>95.593464464149065</v>
      </c>
      <c r="J1214" s="243"/>
    </row>
    <row r="1215" spans="1:11" s="40" customFormat="1" ht="16.5" customHeight="1">
      <c r="A1215" s="95" t="s">
        <v>742</v>
      </c>
      <c r="B1215" s="138"/>
      <c r="C1215" s="163" t="s">
        <v>469</v>
      </c>
      <c r="D1215" s="163" t="s">
        <v>836</v>
      </c>
      <c r="E1215" s="138" t="s">
        <v>743</v>
      </c>
      <c r="F1215" s="141"/>
      <c r="G1215" s="30">
        <f>SUM(G1217)</f>
        <v>13330.2</v>
      </c>
      <c r="H1215" s="30">
        <f>SUM(H1217)</f>
        <v>12742.8</v>
      </c>
      <c r="I1215" s="20">
        <f t="shared" si="58"/>
        <v>95.593464464149065</v>
      </c>
      <c r="J1215" s="243"/>
    </row>
    <row r="1216" spans="1:11" s="40" customFormat="1" ht="18.75" customHeight="1">
      <c r="A1216" s="95" t="s">
        <v>744</v>
      </c>
      <c r="B1216" s="138"/>
      <c r="C1216" s="163" t="s">
        <v>469</v>
      </c>
      <c r="D1216" s="163" t="s">
        <v>836</v>
      </c>
      <c r="E1216" s="138" t="s">
        <v>745</v>
      </c>
      <c r="F1216" s="141"/>
      <c r="G1216" s="30">
        <f>SUM(G1217)</f>
        <v>13330.2</v>
      </c>
      <c r="H1216" s="30">
        <f>SUM(H1217)</f>
        <v>12742.8</v>
      </c>
      <c r="I1216" s="20">
        <f t="shared" si="58"/>
        <v>95.593464464149065</v>
      </c>
      <c r="J1216" s="243"/>
    </row>
    <row r="1217" spans="1:10" s="40" customFormat="1" ht="20.25" customHeight="1" thickBot="1">
      <c r="A1217" s="95" t="s">
        <v>746</v>
      </c>
      <c r="B1217" s="138"/>
      <c r="C1217" s="163" t="s">
        <v>469</v>
      </c>
      <c r="D1217" s="163" t="s">
        <v>836</v>
      </c>
      <c r="E1217" s="138" t="s">
        <v>745</v>
      </c>
      <c r="F1217" s="141" t="s">
        <v>747</v>
      </c>
      <c r="G1217" s="30">
        <v>13330.2</v>
      </c>
      <c r="H1217" s="30">
        <v>12742.8</v>
      </c>
      <c r="I1217" s="20">
        <f t="shared" si="58"/>
        <v>95.593464464149065</v>
      </c>
      <c r="J1217" s="243">
        <f>SUM(ведомствен.2013!G741)</f>
        <v>13330.2</v>
      </c>
    </row>
    <row r="1218" spans="1:10" s="33" customFormat="1" ht="21.75" customHeight="1" thickBot="1">
      <c r="A1218" s="130" t="s">
        <v>303</v>
      </c>
      <c r="B1218" s="179"/>
      <c r="C1218" s="180"/>
      <c r="D1218" s="180"/>
      <c r="E1218" s="180"/>
      <c r="F1218" s="181"/>
      <c r="G1218" s="211">
        <f>SUM(G13+G144+G203+G275+G455+G496+G764+G839+G966)+G1213+G1184</f>
        <v>3915260.8</v>
      </c>
      <c r="H1218" s="211">
        <f>SUM(H13+H144+H203+H275+H455+H496+H764+H839+H966)+H1213+H1184</f>
        <v>3816151.8999999994</v>
      </c>
      <c r="I1218" s="363">
        <f>SUM(H1218/G1218*100)</f>
        <v>97.468651385879568</v>
      </c>
      <c r="J1218" s="237">
        <f>SUM(J13:J1217)</f>
        <v>3915260.7999999993</v>
      </c>
    </row>
    <row r="1219" spans="1:10" ht="27" hidden="1" customHeight="1" thickBot="1">
      <c r="A1219" s="41" t="s">
        <v>304</v>
      </c>
      <c r="B1219" s="42"/>
      <c r="C1219" s="43"/>
      <c r="D1219" s="42"/>
      <c r="E1219" s="42"/>
      <c r="F1219" s="44"/>
      <c r="G1219" s="45">
        <f>-76000-174.5-350</f>
        <v>-76524.5</v>
      </c>
      <c r="H1219" s="45">
        <f>-76000-174.5-350</f>
        <v>-76524.5</v>
      </c>
      <c r="I1219" s="45">
        <f>-76000-174.5-350</f>
        <v>-76524.5</v>
      </c>
    </row>
    <row r="1220" spans="1:10" ht="15" hidden="1" customHeight="1">
      <c r="A1220" s="88" t="s">
        <v>305</v>
      </c>
      <c r="B1220" s="46"/>
      <c r="C1220" s="47"/>
      <c r="D1220" s="46"/>
      <c r="E1220" s="46"/>
      <c r="F1220" s="48"/>
      <c r="G1220" s="49"/>
      <c r="H1220" s="49"/>
      <c r="I1220" s="49"/>
    </row>
    <row r="1221" spans="1:10" ht="15.75" hidden="1" customHeight="1" thickBot="1">
      <c r="A1221" s="41" t="s">
        <v>305</v>
      </c>
      <c r="B1221" s="43" t="s">
        <v>306</v>
      </c>
      <c r="C1221" s="43" t="s">
        <v>342</v>
      </c>
      <c r="D1221" s="43" t="s">
        <v>342</v>
      </c>
      <c r="E1221" s="43" t="s">
        <v>307</v>
      </c>
      <c r="F1221" s="50" t="s">
        <v>306</v>
      </c>
      <c r="G1221" s="51"/>
      <c r="H1221" s="51"/>
      <c r="I1221" s="51"/>
    </row>
    <row r="1222" spans="1:10" ht="30" hidden="1" customHeight="1">
      <c r="A1222" s="89" t="s">
        <v>308</v>
      </c>
      <c r="B1222" s="52" t="s">
        <v>306</v>
      </c>
      <c r="C1222" s="52" t="s">
        <v>836</v>
      </c>
      <c r="D1222" s="52" t="s">
        <v>167</v>
      </c>
      <c r="E1222" s="52" t="s">
        <v>307</v>
      </c>
      <c r="F1222" s="53"/>
      <c r="G1222" s="54">
        <v>0</v>
      </c>
      <c r="H1222" s="54">
        <v>0</v>
      </c>
      <c r="I1222" s="54">
        <v>0</v>
      </c>
    </row>
    <row r="1223" spans="1:10" ht="42.75" hidden="1" customHeight="1">
      <c r="A1223" s="21" t="s">
        <v>309</v>
      </c>
      <c r="B1223" s="55" t="s">
        <v>306</v>
      </c>
      <c r="C1223" s="55" t="s">
        <v>836</v>
      </c>
      <c r="D1223" s="55" t="s">
        <v>167</v>
      </c>
      <c r="E1223" s="55" t="s">
        <v>310</v>
      </c>
      <c r="F1223" s="56" t="s">
        <v>311</v>
      </c>
      <c r="G1223" s="54">
        <v>62000</v>
      </c>
      <c r="H1223" s="54">
        <v>62000</v>
      </c>
      <c r="I1223" s="54">
        <v>62000</v>
      </c>
    </row>
    <row r="1224" spans="1:10" ht="42.75" hidden="1" customHeight="1">
      <c r="A1224" s="90" t="s">
        <v>312</v>
      </c>
      <c r="B1224" s="55" t="s">
        <v>306</v>
      </c>
      <c r="C1224" s="55" t="s">
        <v>836</v>
      </c>
      <c r="D1224" s="55" t="s">
        <v>167</v>
      </c>
      <c r="E1224" s="55" t="s">
        <v>310</v>
      </c>
      <c r="F1224" s="56" t="s">
        <v>313</v>
      </c>
      <c r="G1224" s="57">
        <v>62000</v>
      </c>
      <c r="H1224" s="57">
        <v>62000</v>
      </c>
      <c r="I1224" s="57">
        <v>62000</v>
      </c>
    </row>
    <row r="1225" spans="1:10" ht="28.5" hidden="1" customHeight="1">
      <c r="A1225" s="24" t="s">
        <v>314</v>
      </c>
      <c r="B1225" s="55" t="s">
        <v>306</v>
      </c>
      <c r="C1225" s="55" t="s">
        <v>732</v>
      </c>
      <c r="D1225" s="55" t="s">
        <v>342</v>
      </c>
      <c r="E1225" s="55" t="s">
        <v>307</v>
      </c>
      <c r="F1225" s="56" t="s">
        <v>306</v>
      </c>
      <c r="G1225" s="58"/>
      <c r="H1225" s="58"/>
      <c r="I1225" s="58"/>
    </row>
    <row r="1226" spans="1:10" ht="15" hidden="1" customHeight="1">
      <c r="A1226" s="91" t="s">
        <v>315</v>
      </c>
      <c r="B1226" s="59" t="s">
        <v>306</v>
      </c>
      <c r="C1226" s="59" t="s">
        <v>836</v>
      </c>
      <c r="D1226" s="59" t="s">
        <v>204</v>
      </c>
      <c r="E1226" s="59" t="s">
        <v>316</v>
      </c>
      <c r="F1226" s="60" t="s">
        <v>306</v>
      </c>
      <c r="G1226" s="61">
        <f>67475+1681.5+1571.6</f>
        <v>70728.100000000006</v>
      </c>
      <c r="H1226" s="61">
        <f>67475+1681.5+1571.6</f>
        <v>70728.100000000006</v>
      </c>
      <c r="I1226" s="61">
        <f>67475+1681.5+1571.6</f>
        <v>70728.100000000006</v>
      </c>
    </row>
    <row r="1227" spans="1:10" ht="15" hidden="1" customHeight="1">
      <c r="A1227" s="34" t="s">
        <v>317</v>
      </c>
      <c r="B1227" s="55" t="s">
        <v>306</v>
      </c>
      <c r="C1227" s="59" t="s">
        <v>836</v>
      </c>
      <c r="D1227" s="59" t="s">
        <v>732</v>
      </c>
      <c r="E1227" s="59" t="s">
        <v>307</v>
      </c>
      <c r="F1227" s="60" t="s">
        <v>306</v>
      </c>
      <c r="G1227" s="27">
        <f>SUM(G1228-G1229)</f>
        <v>0</v>
      </c>
      <c r="H1227" s="27">
        <f>SUM(H1228-H1229)</f>
        <v>0</v>
      </c>
      <c r="I1227" s="27">
        <f>SUM(I1228-I1229)</f>
        <v>0</v>
      </c>
    </row>
    <row r="1228" spans="1:10" ht="71.25" hidden="1" customHeight="1">
      <c r="A1228" s="92" t="s">
        <v>993</v>
      </c>
      <c r="B1228" s="55"/>
      <c r="C1228" s="59" t="s">
        <v>836</v>
      </c>
      <c r="D1228" s="59" t="s">
        <v>732</v>
      </c>
      <c r="E1228" s="62" t="s">
        <v>994</v>
      </c>
      <c r="F1228" s="63">
        <v>810</v>
      </c>
      <c r="G1228" s="27">
        <v>10000</v>
      </c>
      <c r="H1228" s="27">
        <v>10000</v>
      </c>
      <c r="I1228" s="27">
        <v>10000</v>
      </c>
    </row>
    <row r="1229" spans="1:10" ht="43.5" hidden="1" customHeight="1" thickBot="1">
      <c r="A1229" s="93" t="s">
        <v>995</v>
      </c>
      <c r="B1229" s="64"/>
      <c r="C1229" s="64" t="s">
        <v>836</v>
      </c>
      <c r="D1229" s="64" t="s">
        <v>732</v>
      </c>
      <c r="E1229" s="65" t="s">
        <v>996</v>
      </c>
      <c r="F1229" s="66">
        <v>640</v>
      </c>
      <c r="G1229" s="67">
        <v>10000</v>
      </c>
      <c r="H1229" s="67">
        <v>10000</v>
      </c>
      <c r="I1229" s="67">
        <v>10000</v>
      </c>
    </row>
    <row r="1230" spans="1:10">
      <c r="G1230" s="103"/>
      <c r="H1230" s="103"/>
    </row>
    <row r="1231" spans="1:10">
      <c r="G1231" s="104"/>
      <c r="H1231" s="104"/>
      <c r="J1231" s="225">
        <f>SUM(J1218-ведомствен.2013!G1721)</f>
        <v>-4.6566128730773926E-10</v>
      </c>
    </row>
    <row r="1233" spans="10:10">
      <c r="J1233" s="225">
        <f>SUM(J1218-G1218)</f>
        <v>-4.6566128730773926E-10</v>
      </c>
    </row>
  </sheetData>
  <mergeCells count="1">
    <mergeCell ref="F5:G5"/>
  </mergeCells>
  <phoneticPr fontId="25" type="noConversion"/>
  <pageMargins left="1.1023622047244095" right="0" top="0.15748031496062992" bottom="3.937007874015748E-2" header="0.51181102362204722" footer="0.23622047244094491"/>
  <pageSetup paperSize="9" scale="58" fitToHeight="1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31"/>
  <sheetViews>
    <sheetView workbookViewId="0">
      <selection activeCell="I10" sqref="I10"/>
    </sheetView>
  </sheetViews>
  <sheetFormatPr defaultRowHeight="12.75"/>
  <cols>
    <col min="1" max="1" width="75.42578125" style="96" customWidth="1"/>
    <col min="2" max="2" width="6.85546875" style="1" customWidth="1"/>
    <col min="3" max="3" width="7.7109375" customWidth="1"/>
    <col min="4" max="4" width="6.85546875" customWidth="1"/>
    <col min="5" max="5" width="12.7109375" customWidth="1"/>
    <col min="6" max="6" width="10.140625" customWidth="1"/>
    <col min="7" max="7" width="17" style="5" customWidth="1"/>
    <col min="8" max="8" width="15.28515625" style="5" customWidth="1"/>
    <col min="9" max="9" width="12.42578125" style="5" customWidth="1"/>
    <col min="10" max="10" width="5.42578125" customWidth="1"/>
    <col min="11" max="11" width="13.7109375" hidden="1" customWidth="1"/>
  </cols>
  <sheetData>
    <row r="1" spans="1:9">
      <c r="F1" s="25" t="s">
        <v>1070</v>
      </c>
      <c r="G1" s="79"/>
      <c r="I1" s="3"/>
    </row>
    <row r="2" spans="1:9">
      <c r="A2" s="96" t="s">
        <v>997</v>
      </c>
      <c r="F2" s="4" t="s">
        <v>1487</v>
      </c>
      <c r="G2" s="79"/>
      <c r="I2" s="3"/>
    </row>
    <row r="3" spans="1:9">
      <c r="F3" s="4"/>
      <c r="G3" s="79"/>
      <c r="I3" s="3"/>
    </row>
    <row r="4" spans="1:9">
      <c r="F4" s="4"/>
      <c r="G4" s="79"/>
      <c r="I4" s="3"/>
    </row>
    <row r="5" spans="1:9" ht="12.75" customHeight="1">
      <c r="B5" s="6" t="s">
        <v>998</v>
      </c>
      <c r="F5" s="391"/>
      <c r="G5" s="391"/>
    </row>
    <row r="6" spans="1:9">
      <c r="B6" s="6" t="s">
        <v>999</v>
      </c>
    </row>
    <row r="7" spans="1:9">
      <c r="B7" s="6" t="s">
        <v>852</v>
      </c>
    </row>
    <row r="8" spans="1:9" ht="24" customHeight="1" thickBot="1">
      <c r="B8" s="9"/>
    </row>
    <row r="9" spans="1:9" ht="14.25">
      <c r="A9" s="392" t="s">
        <v>1000</v>
      </c>
      <c r="B9" s="68" t="s">
        <v>538</v>
      </c>
      <c r="C9" s="69"/>
      <c r="D9" s="70"/>
      <c r="E9" s="70"/>
      <c r="F9" s="70"/>
      <c r="G9" s="13" t="s">
        <v>539</v>
      </c>
      <c r="H9" s="13" t="s">
        <v>1133</v>
      </c>
      <c r="I9" s="13" t="s">
        <v>540</v>
      </c>
    </row>
    <row r="10" spans="1:9" ht="33.75" customHeight="1" thickBot="1">
      <c r="A10" s="393"/>
      <c r="B10" s="71" t="s">
        <v>541</v>
      </c>
      <c r="C10" s="72" t="s">
        <v>542</v>
      </c>
      <c r="D10" s="72" t="s">
        <v>543</v>
      </c>
      <c r="E10" s="72" t="s">
        <v>544</v>
      </c>
      <c r="F10" s="73" t="s">
        <v>833</v>
      </c>
      <c r="G10" s="17" t="s">
        <v>853</v>
      </c>
      <c r="H10" s="17" t="s">
        <v>1134</v>
      </c>
      <c r="I10" s="17" t="s">
        <v>834</v>
      </c>
    </row>
    <row r="11" spans="1:9" ht="15.75">
      <c r="A11" s="134" t="s">
        <v>349</v>
      </c>
      <c r="B11" s="135" t="s">
        <v>350</v>
      </c>
      <c r="C11" s="136"/>
      <c r="D11" s="136"/>
      <c r="E11" s="136"/>
      <c r="F11" s="137"/>
      <c r="G11" s="182">
        <f>SUM(G12)+G31+G36</f>
        <v>21488</v>
      </c>
      <c r="H11" s="182">
        <f>SUM(H12)+H31+H36</f>
        <v>21338.2</v>
      </c>
      <c r="I11" s="364">
        <f t="shared" ref="I11:I56" si="0">SUM(H11/G11*100)</f>
        <v>99.302866716306781</v>
      </c>
    </row>
    <row r="12" spans="1:9" ht="15">
      <c r="A12" s="95" t="s">
        <v>835</v>
      </c>
      <c r="B12" s="138"/>
      <c r="C12" s="138" t="s">
        <v>836</v>
      </c>
      <c r="D12" s="138"/>
      <c r="E12" s="138"/>
      <c r="F12" s="139"/>
      <c r="G12" s="81">
        <f>SUM(G13+G17+G23)</f>
        <v>21488</v>
      </c>
      <c r="H12" s="81">
        <f>SUM(H13+H17+H23)</f>
        <v>21338.2</v>
      </c>
      <c r="I12" s="30">
        <f t="shared" si="0"/>
        <v>99.302866716306781</v>
      </c>
    </row>
    <row r="13" spans="1:9" ht="28.5">
      <c r="A13" s="95" t="s">
        <v>837</v>
      </c>
      <c r="B13" s="138"/>
      <c r="C13" s="138" t="s">
        <v>836</v>
      </c>
      <c r="D13" s="138" t="s">
        <v>838</v>
      </c>
      <c r="E13" s="138"/>
      <c r="F13" s="139"/>
      <c r="G13" s="81">
        <f>SUM(G14)</f>
        <v>1532.1</v>
      </c>
      <c r="H13" s="81">
        <f>SUM(H14)</f>
        <v>1532.1</v>
      </c>
      <c r="I13" s="30">
        <f t="shared" si="0"/>
        <v>100</v>
      </c>
    </row>
    <row r="14" spans="1:9" ht="33" customHeight="1">
      <c r="A14" s="95" t="s">
        <v>160</v>
      </c>
      <c r="B14" s="138"/>
      <c r="C14" s="138" t="s">
        <v>836</v>
      </c>
      <c r="D14" s="138" t="s">
        <v>838</v>
      </c>
      <c r="E14" s="138" t="s">
        <v>161</v>
      </c>
      <c r="F14" s="139"/>
      <c r="G14" s="81">
        <f>SUM(G16)</f>
        <v>1532.1</v>
      </c>
      <c r="H14" s="81">
        <f>SUM(H16)</f>
        <v>1532.1</v>
      </c>
      <c r="I14" s="30">
        <f t="shared" si="0"/>
        <v>100</v>
      </c>
    </row>
    <row r="15" spans="1:9" ht="20.25" customHeight="1">
      <c r="A15" s="95" t="s">
        <v>162</v>
      </c>
      <c r="B15" s="138"/>
      <c r="C15" s="138" t="s">
        <v>836</v>
      </c>
      <c r="D15" s="138" t="s">
        <v>838</v>
      </c>
      <c r="E15" s="138" t="s">
        <v>163</v>
      </c>
      <c r="F15" s="139"/>
      <c r="G15" s="81">
        <f>SUM(G16)</f>
        <v>1532.1</v>
      </c>
      <c r="H15" s="81">
        <f>SUM(H16)</f>
        <v>1532.1</v>
      </c>
      <c r="I15" s="30">
        <f t="shared" si="0"/>
        <v>100</v>
      </c>
    </row>
    <row r="16" spans="1:9" ht="22.5" customHeight="1">
      <c r="A16" s="95" t="s">
        <v>164</v>
      </c>
      <c r="B16" s="138"/>
      <c r="C16" s="138" t="s">
        <v>836</v>
      </c>
      <c r="D16" s="138" t="s">
        <v>838</v>
      </c>
      <c r="E16" s="138" t="s">
        <v>163</v>
      </c>
      <c r="F16" s="139" t="s">
        <v>165</v>
      </c>
      <c r="G16" s="81">
        <f>1531-1.7+2.8</f>
        <v>1532.1</v>
      </c>
      <c r="H16" s="81">
        <f>1531-1.7+2.8</f>
        <v>1532.1</v>
      </c>
      <c r="I16" s="30">
        <f t="shared" si="0"/>
        <v>100</v>
      </c>
    </row>
    <row r="17" spans="1:9" ht="45" customHeight="1">
      <c r="A17" s="95" t="s">
        <v>166</v>
      </c>
      <c r="B17" s="138"/>
      <c r="C17" s="138" t="s">
        <v>836</v>
      </c>
      <c r="D17" s="138" t="s">
        <v>167</v>
      </c>
      <c r="E17" s="138"/>
      <c r="F17" s="139"/>
      <c r="G17" s="81">
        <f>SUM(G18)</f>
        <v>10870.7</v>
      </c>
      <c r="H17" s="81">
        <f>SUM(H18)</f>
        <v>10768.5</v>
      </c>
      <c r="I17" s="30">
        <f t="shared" si="0"/>
        <v>99.059858150809049</v>
      </c>
    </row>
    <row r="18" spans="1:9" ht="36" customHeight="1">
      <c r="A18" s="95" t="s">
        <v>160</v>
      </c>
      <c r="B18" s="138"/>
      <c r="C18" s="138" t="s">
        <v>836</v>
      </c>
      <c r="D18" s="138" t="s">
        <v>167</v>
      </c>
      <c r="E18" s="138" t="s">
        <v>161</v>
      </c>
      <c r="F18" s="140"/>
      <c r="G18" s="81">
        <f>SUM(G19+G21)</f>
        <v>10870.7</v>
      </c>
      <c r="H18" s="81">
        <f>SUM(H19+H21)</f>
        <v>10768.5</v>
      </c>
      <c r="I18" s="30">
        <f t="shared" si="0"/>
        <v>99.059858150809049</v>
      </c>
    </row>
    <row r="19" spans="1:9" ht="15">
      <c r="A19" s="95" t="s">
        <v>168</v>
      </c>
      <c r="B19" s="138"/>
      <c r="C19" s="138" t="s">
        <v>169</v>
      </c>
      <c r="D19" s="138" t="s">
        <v>167</v>
      </c>
      <c r="E19" s="138" t="s">
        <v>170</v>
      </c>
      <c r="F19" s="140"/>
      <c r="G19" s="81">
        <f>SUM(G20)</f>
        <v>10870.7</v>
      </c>
      <c r="H19" s="81">
        <f>SUM(H20)</f>
        <v>10768.5</v>
      </c>
      <c r="I19" s="30">
        <f t="shared" si="0"/>
        <v>99.059858150809049</v>
      </c>
    </row>
    <row r="20" spans="1:9" ht="20.25" customHeight="1">
      <c r="A20" s="95" t="s">
        <v>164</v>
      </c>
      <c r="B20" s="138"/>
      <c r="C20" s="138" t="s">
        <v>836</v>
      </c>
      <c r="D20" s="138" t="s">
        <v>167</v>
      </c>
      <c r="E20" s="138" t="s">
        <v>170</v>
      </c>
      <c r="F20" s="139" t="s">
        <v>165</v>
      </c>
      <c r="G20" s="81">
        <f>11002-131.3</f>
        <v>10870.7</v>
      </c>
      <c r="H20" s="81">
        <v>10768.5</v>
      </c>
      <c r="I20" s="30">
        <f t="shared" si="0"/>
        <v>99.059858150809049</v>
      </c>
    </row>
    <row r="21" spans="1:9" ht="19.5" hidden="1" customHeight="1">
      <c r="A21" s="95" t="s">
        <v>171</v>
      </c>
      <c r="B21" s="138"/>
      <c r="C21" s="138" t="s">
        <v>169</v>
      </c>
      <c r="D21" s="138" t="s">
        <v>167</v>
      </c>
      <c r="E21" s="138" t="s">
        <v>172</v>
      </c>
      <c r="F21" s="139"/>
      <c r="G21" s="81">
        <f>SUM(G22)</f>
        <v>0</v>
      </c>
      <c r="H21" s="81">
        <f>SUM(H22)</f>
        <v>0</v>
      </c>
      <c r="I21" s="30" t="e">
        <f t="shared" si="0"/>
        <v>#DIV/0!</v>
      </c>
    </row>
    <row r="22" spans="1:9" ht="19.5" hidden="1" customHeight="1">
      <c r="A22" s="95" t="s">
        <v>164</v>
      </c>
      <c r="B22" s="138"/>
      <c r="C22" s="138" t="s">
        <v>169</v>
      </c>
      <c r="D22" s="138" t="s">
        <v>167</v>
      </c>
      <c r="E22" s="138" t="s">
        <v>172</v>
      </c>
      <c r="F22" s="139" t="s">
        <v>165</v>
      </c>
      <c r="G22" s="81"/>
      <c r="H22" s="81"/>
      <c r="I22" s="30" t="e">
        <f t="shared" si="0"/>
        <v>#DIV/0!</v>
      </c>
    </row>
    <row r="23" spans="1:9" ht="15">
      <c r="A23" s="95" t="s">
        <v>173</v>
      </c>
      <c r="B23" s="138"/>
      <c r="C23" s="138" t="s">
        <v>836</v>
      </c>
      <c r="D23" s="138" t="s">
        <v>469</v>
      </c>
      <c r="E23" s="138"/>
      <c r="F23" s="140"/>
      <c r="G23" s="81">
        <f>SUM(G28)+G24+G26</f>
        <v>9085.1999999999989</v>
      </c>
      <c r="H23" s="81">
        <f>SUM(H28)+H24+H26</f>
        <v>9037.6</v>
      </c>
      <c r="I23" s="30">
        <f t="shared" si="0"/>
        <v>99.476070972570795</v>
      </c>
    </row>
    <row r="24" spans="1:9" ht="15">
      <c r="A24" s="95" t="s">
        <v>902</v>
      </c>
      <c r="B24" s="138"/>
      <c r="C24" s="138" t="s">
        <v>836</v>
      </c>
      <c r="D24" s="138" t="s">
        <v>469</v>
      </c>
      <c r="E24" s="138" t="s">
        <v>903</v>
      </c>
      <c r="F24" s="139"/>
      <c r="G24" s="30">
        <f>SUM(G25)</f>
        <v>562.90000000000009</v>
      </c>
      <c r="H24" s="30">
        <f>SUM(H25)</f>
        <v>552.4</v>
      </c>
      <c r="I24" s="30">
        <f t="shared" si="0"/>
        <v>98.134659797477326</v>
      </c>
    </row>
    <row r="25" spans="1:9" ht="15">
      <c r="A25" s="95" t="s">
        <v>164</v>
      </c>
      <c r="B25" s="138"/>
      <c r="C25" s="138" t="s">
        <v>836</v>
      </c>
      <c r="D25" s="138" t="s">
        <v>469</v>
      </c>
      <c r="E25" s="138" t="s">
        <v>903</v>
      </c>
      <c r="F25" s="139" t="s">
        <v>165</v>
      </c>
      <c r="G25" s="30">
        <f>605.7-42.8</f>
        <v>562.90000000000009</v>
      </c>
      <c r="H25" s="30">
        <v>552.4</v>
      </c>
      <c r="I25" s="30">
        <f t="shared" si="0"/>
        <v>98.134659797477326</v>
      </c>
    </row>
    <row r="26" spans="1:9" ht="28.5">
      <c r="A26" s="95" t="s">
        <v>904</v>
      </c>
      <c r="B26" s="138"/>
      <c r="C26" s="138" t="s">
        <v>836</v>
      </c>
      <c r="D26" s="138" t="s">
        <v>469</v>
      </c>
      <c r="E26" s="138" t="s">
        <v>905</v>
      </c>
      <c r="F26" s="139"/>
      <c r="G26" s="30">
        <f>SUM(G27)</f>
        <v>390.90000000000003</v>
      </c>
      <c r="H26" s="30">
        <f>SUM(H27)</f>
        <v>390.9</v>
      </c>
      <c r="I26" s="30">
        <f t="shared" si="0"/>
        <v>99.999999999999986</v>
      </c>
    </row>
    <row r="27" spans="1:9" ht="15">
      <c r="A27" s="95" t="s">
        <v>164</v>
      </c>
      <c r="B27" s="138"/>
      <c r="C27" s="138" t="s">
        <v>836</v>
      </c>
      <c r="D27" s="138" t="s">
        <v>469</v>
      </c>
      <c r="E27" s="138" t="s">
        <v>905</v>
      </c>
      <c r="F27" s="139" t="s">
        <v>165</v>
      </c>
      <c r="G27" s="30">
        <f>430.1-39.2</f>
        <v>390.90000000000003</v>
      </c>
      <c r="H27" s="30">
        <v>390.9</v>
      </c>
      <c r="I27" s="30">
        <f t="shared" si="0"/>
        <v>99.999999999999986</v>
      </c>
    </row>
    <row r="28" spans="1:9" ht="28.5">
      <c r="A28" s="119" t="s">
        <v>175</v>
      </c>
      <c r="B28" s="138"/>
      <c r="C28" s="138" t="s">
        <v>836</v>
      </c>
      <c r="D28" s="138" t="s">
        <v>469</v>
      </c>
      <c r="E28" s="138" t="s">
        <v>176</v>
      </c>
      <c r="F28" s="141"/>
      <c r="G28" s="81">
        <f>SUM(G30)</f>
        <v>8131.4</v>
      </c>
      <c r="H28" s="81">
        <f>SUM(H30)</f>
        <v>8094.3</v>
      </c>
      <c r="I28" s="30">
        <f t="shared" si="0"/>
        <v>99.543744004722441</v>
      </c>
    </row>
    <row r="29" spans="1:9" ht="15">
      <c r="A29" s="119" t="s">
        <v>177</v>
      </c>
      <c r="B29" s="138"/>
      <c r="C29" s="138" t="s">
        <v>836</v>
      </c>
      <c r="D29" s="138" t="s">
        <v>469</v>
      </c>
      <c r="E29" s="138" t="s">
        <v>501</v>
      </c>
      <c r="F29" s="141"/>
      <c r="G29" s="81">
        <f>SUM(G30)</f>
        <v>8131.4</v>
      </c>
      <c r="H29" s="81">
        <f>SUM(H30)</f>
        <v>8094.3</v>
      </c>
      <c r="I29" s="30">
        <f t="shared" si="0"/>
        <v>99.543744004722441</v>
      </c>
    </row>
    <row r="30" spans="1:9" ht="19.5" customHeight="1">
      <c r="A30" s="95" t="s">
        <v>164</v>
      </c>
      <c r="B30" s="138"/>
      <c r="C30" s="138" t="s">
        <v>836</v>
      </c>
      <c r="D30" s="138" t="s">
        <v>469</v>
      </c>
      <c r="E30" s="138" t="s">
        <v>501</v>
      </c>
      <c r="F30" s="141" t="s">
        <v>165</v>
      </c>
      <c r="G30" s="81">
        <f>8049.4+82</f>
        <v>8131.4</v>
      </c>
      <c r="H30" s="81">
        <v>8094.3</v>
      </c>
      <c r="I30" s="30">
        <f t="shared" si="0"/>
        <v>99.543744004722441</v>
      </c>
    </row>
    <row r="31" spans="1:9" ht="15" hidden="1">
      <c r="A31" s="95" t="s">
        <v>179</v>
      </c>
      <c r="B31" s="138"/>
      <c r="C31" s="142" t="s">
        <v>180</v>
      </c>
      <c r="D31" s="138"/>
      <c r="E31" s="138"/>
      <c r="F31" s="141"/>
      <c r="G31" s="81">
        <f t="shared" ref="G31:H34" si="1">SUM(G32)</f>
        <v>0</v>
      </c>
      <c r="H31" s="81">
        <f t="shared" si="1"/>
        <v>0</v>
      </c>
      <c r="I31" s="30" t="e">
        <f t="shared" si="0"/>
        <v>#DIV/0!</v>
      </c>
    </row>
    <row r="32" spans="1:9" ht="15" hidden="1">
      <c r="A32" s="95" t="s">
        <v>181</v>
      </c>
      <c r="B32" s="138"/>
      <c r="C32" s="138" t="s">
        <v>180</v>
      </c>
      <c r="D32" s="138" t="s">
        <v>180</v>
      </c>
      <c r="E32" s="138"/>
      <c r="F32" s="141"/>
      <c r="G32" s="81">
        <f t="shared" si="1"/>
        <v>0</v>
      </c>
      <c r="H32" s="81">
        <f t="shared" si="1"/>
        <v>0</v>
      </c>
      <c r="I32" s="30" t="e">
        <f t="shared" si="0"/>
        <v>#DIV/0!</v>
      </c>
    </row>
    <row r="33" spans="1:9" ht="15" hidden="1">
      <c r="A33" s="119" t="s">
        <v>451</v>
      </c>
      <c r="B33" s="138"/>
      <c r="C33" s="138" t="s">
        <v>180</v>
      </c>
      <c r="D33" s="138" t="s">
        <v>180</v>
      </c>
      <c r="E33" s="138" t="s">
        <v>183</v>
      </c>
      <c r="F33" s="139"/>
      <c r="G33" s="81">
        <f t="shared" si="1"/>
        <v>0</v>
      </c>
      <c r="H33" s="81">
        <f t="shared" si="1"/>
        <v>0</v>
      </c>
      <c r="I33" s="30" t="e">
        <f t="shared" si="0"/>
        <v>#DIV/0!</v>
      </c>
    </row>
    <row r="34" spans="1:9" ht="19.5" hidden="1" customHeight="1">
      <c r="A34" s="119" t="s">
        <v>452</v>
      </c>
      <c r="B34" s="138"/>
      <c r="C34" s="138" t="s">
        <v>180</v>
      </c>
      <c r="D34" s="138" t="s">
        <v>180</v>
      </c>
      <c r="E34" s="138" t="s">
        <v>453</v>
      </c>
      <c r="F34" s="139"/>
      <c r="G34" s="81">
        <f t="shared" si="1"/>
        <v>0</v>
      </c>
      <c r="H34" s="81">
        <f t="shared" si="1"/>
        <v>0</v>
      </c>
      <c r="I34" s="30" t="e">
        <f t="shared" si="0"/>
        <v>#DIV/0!</v>
      </c>
    </row>
    <row r="35" spans="1:9" ht="19.5" hidden="1" customHeight="1">
      <c r="A35" s="97" t="s">
        <v>497</v>
      </c>
      <c r="B35" s="138"/>
      <c r="C35" s="138" t="s">
        <v>180</v>
      </c>
      <c r="D35" s="138" t="s">
        <v>180</v>
      </c>
      <c r="E35" s="138" t="s">
        <v>453</v>
      </c>
      <c r="F35" s="139" t="s">
        <v>498</v>
      </c>
      <c r="G35" s="81"/>
      <c r="H35" s="81"/>
      <c r="I35" s="30" t="e">
        <f t="shared" si="0"/>
        <v>#DIV/0!</v>
      </c>
    </row>
    <row r="36" spans="1:9" ht="19.5" hidden="1" customHeight="1">
      <c r="A36" s="95" t="s">
        <v>341</v>
      </c>
      <c r="B36" s="138"/>
      <c r="C36" s="138" t="s">
        <v>940</v>
      </c>
      <c r="D36" s="138"/>
      <c r="E36" s="138"/>
      <c r="F36" s="139"/>
      <c r="G36" s="81">
        <f>SUM(G40)</f>
        <v>0</v>
      </c>
      <c r="H36" s="81">
        <f>SUM(H40)</f>
        <v>0</v>
      </c>
      <c r="I36" s="30" t="e">
        <f t="shared" si="0"/>
        <v>#DIV/0!</v>
      </c>
    </row>
    <row r="37" spans="1:9" ht="19.5" hidden="1" customHeight="1">
      <c r="A37" s="119" t="s">
        <v>964</v>
      </c>
      <c r="B37" s="138"/>
      <c r="C37" s="138" t="s">
        <v>940</v>
      </c>
      <c r="D37" s="142" t="s">
        <v>167</v>
      </c>
      <c r="E37" s="138"/>
      <c r="F37" s="139"/>
      <c r="G37" s="81">
        <f t="shared" ref="G37:H39" si="2">SUM(G38)</f>
        <v>0</v>
      </c>
      <c r="H37" s="81">
        <f t="shared" si="2"/>
        <v>0</v>
      </c>
      <c r="I37" s="30" t="e">
        <f t="shared" si="0"/>
        <v>#DIV/0!</v>
      </c>
    </row>
    <row r="38" spans="1:9" ht="19.5" hidden="1" customHeight="1">
      <c r="A38" s="95" t="s">
        <v>965</v>
      </c>
      <c r="B38" s="138"/>
      <c r="C38" s="138" t="s">
        <v>940</v>
      </c>
      <c r="D38" s="142" t="s">
        <v>167</v>
      </c>
      <c r="E38" s="138" t="s">
        <v>966</v>
      </c>
      <c r="F38" s="139"/>
      <c r="G38" s="81">
        <f t="shared" si="2"/>
        <v>0</v>
      </c>
      <c r="H38" s="81">
        <f t="shared" si="2"/>
        <v>0</v>
      </c>
      <c r="I38" s="30" t="e">
        <f t="shared" si="0"/>
        <v>#DIV/0!</v>
      </c>
    </row>
    <row r="39" spans="1:9" ht="19.5" hidden="1" customHeight="1">
      <c r="A39" s="97" t="s">
        <v>973</v>
      </c>
      <c r="B39" s="138"/>
      <c r="C39" s="138" t="s">
        <v>940</v>
      </c>
      <c r="D39" s="142" t="s">
        <v>167</v>
      </c>
      <c r="E39" s="138" t="s">
        <v>974</v>
      </c>
      <c r="F39" s="139"/>
      <c r="G39" s="81">
        <f t="shared" si="2"/>
        <v>0</v>
      </c>
      <c r="H39" s="81">
        <f t="shared" si="2"/>
        <v>0</v>
      </c>
      <c r="I39" s="30" t="e">
        <f t="shared" si="0"/>
        <v>#DIV/0!</v>
      </c>
    </row>
    <row r="40" spans="1:9" ht="19.5" hidden="1" customHeight="1">
      <c r="A40" s="95" t="s">
        <v>592</v>
      </c>
      <c r="B40" s="143"/>
      <c r="C40" s="142" t="s">
        <v>940</v>
      </c>
      <c r="D40" s="142" t="s">
        <v>167</v>
      </c>
      <c r="E40" s="138" t="s">
        <v>974</v>
      </c>
      <c r="F40" s="144" t="s">
        <v>593</v>
      </c>
      <c r="G40" s="81"/>
      <c r="H40" s="81"/>
      <c r="I40" s="30" t="e">
        <f t="shared" si="0"/>
        <v>#DIV/0!</v>
      </c>
    </row>
    <row r="41" spans="1:9" ht="24.75" customHeight="1">
      <c r="A41" s="145" t="s">
        <v>351</v>
      </c>
      <c r="B41" s="146" t="s">
        <v>352</v>
      </c>
      <c r="C41" s="142"/>
      <c r="D41" s="142"/>
      <c r="E41" s="142"/>
      <c r="F41" s="140"/>
      <c r="G41" s="183">
        <f t="shared" ref="G41:H43" si="3">SUM(G42)</f>
        <v>6326.7999999999993</v>
      </c>
      <c r="H41" s="183">
        <f t="shared" si="3"/>
        <v>6324.5</v>
      </c>
      <c r="I41" s="203">
        <f t="shared" si="0"/>
        <v>99.963646709236912</v>
      </c>
    </row>
    <row r="42" spans="1:9" ht="15">
      <c r="A42" s="95" t="s">
        <v>835</v>
      </c>
      <c r="B42" s="138"/>
      <c r="C42" s="138" t="s">
        <v>836</v>
      </c>
      <c r="D42" s="138"/>
      <c r="E42" s="138"/>
      <c r="F42" s="139"/>
      <c r="G42" s="81">
        <f>SUM(G43)+G49</f>
        <v>6326.7999999999993</v>
      </c>
      <c r="H42" s="81">
        <f>SUM(H43)+H49</f>
        <v>6324.5</v>
      </c>
      <c r="I42" s="30">
        <f t="shared" si="0"/>
        <v>99.963646709236912</v>
      </c>
    </row>
    <row r="43" spans="1:9" ht="28.5">
      <c r="A43" s="119" t="s">
        <v>731</v>
      </c>
      <c r="B43" s="138"/>
      <c r="C43" s="138" t="s">
        <v>836</v>
      </c>
      <c r="D43" s="138" t="s">
        <v>732</v>
      </c>
      <c r="E43" s="138"/>
      <c r="F43" s="139"/>
      <c r="G43" s="81">
        <f t="shared" si="3"/>
        <v>4919.7999999999993</v>
      </c>
      <c r="H43" s="81">
        <f t="shared" si="3"/>
        <v>4918.8999999999996</v>
      </c>
      <c r="I43" s="30">
        <f t="shared" si="0"/>
        <v>99.981706573437961</v>
      </c>
    </row>
    <row r="44" spans="1:9" ht="35.25" customHeight="1">
      <c r="A44" s="95" t="s">
        <v>160</v>
      </c>
      <c r="B44" s="138"/>
      <c r="C44" s="138" t="s">
        <v>836</v>
      </c>
      <c r="D44" s="138" t="s">
        <v>732</v>
      </c>
      <c r="E44" s="138" t="s">
        <v>161</v>
      </c>
      <c r="F44" s="140"/>
      <c r="G44" s="81">
        <f>SUM(G45+G47)</f>
        <v>4919.7999999999993</v>
      </c>
      <c r="H44" s="81">
        <f>SUM(H45+H47)</f>
        <v>4918.8999999999996</v>
      </c>
      <c r="I44" s="30">
        <f t="shared" si="0"/>
        <v>99.981706573437961</v>
      </c>
    </row>
    <row r="45" spans="1:9" ht="19.5" customHeight="1">
      <c r="A45" s="95" t="s">
        <v>168</v>
      </c>
      <c r="B45" s="138"/>
      <c r="C45" s="138" t="s">
        <v>836</v>
      </c>
      <c r="D45" s="138" t="s">
        <v>732</v>
      </c>
      <c r="E45" s="138" t="s">
        <v>170</v>
      </c>
      <c r="F45" s="140"/>
      <c r="G45" s="81">
        <f>SUM(G46)</f>
        <v>3465.7999999999997</v>
      </c>
      <c r="H45" s="81">
        <f>SUM(H46)</f>
        <v>3464.9</v>
      </c>
      <c r="I45" s="30">
        <f t="shared" si="0"/>
        <v>99.974031969530856</v>
      </c>
    </row>
    <row r="46" spans="1:9" ht="15">
      <c r="A46" s="95" t="s">
        <v>164</v>
      </c>
      <c r="B46" s="138"/>
      <c r="C46" s="138" t="s">
        <v>836</v>
      </c>
      <c r="D46" s="138" t="s">
        <v>732</v>
      </c>
      <c r="E46" s="138" t="s">
        <v>170</v>
      </c>
      <c r="F46" s="139" t="s">
        <v>165</v>
      </c>
      <c r="G46" s="81">
        <f>3311.1+154.7</f>
        <v>3465.7999999999997</v>
      </c>
      <c r="H46" s="81">
        <v>3464.9</v>
      </c>
      <c r="I46" s="30">
        <f t="shared" si="0"/>
        <v>99.974031969530856</v>
      </c>
    </row>
    <row r="47" spans="1:9" s="22" customFormat="1" ht="28.5">
      <c r="A47" s="95" t="s">
        <v>735</v>
      </c>
      <c r="B47" s="138"/>
      <c r="C47" s="138" t="s">
        <v>169</v>
      </c>
      <c r="D47" s="138" t="s">
        <v>732</v>
      </c>
      <c r="E47" s="138" t="s">
        <v>736</v>
      </c>
      <c r="F47" s="141"/>
      <c r="G47" s="81">
        <f>SUM(G48)</f>
        <v>1454</v>
      </c>
      <c r="H47" s="81">
        <f>SUM(H48)</f>
        <v>1454</v>
      </c>
      <c r="I47" s="30">
        <f t="shared" si="0"/>
        <v>100</v>
      </c>
    </row>
    <row r="48" spans="1:9" s="22" customFormat="1" ht="15">
      <c r="A48" s="95" t="s">
        <v>164</v>
      </c>
      <c r="B48" s="138"/>
      <c r="C48" s="138" t="s">
        <v>169</v>
      </c>
      <c r="D48" s="138" t="s">
        <v>732</v>
      </c>
      <c r="E48" s="138" t="s">
        <v>736</v>
      </c>
      <c r="F48" s="139" t="s">
        <v>165</v>
      </c>
      <c r="G48" s="81">
        <f>1608.7-154.7</f>
        <v>1454</v>
      </c>
      <c r="H48" s="81">
        <f>1608.7-154.7</f>
        <v>1454</v>
      </c>
      <c r="I48" s="30">
        <f t="shared" si="0"/>
        <v>100</v>
      </c>
    </row>
    <row r="49" spans="1:9" s="22" customFormat="1" ht="15">
      <c r="A49" s="95" t="s">
        <v>173</v>
      </c>
      <c r="B49" s="138"/>
      <c r="C49" s="138" t="s">
        <v>836</v>
      </c>
      <c r="D49" s="138" t="s">
        <v>469</v>
      </c>
      <c r="E49" s="138"/>
      <c r="F49" s="140"/>
      <c r="G49" s="81">
        <f>SUM(G50+G52+G54)</f>
        <v>1407</v>
      </c>
      <c r="H49" s="81">
        <f>SUM(H50+H52+H54)</f>
        <v>1405.6</v>
      </c>
      <c r="I49" s="30">
        <f t="shared" si="0"/>
        <v>99.900497512437809</v>
      </c>
    </row>
    <row r="50" spans="1:9" s="22" customFormat="1" ht="15">
      <c r="A50" s="95" t="s">
        <v>902</v>
      </c>
      <c r="B50" s="138"/>
      <c r="C50" s="138" t="s">
        <v>836</v>
      </c>
      <c r="D50" s="138" t="s">
        <v>469</v>
      </c>
      <c r="E50" s="138" t="s">
        <v>903</v>
      </c>
      <c r="F50" s="139"/>
      <c r="G50" s="30">
        <f>SUM(G51)</f>
        <v>151.4</v>
      </c>
      <c r="H50" s="30">
        <f>SUM(H51)</f>
        <v>151.4</v>
      </c>
      <c r="I50" s="30">
        <f t="shared" si="0"/>
        <v>100</v>
      </c>
    </row>
    <row r="51" spans="1:9" s="22" customFormat="1" ht="15">
      <c r="A51" s="95" t="s">
        <v>164</v>
      </c>
      <c r="B51" s="138"/>
      <c r="C51" s="138" t="s">
        <v>836</v>
      </c>
      <c r="D51" s="138" t="s">
        <v>469</v>
      </c>
      <c r="E51" s="138" t="s">
        <v>903</v>
      </c>
      <c r="F51" s="139" t="s">
        <v>165</v>
      </c>
      <c r="G51" s="30">
        <f>141+10.4</f>
        <v>151.4</v>
      </c>
      <c r="H51" s="30">
        <f>141+10.4</f>
        <v>151.4</v>
      </c>
      <c r="I51" s="30">
        <f t="shared" si="0"/>
        <v>100</v>
      </c>
    </row>
    <row r="52" spans="1:9" s="22" customFormat="1" ht="28.5">
      <c r="A52" s="95" t="s">
        <v>904</v>
      </c>
      <c r="B52" s="138"/>
      <c r="C52" s="138" t="s">
        <v>836</v>
      </c>
      <c r="D52" s="138" t="s">
        <v>469</v>
      </c>
      <c r="E52" s="138" t="s">
        <v>905</v>
      </c>
      <c r="F52" s="139"/>
      <c r="G52" s="30">
        <f>SUM(G53)</f>
        <v>414.40000000000003</v>
      </c>
      <c r="H52" s="30">
        <f>SUM(H53)</f>
        <v>413</v>
      </c>
      <c r="I52" s="30">
        <f t="shared" si="0"/>
        <v>99.662162162162147</v>
      </c>
    </row>
    <row r="53" spans="1:9" s="22" customFormat="1" ht="15">
      <c r="A53" s="95" t="s">
        <v>164</v>
      </c>
      <c r="B53" s="138"/>
      <c r="C53" s="138" t="s">
        <v>836</v>
      </c>
      <c r="D53" s="138" t="s">
        <v>469</v>
      </c>
      <c r="E53" s="138" t="s">
        <v>905</v>
      </c>
      <c r="F53" s="139" t="s">
        <v>165</v>
      </c>
      <c r="G53" s="30">
        <f>421.8-7.4</f>
        <v>414.40000000000003</v>
      </c>
      <c r="H53" s="30">
        <v>413</v>
      </c>
      <c r="I53" s="30">
        <f t="shared" si="0"/>
        <v>99.662162162162147</v>
      </c>
    </row>
    <row r="54" spans="1:9" s="22" customFormat="1" ht="28.5">
      <c r="A54" s="119" t="s">
        <v>175</v>
      </c>
      <c r="B54" s="138"/>
      <c r="C54" s="138" t="s">
        <v>836</v>
      </c>
      <c r="D54" s="138" t="s">
        <v>469</v>
      </c>
      <c r="E54" s="138" t="s">
        <v>176</v>
      </c>
      <c r="F54" s="141"/>
      <c r="G54" s="81">
        <f>SUM(G56)</f>
        <v>841.2</v>
      </c>
      <c r="H54" s="81">
        <f>SUM(H56)</f>
        <v>841.2</v>
      </c>
      <c r="I54" s="30">
        <f t="shared" si="0"/>
        <v>100</v>
      </c>
    </row>
    <row r="55" spans="1:9" s="22" customFormat="1" ht="15">
      <c r="A55" s="119" t="s">
        <v>177</v>
      </c>
      <c r="B55" s="138"/>
      <c r="C55" s="138" t="s">
        <v>836</v>
      </c>
      <c r="D55" s="138" t="s">
        <v>469</v>
      </c>
      <c r="E55" s="138" t="s">
        <v>501</v>
      </c>
      <c r="F55" s="141"/>
      <c r="G55" s="81">
        <f>SUM(G56)</f>
        <v>841.2</v>
      </c>
      <c r="H55" s="81">
        <f>SUM(H56)</f>
        <v>841.2</v>
      </c>
      <c r="I55" s="30">
        <f t="shared" si="0"/>
        <v>100</v>
      </c>
    </row>
    <row r="56" spans="1:9" s="22" customFormat="1" ht="15">
      <c r="A56" s="95" t="s">
        <v>164</v>
      </c>
      <c r="B56" s="138"/>
      <c r="C56" s="138" t="s">
        <v>836</v>
      </c>
      <c r="D56" s="138" t="s">
        <v>469</v>
      </c>
      <c r="E56" s="138" t="s">
        <v>501</v>
      </c>
      <c r="F56" s="141" t="s">
        <v>165</v>
      </c>
      <c r="G56" s="81">
        <f>844.2-3</f>
        <v>841.2</v>
      </c>
      <c r="H56" s="81">
        <f>844.2-3</f>
        <v>841.2</v>
      </c>
      <c r="I56" s="30">
        <f t="shared" si="0"/>
        <v>100</v>
      </c>
    </row>
    <row r="57" spans="1:9" s="22" customFormat="1" ht="29.25" hidden="1" customHeight="1">
      <c r="A57" s="145" t="s">
        <v>620</v>
      </c>
      <c r="B57" s="146" t="s">
        <v>474</v>
      </c>
      <c r="C57" s="142"/>
      <c r="D57" s="142"/>
      <c r="E57" s="142"/>
      <c r="F57" s="140"/>
      <c r="G57" s="183">
        <f>SUM(G58+G89)</f>
        <v>0</v>
      </c>
      <c r="H57" s="183">
        <f>SUM(H58+H89)</f>
        <v>0</v>
      </c>
      <c r="I57" s="30"/>
    </row>
    <row r="58" spans="1:9" s="22" customFormat="1" ht="18.75" hidden="1" customHeight="1">
      <c r="A58" s="95" t="s">
        <v>190</v>
      </c>
      <c r="B58" s="138"/>
      <c r="C58" s="138" t="s">
        <v>191</v>
      </c>
      <c r="D58" s="138"/>
      <c r="E58" s="138"/>
      <c r="F58" s="139"/>
      <c r="G58" s="81">
        <f>SUM(G59+G69)</f>
        <v>0</v>
      </c>
      <c r="H58" s="81">
        <f>SUM(H59+H69)</f>
        <v>0</v>
      </c>
      <c r="I58" s="30"/>
    </row>
    <row r="59" spans="1:9" s="22" customFormat="1" ht="20.25" hidden="1" customHeight="1">
      <c r="A59" s="95" t="s">
        <v>192</v>
      </c>
      <c r="B59" s="138"/>
      <c r="C59" s="138" t="s">
        <v>191</v>
      </c>
      <c r="D59" s="138" t="s">
        <v>193</v>
      </c>
      <c r="E59" s="138"/>
      <c r="F59" s="139"/>
      <c r="G59" s="81">
        <f>SUM(G63)+G60</f>
        <v>0</v>
      </c>
      <c r="H59" s="81">
        <f>SUM(H63)+H60</f>
        <v>0</v>
      </c>
      <c r="I59" s="30"/>
    </row>
    <row r="60" spans="1:9" s="22" customFormat="1" ht="22.5" hidden="1" customHeight="1">
      <c r="A60" s="95" t="s">
        <v>941</v>
      </c>
      <c r="B60" s="138"/>
      <c r="C60" s="138" t="s">
        <v>191</v>
      </c>
      <c r="D60" s="138" t="s">
        <v>193</v>
      </c>
      <c r="E60" s="142" t="s">
        <v>942</v>
      </c>
      <c r="F60" s="140"/>
      <c r="G60" s="81">
        <f>SUM(G61)+G62</f>
        <v>0</v>
      </c>
      <c r="H60" s="81">
        <f>SUM(H61)+H62</f>
        <v>0</v>
      </c>
      <c r="I60" s="30"/>
    </row>
    <row r="61" spans="1:9" s="22" customFormat="1" ht="17.25" hidden="1" customHeight="1">
      <c r="A61" s="95" t="s">
        <v>943</v>
      </c>
      <c r="B61" s="138"/>
      <c r="C61" s="138" t="s">
        <v>191</v>
      </c>
      <c r="D61" s="138" t="s">
        <v>193</v>
      </c>
      <c r="E61" s="142" t="s">
        <v>942</v>
      </c>
      <c r="F61" s="139" t="s">
        <v>944</v>
      </c>
      <c r="G61" s="81"/>
      <c r="H61" s="81"/>
      <c r="I61" s="30"/>
    </row>
    <row r="62" spans="1:9" s="22" customFormat="1" ht="19.5" hidden="1" customHeight="1">
      <c r="A62" s="95" t="s">
        <v>164</v>
      </c>
      <c r="B62" s="138"/>
      <c r="C62" s="138" t="s">
        <v>191</v>
      </c>
      <c r="D62" s="138" t="s">
        <v>193</v>
      </c>
      <c r="E62" s="142" t="s">
        <v>942</v>
      </c>
      <c r="F62" s="139" t="s">
        <v>165</v>
      </c>
      <c r="G62" s="81"/>
      <c r="H62" s="81"/>
      <c r="I62" s="30"/>
    </row>
    <row r="63" spans="1:9" s="22" customFormat="1" ht="16.5" hidden="1" customHeight="1">
      <c r="A63" s="95" t="s">
        <v>194</v>
      </c>
      <c r="B63" s="138"/>
      <c r="C63" s="138" t="s">
        <v>191</v>
      </c>
      <c r="D63" s="138" t="s">
        <v>193</v>
      </c>
      <c r="E63" s="138" t="s">
        <v>762</v>
      </c>
      <c r="F63" s="139"/>
      <c r="G63" s="81">
        <f>SUM(G64,G67)</f>
        <v>0</v>
      </c>
      <c r="H63" s="81">
        <f>SUM(H64,H67)</f>
        <v>0</v>
      </c>
      <c r="I63" s="30"/>
    </row>
    <row r="64" spans="1:9" s="22" customFormat="1" ht="23.25" hidden="1" customHeight="1">
      <c r="A64" s="95" t="s">
        <v>953</v>
      </c>
      <c r="B64" s="138"/>
      <c r="C64" s="138" t="s">
        <v>191</v>
      </c>
      <c r="D64" s="138" t="s">
        <v>193</v>
      </c>
      <c r="E64" s="138" t="s">
        <v>117</v>
      </c>
      <c r="F64" s="139"/>
      <c r="G64" s="81">
        <f>SUM(G65)</f>
        <v>0</v>
      </c>
      <c r="H64" s="81">
        <f>SUM(H65)</f>
        <v>0</v>
      </c>
      <c r="I64" s="30"/>
    </row>
    <row r="65" spans="1:9" s="22" customFormat="1" ht="28.5" hidden="1">
      <c r="A65" s="95" t="s">
        <v>374</v>
      </c>
      <c r="B65" s="138"/>
      <c r="C65" s="138" t="s">
        <v>191</v>
      </c>
      <c r="D65" s="138" t="s">
        <v>193</v>
      </c>
      <c r="E65" s="138" t="s">
        <v>118</v>
      </c>
      <c r="F65" s="139"/>
      <c r="G65" s="81">
        <f>SUM(G66)</f>
        <v>0</v>
      </c>
      <c r="H65" s="81">
        <f>SUM(H66)</f>
        <v>0</v>
      </c>
      <c r="I65" s="30"/>
    </row>
    <row r="66" spans="1:9" s="25" customFormat="1" ht="45.75" hidden="1" customHeight="1">
      <c r="A66" s="99" t="s">
        <v>954</v>
      </c>
      <c r="B66" s="142"/>
      <c r="C66" s="142" t="s">
        <v>191</v>
      </c>
      <c r="D66" s="142" t="s">
        <v>193</v>
      </c>
      <c r="E66" s="142" t="s">
        <v>118</v>
      </c>
      <c r="F66" s="140" t="s">
        <v>51</v>
      </c>
      <c r="G66" s="81"/>
      <c r="H66" s="81"/>
      <c r="I66" s="30"/>
    </row>
    <row r="67" spans="1:9" s="22" customFormat="1" ht="42.75" hidden="1">
      <c r="A67" s="95" t="s">
        <v>789</v>
      </c>
      <c r="B67" s="138"/>
      <c r="C67" s="138" t="s">
        <v>191</v>
      </c>
      <c r="D67" s="138" t="s">
        <v>193</v>
      </c>
      <c r="E67" s="138" t="s">
        <v>790</v>
      </c>
      <c r="F67" s="139"/>
      <c r="G67" s="81">
        <f>SUM(G68)</f>
        <v>0</v>
      </c>
      <c r="H67" s="81">
        <f>SUM(H68)</f>
        <v>0</v>
      </c>
      <c r="I67" s="30"/>
    </row>
    <row r="68" spans="1:9" s="22" customFormat="1" ht="15" hidden="1">
      <c r="A68" s="95" t="s">
        <v>943</v>
      </c>
      <c r="B68" s="138"/>
      <c r="C68" s="138" t="s">
        <v>191</v>
      </c>
      <c r="D68" s="138" t="s">
        <v>193</v>
      </c>
      <c r="E68" s="138" t="s">
        <v>790</v>
      </c>
      <c r="F68" s="139" t="s">
        <v>944</v>
      </c>
      <c r="G68" s="81"/>
      <c r="H68" s="81"/>
      <c r="I68" s="30"/>
    </row>
    <row r="69" spans="1:9" s="22" customFormat="1" ht="15" hidden="1">
      <c r="A69" s="94" t="s">
        <v>235</v>
      </c>
      <c r="B69" s="142"/>
      <c r="C69" s="142" t="s">
        <v>191</v>
      </c>
      <c r="D69" s="142" t="s">
        <v>603</v>
      </c>
      <c r="E69" s="142"/>
      <c r="F69" s="140"/>
      <c r="G69" s="81">
        <f>SUM(G77+G79+G84+G74+G70+G72)</f>
        <v>0</v>
      </c>
      <c r="H69" s="81">
        <f>SUM(H77+H79+H84+H74+H70+H72)</f>
        <v>0</v>
      </c>
      <c r="I69" s="30"/>
    </row>
    <row r="70" spans="1:9" s="22" customFormat="1" ht="28.5" hidden="1">
      <c r="A70" s="147" t="s">
        <v>260</v>
      </c>
      <c r="B70" s="148"/>
      <c r="C70" s="142" t="s">
        <v>191</v>
      </c>
      <c r="D70" s="142" t="s">
        <v>603</v>
      </c>
      <c r="E70" s="148" t="s">
        <v>259</v>
      </c>
      <c r="F70" s="149"/>
      <c r="G70" s="81">
        <f>SUM(G71)</f>
        <v>0</v>
      </c>
      <c r="H70" s="81">
        <f>SUM(H71)</f>
        <v>0</v>
      </c>
      <c r="I70" s="30"/>
    </row>
    <row r="71" spans="1:9" s="22" customFormat="1" ht="15" hidden="1">
      <c r="A71" s="94" t="s">
        <v>164</v>
      </c>
      <c r="B71" s="148"/>
      <c r="C71" s="142" t="s">
        <v>191</v>
      </c>
      <c r="D71" s="142" t="s">
        <v>603</v>
      </c>
      <c r="E71" s="148" t="s">
        <v>259</v>
      </c>
      <c r="F71" s="149" t="s">
        <v>165</v>
      </c>
      <c r="G71" s="81"/>
      <c r="H71" s="81"/>
      <c r="I71" s="30"/>
    </row>
    <row r="72" spans="1:9" s="22" customFormat="1" ht="42.75" hidden="1">
      <c r="A72" s="147" t="s">
        <v>261</v>
      </c>
      <c r="B72" s="148"/>
      <c r="C72" s="142" t="s">
        <v>191</v>
      </c>
      <c r="D72" s="142" t="s">
        <v>603</v>
      </c>
      <c r="E72" s="148" t="s">
        <v>262</v>
      </c>
      <c r="F72" s="149"/>
      <c r="G72" s="81">
        <f>SUM(G73)</f>
        <v>0</v>
      </c>
      <c r="H72" s="81">
        <f>SUM(H73)</f>
        <v>0</v>
      </c>
      <c r="I72" s="30"/>
    </row>
    <row r="73" spans="1:9" s="22" customFormat="1" ht="15" hidden="1">
      <c r="A73" s="95" t="s">
        <v>164</v>
      </c>
      <c r="B73" s="148"/>
      <c r="C73" s="142" t="s">
        <v>191</v>
      </c>
      <c r="D73" s="142" t="s">
        <v>603</v>
      </c>
      <c r="E73" s="148" t="s">
        <v>262</v>
      </c>
      <c r="F73" s="149" t="s">
        <v>165</v>
      </c>
      <c r="G73" s="81"/>
      <c r="H73" s="81"/>
      <c r="I73" s="30"/>
    </row>
    <row r="74" spans="1:9" s="22" customFormat="1" ht="28.5" hidden="1">
      <c r="A74" s="98" t="s">
        <v>4</v>
      </c>
      <c r="B74" s="148"/>
      <c r="C74" s="142" t="s">
        <v>191</v>
      </c>
      <c r="D74" s="142" t="s">
        <v>603</v>
      </c>
      <c r="E74" s="148" t="s">
        <v>5</v>
      </c>
      <c r="F74" s="149"/>
      <c r="G74" s="81">
        <f>SUM(G76+G75)</f>
        <v>0</v>
      </c>
      <c r="H74" s="81">
        <f>SUM(H76+H75)</f>
        <v>0</v>
      </c>
      <c r="I74" s="30"/>
    </row>
    <row r="75" spans="1:9" s="22" customFormat="1" ht="15" hidden="1">
      <c r="A75" s="95" t="s">
        <v>207</v>
      </c>
      <c r="B75" s="148"/>
      <c r="C75" s="142" t="s">
        <v>191</v>
      </c>
      <c r="D75" s="142" t="s">
        <v>603</v>
      </c>
      <c r="E75" s="148" t="s">
        <v>5</v>
      </c>
      <c r="F75" s="149" t="s">
        <v>208</v>
      </c>
      <c r="G75" s="81"/>
      <c r="H75" s="81"/>
      <c r="I75" s="30"/>
    </row>
    <row r="76" spans="1:9" s="22" customFormat="1" ht="13.5" hidden="1" customHeight="1">
      <c r="A76" s="95" t="s">
        <v>164</v>
      </c>
      <c r="B76" s="148"/>
      <c r="C76" s="142" t="s">
        <v>191</v>
      </c>
      <c r="D76" s="142" t="s">
        <v>603</v>
      </c>
      <c r="E76" s="148" t="s">
        <v>5</v>
      </c>
      <c r="F76" s="149" t="s">
        <v>165</v>
      </c>
      <c r="G76" s="81"/>
      <c r="H76" s="81"/>
      <c r="I76" s="30"/>
    </row>
    <row r="77" spans="1:9" s="22" customFormat="1" ht="28.5" hidden="1">
      <c r="A77" s="118" t="s">
        <v>791</v>
      </c>
      <c r="B77" s="142"/>
      <c r="C77" s="142" t="s">
        <v>191</v>
      </c>
      <c r="D77" s="142" t="s">
        <v>749</v>
      </c>
      <c r="E77" s="142" t="s">
        <v>792</v>
      </c>
      <c r="F77" s="140"/>
      <c r="G77" s="81">
        <f>SUM(G78)</f>
        <v>0</v>
      </c>
      <c r="H77" s="81">
        <f>SUM(H78)</f>
        <v>0</v>
      </c>
      <c r="I77" s="30"/>
    </row>
    <row r="78" spans="1:9" s="22" customFormat="1" ht="15" hidden="1">
      <c r="A78" s="95" t="s">
        <v>164</v>
      </c>
      <c r="B78" s="142"/>
      <c r="C78" s="142" t="s">
        <v>191</v>
      </c>
      <c r="D78" s="142" t="s">
        <v>749</v>
      </c>
      <c r="E78" s="142" t="s">
        <v>792</v>
      </c>
      <c r="F78" s="140" t="s">
        <v>165</v>
      </c>
      <c r="G78" s="81">
        <f>5050-2000-3050</f>
        <v>0</v>
      </c>
      <c r="H78" s="81">
        <f>5050-2000-3050</f>
        <v>0</v>
      </c>
      <c r="I78" s="30"/>
    </row>
    <row r="79" spans="1:9" s="22" customFormat="1" ht="28.5" hidden="1">
      <c r="A79" s="95" t="s">
        <v>767</v>
      </c>
      <c r="B79" s="138"/>
      <c r="C79" s="142" t="s">
        <v>191</v>
      </c>
      <c r="D79" s="142" t="s">
        <v>749</v>
      </c>
      <c r="E79" s="138" t="s">
        <v>768</v>
      </c>
      <c r="F79" s="140"/>
      <c r="G79" s="81">
        <f>SUM(G80)</f>
        <v>0</v>
      </c>
      <c r="H79" s="81">
        <f>SUM(H80)</f>
        <v>0</v>
      </c>
      <c r="I79" s="30"/>
    </row>
    <row r="80" spans="1:9" s="22" customFormat="1" ht="15" hidden="1">
      <c r="A80" s="95" t="s">
        <v>793</v>
      </c>
      <c r="B80" s="138"/>
      <c r="C80" s="142" t="s">
        <v>191</v>
      </c>
      <c r="D80" s="142" t="s">
        <v>749</v>
      </c>
      <c r="E80" s="138" t="s">
        <v>794</v>
      </c>
      <c r="F80" s="140"/>
      <c r="G80" s="81">
        <f>SUM(G81)</f>
        <v>0</v>
      </c>
      <c r="H80" s="81">
        <f>SUM(H81)</f>
        <v>0</v>
      </c>
      <c r="I80" s="30"/>
    </row>
    <row r="81" spans="1:9" s="22" customFormat="1" ht="15" hidden="1">
      <c r="A81" s="95" t="s">
        <v>164</v>
      </c>
      <c r="B81" s="138"/>
      <c r="C81" s="142" t="s">
        <v>191</v>
      </c>
      <c r="D81" s="142" t="s">
        <v>749</v>
      </c>
      <c r="E81" s="138" t="s">
        <v>794</v>
      </c>
      <c r="F81" s="140" t="s">
        <v>165</v>
      </c>
      <c r="G81" s="81"/>
      <c r="H81" s="81"/>
      <c r="I81" s="30"/>
    </row>
    <row r="82" spans="1:9" s="22" customFormat="1" ht="28.5" hidden="1">
      <c r="A82" s="95" t="s">
        <v>767</v>
      </c>
      <c r="B82" s="138"/>
      <c r="C82" s="142" t="s">
        <v>191</v>
      </c>
      <c r="D82" s="142" t="s">
        <v>749</v>
      </c>
      <c r="E82" s="138" t="s">
        <v>768</v>
      </c>
      <c r="F82" s="140"/>
      <c r="G82" s="81">
        <f>SUM(G83)</f>
        <v>0</v>
      </c>
      <c r="H82" s="81">
        <f>SUM(H83)</f>
        <v>0</v>
      </c>
      <c r="I82" s="30"/>
    </row>
    <row r="83" spans="1:9" s="22" customFormat="1" ht="15" hidden="1">
      <c r="A83" s="95" t="s">
        <v>793</v>
      </c>
      <c r="B83" s="138"/>
      <c r="C83" s="142" t="s">
        <v>191</v>
      </c>
      <c r="D83" s="142" t="s">
        <v>749</v>
      </c>
      <c r="E83" s="138" t="s">
        <v>768</v>
      </c>
      <c r="F83" s="140" t="s">
        <v>781</v>
      </c>
      <c r="G83" s="81"/>
      <c r="H83" s="81"/>
      <c r="I83" s="30"/>
    </row>
    <row r="84" spans="1:9" s="22" customFormat="1" ht="15" hidden="1">
      <c r="A84" s="95" t="s">
        <v>200</v>
      </c>
      <c r="B84" s="138"/>
      <c r="C84" s="142" t="s">
        <v>191</v>
      </c>
      <c r="D84" s="142" t="s">
        <v>603</v>
      </c>
      <c r="E84" s="138" t="s">
        <v>201</v>
      </c>
      <c r="F84" s="140"/>
      <c r="G84" s="81">
        <f>SUM(G87)+G85</f>
        <v>0</v>
      </c>
      <c r="H84" s="81">
        <f>SUM(H87)+H85</f>
        <v>0</v>
      </c>
      <c r="I84" s="30"/>
    </row>
    <row r="85" spans="1:9" s="22" customFormat="1" ht="42.75" hidden="1">
      <c r="A85" s="95" t="s">
        <v>857</v>
      </c>
      <c r="B85" s="138"/>
      <c r="C85" s="142" t="s">
        <v>191</v>
      </c>
      <c r="D85" s="142" t="s">
        <v>603</v>
      </c>
      <c r="E85" s="138" t="s">
        <v>859</v>
      </c>
      <c r="F85" s="140"/>
      <c r="G85" s="81">
        <f>SUM(G86)</f>
        <v>0</v>
      </c>
      <c r="H85" s="81">
        <f>SUM(H86)</f>
        <v>0</v>
      </c>
      <c r="I85" s="30"/>
    </row>
    <row r="86" spans="1:9" s="22" customFormat="1" ht="15" hidden="1">
      <c r="A86" s="95" t="s">
        <v>164</v>
      </c>
      <c r="B86" s="138"/>
      <c r="C86" s="142" t="s">
        <v>191</v>
      </c>
      <c r="D86" s="142" t="s">
        <v>603</v>
      </c>
      <c r="E86" s="138" t="s">
        <v>859</v>
      </c>
      <c r="F86" s="140" t="s">
        <v>165</v>
      </c>
      <c r="G86" s="81"/>
      <c r="H86" s="81"/>
      <c r="I86" s="30"/>
    </row>
    <row r="87" spans="1:9" s="22" customFormat="1" ht="28.5" hidden="1">
      <c r="A87" s="95" t="s">
        <v>858</v>
      </c>
      <c r="B87" s="138"/>
      <c r="C87" s="142" t="s">
        <v>191</v>
      </c>
      <c r="D87" s="142" t="s">
        <v>603</v>
      </c>
      <c r="E87" s="138" t="s">
        <v>236</v>
      </c>
      <c r="F87" s="140"/>
      <c r="G87" s="81">
        <f>SUM(G88)</f>
        <v>0</v>
      </c>
      <c r="H87" s="81">
        <f>SUM(H88)</f>
        <v>0</v>
      </c>
      <c r="I87" s="30"/>
    </row>
    <row r="88" spans="1:9" s="22" customFormat="1" ht="15" hidden="1">
      <c r="A88" s="95" t="s">
        <v>164</v>
      </c>
      <c r="B88" s="142"/>
      <c r="C88" s="142" t="s">
        <v>191</v>
      </c>
      <c r="D88" s="142" t="s">
        <v>603</v>
      </c>
      <c r="E88" s="138" t="s">
        <v>236</v>
      </c>
      <c r="F88" s="140" t="s">
        <v>165</v>
      </c>
      <c r="G88" s="82"/>
      <c r="H88" s="82"/>
      <c r="I88" s="30"/>
    </row>
    <row r="89" spans="1:9" s="28" customFormat="1" ht="18.75" hidden="1" customHeight="1">
      <c r="A89" s="94" t="s">
        <v>797</v>
      </c>
      <c r="B89" s="142"/>
      <c r="C89" s="142" t="s">
        <v>204</v>
      </c>
      <c r="D89" s="142"/>
      <c r="E89" s="142"/>
      <c r="F89" s="141"/>
      <c r="G89" s="184">
        <f>SUM(G90+G141+G175+G204)</f>
        <v>0</v>
      </c>
      <c r="H89" s="184">
        <f>SUM(H90+H141+H175+H204)</f>
        <v>0</v>
      </c>
      <c r="I89" s="30" t="e">
        <f t="shared" ref="I89:I129" si="4">SUM(H89/G89*100)</f>
        <v>#DIV/0!</v>
      </c>
    </row>
    <row r="90" spans="1:9" s="28" customFormat="1" ht="18.75" hidden="1" customHeight="1">
      <c r="A90" s="95" t="s">
        <v>798</v>
      </c>
      <c r="B90" s="138"/>
      <c r="C90" s="138" t="s">
        <v>204</v>
      </c>
      <c r="D90" s="138" t="s">
        <v>836</v>
      </c>
      <c r="E90" s="138"/>
      <c r="F90" s="139"/>
      <c r="G90" s="81">
        <f>SUM(G111+G133+G103+G116+G91+G130)</f>
        <v>0</v>
      </c>
      <c r="H90" s="81">
        <f>SUM(H111+H133+H103+H116+H91+H130)</f>
        <v>0</v>
      </c>
      <c r="I90" s="30" t="e">
        <f t="shared" si="4"/>
        <v>#DIV/0!</v>
      </c>
    </row>
    <row r="91" spans="1:9" s="25" customFormat="1" ht="33" hidden="1" customHeight="1">
      <c r="A91" s="113" t="s">
        <v>799</v>
      </c>
      <c r="B91" s="150"/>
      <c r="C91" s="138" t="s">
        <v>204</v>
      </c>
      <c r="D91" s="138" t="s">
        <v>836</v>
      </c>
      <c r="E91" s="138" t="s">
        <v>800</v>
      </c>
      <c r="F91" s="139"/>
      <c r="G91" s="81">
        <f>SUM(G92+G99)</f>
        <v>0</v>
      </c>
      <c r="H91" s="81">
        <f>SUM(H92+H99)</f>
        <v>0</v>
      </c>
      <c r="I91" s="30" t="e">
        <f t="shared" si="4"/>
        <v>#DIV/0!</v>
      </c>
    </row>
    <row r="92" spans="1:9" s="25" customFormat="1" ht="62.25" hidden="1" customHeight="1">
      <c r="A92" s="113" t="s">
        <v>801</v>
      </c>
      <c r="B92" s="150"/>
      <c r="C92" s="138" t="s">
        <v>204</v>
      </c>
      <c r="D92" s="138" t="s">
        <v>836</v>
      </c>
      <c r="E92" s="138" t="s">
        <v>802</v>
      </c>
      <c r="F92" s="139"/>
      <c r="G92" s="81">
        <f>SUM(G93+G95+G97)</f>
        <v>0</v>
      </c>
      <c r="H92" s="81">
        <f>SUM(H93+H95+H97)</f>
        <v>0</v>
      </c>
      <c r="I92" s="30" t="e">
        <f t="shared" si="4"/>
        <v>#DIV/0!</v>
      </c>
    </row>
    <row r="93" spans="1:9" s="25" customFormat="1" ht="48" hidden="1" customHeight="1">
      <c r="A93" s="113" t="s">
        <v>977</v>
      </c>
      <c r="B93" s="150"/>
      <c r="C93" s="138" t="s">
        <v>204</v>
      </c>
      <c r="D93" s="138" t="s">
        <v>836</v>
      </c>
      <c r="E93" s="138" t="s">
        <v>978</v>
      </c>
      <c r="F93" s="139"/>
      <c r="G93" s="81">
        <f>SUM(G94)</f>
        <v>0</v>
      </c>
      <c r="H93" s="81">
        <f>SUM(H94)</f>
        <v>0</v>
      </c>
      <c r="I93" s="30" t="e">
        <f t="shared" si="4"/>
        <v>#DIV/0!</v>
      </c>
    </row>
    <row r="94" spans="1:9" s="25" customFormat="1" ht="15.75" hidden="1" customHeight="1">
      <c r="A94" s="95" t="s">
        <v>943</v>
      </c>
      <c r="B94" s="138"/>
      <c r="C94" s="138" t="s">
        <v>204</v>
      </c>
      <c r="D94" s="138" t="s">
        <v>836</v>
      </c>
      <c r="E94" s="138" t="s">
        <v>978</v>
      </c>
      <c r="F94" s="139" t="s">
        <v>944</v>
      </c>
      <c r="G94" s="81"/>
      <c r="H94" s="81"/>
      <c r="I94" s="30" t="e">
        <f t="shared" si="4"/>
        <v>#DIV/0!</v>
      </c>
    </row>
    <row r="95" spans="1:9" s="25" customFormat="1" ht="11.25" hidden="1" customHeight="1">
      <c r="A95" s="113" t="s">
        <v>0</v>
      </c>
      <c r="B95" s="150"/>
      <c r="C95" s="138" t="s">
        <v>204</v>
      </c>
      <c r="D95" s="138" t="s">
        <v>836</v>
      </c>
      <c r="E95" s="138" t="s">
        <v>1</v>
      </c>
      <c r="F95" s="139"/>
      <c r="G95" s="81">
        <f>SUM(G96)</f>
        <v>0</v>
      </c>
      <c r="H95" s="81">
        <f>SUM(H96)</f>
        <v>0</v>
      </c>
      <c r="I95" s="30" t="e">
        <f t="shared" si="4"/>
        <v>#DIV/0!</v>
      </c>
    </row>
    <row r="96" spans="1:9" s="25" customFormat="1" ht="15" hidden="1">
      <c r="A96" s="98" t="s">
        <v>207</v>
      </c>
      <c r="B96" s="150"/>
      <c r="C96" s="138" t="s">
        <v>204</v>
      </c>
      <c r="D96" s="138" t="s">
        <v>836</v>
      </c>
      <c r="E96" s="138" t="s">
        <v>1</v>
      </c>
      <c r="F96" s="139" t="s">
        <v>208</v>
      </c>
      <c r="G96" s="81"/>
      <c r="H96" s="81"/>
      <c r="I96" s="30" t="e">
        <f t="shared" si="4"/>
        <v>#DIV/0!</v>
      </c>
    </row>
    <row r="97" spans="1:9" s="25" customFormat="1" ht="71.25" hidden="1">
      <c r="A97" s="113" t="s">
        <v>1001</v>
      </c>
      <c r="B97" s="150"/>
      <c r="C97" s="138" t="s">
        <v>204</v>
      </c>
      <c r="D97" s="138" t="s">
        <v>836</v>
      </c>
      <c r="E97" s="138" t="s">
        <v>217</v>
      </c>
      <c r="F97" s="139"/>
      <c r="G97" s="81">
        <f>SUM(G98)</f>
        <v>0</v>
      </c>
      <c r="H97" s="81">
        <f>SUM(H98)</f>
        <v>0</v>
      </c>
      <c r="I97" s="30" t="e">
        <f t="shared" si="4"/>
        <v>#DIV/0!</v>
      </c>
    </row>
    <row r="98" spans="1:9" s="25" customFormat="1" ht="15" hidden="1">
      <c r="A98" s="98" t="s">
        <v>207</v>
      </c>
      <c r="B98" s="150"/>
      <c r="C98" s="138" t="s">
        <v>204</v>
      </c>
      <c r="D98" s="138" t="s">
        <v>836</v>
      </c>
      <c r="E98" s="138" t="s">
        <v>217</v>
      </c>
      <c r="F98" s="139" t="s">
        <v>208</v>
      </c>
      <c r="G98" s="81"/>
      <c r="H98" s="81"/>
      <c r="I98" s="30" t="e">
        <f t="shared" si="4"/>
        <v>#DIV/0!</v>
      </c>
    </row>
    <row r="99" spans="1:9" s="25" customFormat="1" ht="42.75" hidden="1">
      <c r="A99" s="94" t="s">
        <v>803</v>
      </c>
      <c r="B99" s="150"/>
      <c r="C99" s="138" t="s">
        <v>204</v>
      </c>
      <c r="D99" s="138" t="s">
        <v>836</v>
      </c>
      <c r="E99" s="138" t="s">
        <v>804</v>
      </c>
      <c r="F99" s="139"/>
      <c r="G99" s="81">
        <f>SUM(G100)+G106+G109</f>
        <v>0</v>
      </c>
      <c r="H99" s="81">
        <f>SUM(H100)+H106+H109</f>
        <v>0</v>
      </c>
      <c r="I99" s="30" t="e">
        <f t="shared" si="4"/>
        <v>#DIV/0!</v>
      </c>
    </row>
    <row r="100" spans="1:9" s="25" customFormat="1" ht="32.25" hidden="1" customHeight="1">
      <c r="A100" s="94" t="s">
        <v>805</v>
      </c>
      <c r="B100" s="150"/>
      <c r="C100" s="138" t="s">
        <v>204</v>
      </c>
      <c r="D100" s="138" t="s">
        <v>836</v>
      </c>
      <c r="E100" s="138" t="s">
        <v>806</v>
      </c>
      <c r="F100" s="139"/>
      <c r="G100" s="81">
        <f>SUM(G101+G102)</f>
        <v>0</v>
      </c>
      <c r="H100" s="81">
        <f>SUM(H101+H102)</f>
        <v>0</v>
      </c>
      <c r="I100" s="30" t="e">
        <f t="shared" si="4"/>
        <v>#DIV/0!</v>
      </c>
    </row>
    <row r="101" spans="1:9" s="25" customFormat="1" ht="15" hidden="1">
      <c r="A101" s="124" t="s">
        <v>943</v>
      </c>
      <c r="B101" s="150"/>
      <c r="C101" s="138" t="s">
        <v>204</v>
      </c>
      <c r="D101" s="138" t="s">
        <v>836</v>
      </c>
      <c r="E101" s="138" t="s">
        <v>806</v>
      </c>
      <c r="F101" s="139" t="s">
        <v>944</v>
      </c>
      <c r="G101" s="81"/>
      <c r="H101" s="81"/>
      <c r="I101" s="30" t="e">
        <f t="shared" si="4"/>
        <v>#DIV/0!</v>
      </c>
    </row>
    <row r="102" spans="1:9" s="25" customFormat="1" ht="28.5" hidden="1">
      <c r="A102" s="124" t="s">
        <v>807</v>
      </c>
      <c r="B102" s="150"/>
      <c r="C102" s="138" t="s">
        <v>204</v>
      </c>
      <c r="D102" s="138" t="s">
        <v>836</v>
      </c>
      <c r="E102" s="138" t="s">
        <v>806</v>
      </c>
      <c r="F102" s="139" t="s">
        <v>808</v>
      </c>
      <c r="G102" s="81"/>
      <c r="H102" s="81"/>
      <c r="I102" s="30" t="e">
        <f t="shared" si="4"/>
        <v>#DIV/0!</v>
      </c>
    </row>
    <row r="103" spans="1:9" s="25" customFormat="1" ht="28.5" hidden="1">
      <c r="A103" s="94" t="s">
        <v>502</v>
      </c>
      <c r="B103" s="138"/>
      <c r="C103" s="138" t="s">
        <v>204</v>
      </c>
      <c r="D103" s="138" t="s">
        <v>836</v>
      </c>
      <c r="E103" s="138" t="s">
        <v>783</v>
      </c>
      <c r="F103" s="139"/>
      <c r="G103" s="81">
        <f>SUM(G104)</f>
        <v>0</v>
      </c>
      <c r="H103" s="81">
        <f>SUM(H104)</f>
        <v>0</v>
      </c>
      <c r="I103" s="30" t="e">
        <f t="shared" si="4"/>
        <v>#DIV/0!</v>
      </c>
    </row>
    <row r="104" spans="1:9" s="25" customFormat="1" ht="28.5" hidden="1">
      <c r="A104" s="94" t="s">
        <v>205</v>
      </c>
      <c r="B104" s="138"/>
      <c r="C104" s="138" t="s">
        <v>204</v>
      </c>
      <c r="D104" s="138" t="s">
        <v>836</v>
      </c>
      <c r="E104" s="138" t="s">
        <v>206</v>
      </c>
      <c r="F104" s="139"/>
      <c r="G104" s="81">
        <f>SUM(G105)</f>
        <v>0</v>
      </c>
      <c r="H104" s="81">
        <f>SUM(H105)</f>
        <v>0</v>
      </c>
      <c r="I104" s="30" t="e">
        <f t="shared" si="4"/>
        <v>#DIV/0!</v>
      </c>
    </row>
    <row r="105" spans="1:9" s="25" customFormat="1" ht="15" hidden="1">
      <c r="A105" s="94" t="s">
        <v>207</v>
      </c>
      <c r="B105" s="138"/>
      <c r="C105" s="138" t="s">
        <v>204</v>
      </c>
      <c r="D105" s="138" t="s">
        <v>836</v>
      </c>
      <c r="E105" s="138" t="s">
        <v>206</v>
      </c>
      <c r="F105" s="139" t="s">
        <v>208</v>
      </c>
      <c r="G105" s="81"/>
      <c r="H105" s="81"/>
      <c r="I105" s="30" t="e">
        <f t="shared" si="4"/>
        <v>#DIV/0!</v>
      </c>
    </row>
    <row r="106" spans="1:9" s="25" customFormat="1" ht="28.5" hidden="1">
      <c r="A106" s="94" t="s">
        <v>809</v>
      </c>
      <c r="B106" s="138"/>
      <c r="C106" s="138" t="s">
        <v>204</v>
      </c>
      <c r="D106" s="138" t="s">
        <v>836</v>
      </c>
      <c r="E106" s="138" t="s">
        <v>810</v>
      </c>
      <c r="F106" s="139"/>
      <c r="G106" s="81">
        <f>SUM(G107+G108)</f>
        <v>0</v>
      </c>
      <c r="H106" s="81">
        <f>SUM(H107+H108)</f>
        <v>0</v>
      </c>
      <c r="I106" s="30" t="e">
        <f t="shared" si="4"/>
        <v>#DIV/0!</v>
      </c>
    </row>
    <row r="107" spans="1:9" s="25" customFormat="1" ht="15" hidden="1">
      <c r="A107" s="98" t="s">
        <v>207</v>
      </c>
      <c r="B107" s="138"/>
      <c r="C107" s="138" t="s">
        <v>204</v>
      </c>
      <c r="D107" s="138" t="s">
        <v>836</v>
      </c>
      <c r="E107" s="138" t="s">
        <v>810</v>
      </c>
      <c r="F107" s="139" t="s">
        <v>208</v>
      </c>
      <c r="G107" s="81"/>
      <c r="H107" s="81"/>
      <c r="I107" s="30" t="e">
        <f t="shared" si="4"/>
        <v>#DIV/0!</v>
      </c>
    </row>
    <row r="108" spans="1:9" s="25" customFormat="1" ht="15" hidden="1">
      <c r="A108" s="98" t="s">
        <v>813</v>
      </c>
      <c r="B108" s="138"/>
      <c r="C108" s="138" t="s">
        <v>204</v>
      </c>
      <c r="D108" s="138" t="s">
        <v>836</v>
      </c>
      <c r="E108" s="138" t="s">
        <v>810</v>
      </c>
      <c r="F108" s="139" t="s">
        <v>814</v>
      </c>
      <c r="G108" s="81"/>
      <c r="H108" s="81"/>
      <c r="I108" s="30" t="e">
        <f t="shared" si="4"/>
        <v>#DIV/0!</v>
      </c>
    </row>
    <row r="109" spans="1:9" s="25" customFormat="1" ht="42.75" hidden="1">
      <c r="A109" s="94" t="s">
        <v>815</v>
      </c>
      <c r="B109" s="138"/>
      <c r="C109" s="138" t="s">
        <v>204</v>
      </c>
      <c r="D109" s="138" t="s">
        <v>836</v>
      </c>
      <c r="E109" s="138" t="s">
        <v>816</v>
      </c>
      <c r="F109" s="139"/>
      <c r="G109" s="81">
        <f>SUM(G110)</f>
        <v>0</v>
      </c>
      <c r="H109" s="81">
        <f>SUM(H110)</f>
        <v>0</v>
      </c>
      <c r="I109" s="30" t="e">
        <f t="shared" si="4"/>
        <v>#DIV/0!</v>
      </c>
    </row>
    <row r="110" spans="1:9" s="25" customFormat="1" ht="15" hidden="1">
      <c r="A110" s="98" t="s">
        <v>207</v>
      </c>
      <c r="B110" s="138"/>
      <c r="C110" s="138" t="s">
        <v>204</v>
      </c>
      <c r="D110" s="138" t="s">
        <v>836</v>
      </c>
      <c r="E110" s="138" t="s">
        <v>816</v>
      </c>
      <c r="F110" s="139" t="s">
        <v>208</v>
      </c>
      <c r="G110" s="81"/>
      <c r="H110" s="81"/>
      <c r="I110" s="30" t="e">
        <f t="shared" si="4"/>
        <v>#DIV/0!</v>
      </c>
    </row>
    <row r="111" spans="1:9" s="25" customFormat="1" ht="15" hidden="1">
      <c r="A111" s="95" t="s">
        <v>817</v>
      </c>
      <c r="B111" s="138"/>
      <c r="C111" s="138" t="s">
        <v>204</v>
      </c>
      <c r="D111" s="138" t="s">
        <v>836</v>
      </c>
      <c r="E111" s="138" t="s">
        <v>119</v>
      </c>
      <c r="F111" s="139"/>
      <c r="G111" s="81">
        <f>SUM(G112+G114)</f>
        <v>0</v>
      </c>
      <c r="H111" s="81">
        <f>SUM(H112+H114)</f>
        <v>0</v>
      </c>
      <c r="I111" s="30" t="e">
        <f t="shared" si="4"/>
        <v>#DIV/0!</v>
      </c>
    </row>
    <row r="112" spans="1:9" s="25" customFormat="1" ht="25.5" hidden="1" customHeight="1">
      <c r="A112" s="119" t="s">
        <v>121</v>
      </c>
      <c r="B112" s="138"/>
      <c r="C112" s="138" t="s">
        <v>204</v>
      </c>
      <c r="D112" s="138" t="s">
        <v>836</v>
      </c>
      <c r="E112" s="138" t="s">
        <v>120</v>
      </c>
      <c r="F112" s="139"/>
      <c r="G112" s="81">
        <f>SUM(G113)</f>
        <v>0</v>
      </c>
      <c r="H112" s="81">
        <f>SUM(H113)</f>
        <v>0</v>
      </c>
      <c r="I112" s="30" t="e">
        <f t="shared" si="4"/>
        <v>#DIV/0!</v>
      </c>
    </row>
    <row r="113" spans="1:9" s="25" customFormat="1" ht="14.25" hidden="1" customHeight="1">
      <c r="A113" s="95" t="s">
        <v>943</v>
      </c>
      <c r="B113" s="138"/>
      <c r="C113" s="138" t="s">
        <v>204</v>
      </c>
      <c r="D113" s="138" t="s">
        <v>836</v>
      </c>
      <c r="E113" s="138" t="s">
        <v>120</v>
      </c>
      <c r="F113" s="139" t="s">
        <v>944</v>
      </c>
      <c r="G113" s="81"/>
      <c r="H113" s="81"/>
      <c r="I113" s="30" t="e">
        <f t="shared" si="4"/>
        <v>#DIV/0!</v>
      </c>
    </row>
    <row r="114" spans="1:9" s="25" customFormat="1" ht="28.5" hidden="1">
      <c r="A114" s="119" t="s">
        <v>821</v>
      </c>
      <c r="B114" s="142"/>
      <c r="C114" s="138" t="s">
        <v>204</v>
      </c>
      <c r="D114" s="138" t="s">
        <v>836</v>
      </c>
      <c r="E114" s="138" t="s">
        <v>822</v>
      </c>
      <c r="F114" s="140"/>
      <c r="G114" s="81">
        <f>SUM(G115)</f>
        <v>0</v>
      </c>
      <c r="H114" s="81">
        <f>SUM(H115)</f>
        <v>0</v>
      </c>
      <c r="I114" s="30" t="e">
        <f t="shared" si="4"/>
        <v>#DIV/0!</v>
      </c>
    </row>
    <row r="115" spans="1:9" s="25" customFormat="1" ht="15" hidden="1">
      <c r="A115" s="95" t="s">
        <v>164</v>
      </c>
      <c r="B115" s="151"/>
      <c r="C115" s="138" t="s">
        <v>204</v>
      </c>
      <c r="D115" s="138" t="s">
        <v>836</v>
      </c>
      <c r="E115" s="138" t="s">
        <v>822</v>
      </c>
      <c r="F115" s="149" t="s">
        <v>165</v>
      </c>
      <c r="G115" s="82"/>
      <c r="H115" s="82"/>
      <c r="I115" s="30" t="e">
        <f t="shared" si="4"/>
        <v>#DIV/0!</v>
      </c>
    </row>
    <row r="116" spans="1:9" s="25" customFormat="1" ht="15" hidden="1">
      <c r="A116" s="119" t="s">
        <v>932</v>
      </c>
      <c r="B116" s="148"/>
      <c r="C116" s="148" t="s">
        <v>204</v>
      </c>
      <c r="D116" s="148" t="s">
        <v>836</v>
      </c>
      <c r="E116" s="148" t="s">
        <v>933</v>
      </c>
      <c r="F116" s="149"/>
      <c r="G116" s="81">
        <f>SUM(G120)+G125+G117</f>
        <v>0</v>
      </c>
      <c r="H116" s="81">
        <f>SUM(H120)+H125+H117</f>
        <v>0</v>
      </c>
      <c r="I116" s="30" t="e">
        <f t="shared" si="4"/>
        <v>#DIV/0!</v>
      </c>
    </row>
    <row r="117" spans="1:9" s="25" customFormat="1" ht="28.5" hidden="1">
      <c r="A117" s="119" t="s">
        <v>823</v>
      </c>
      <c r="B117" s="148"/>
      <c r="C117" s="148" t="s">
        <v>204</v>
      </c>
      <c r="D117" s="148" t="s">
        <v>836</v>
      </c>
      <c r="E117" s="148" t="s">
        <v>824</v>
      </c>
      <c r="F117" s="149"/>
      <c r="G117" s="81">
        <f>SUM(G118)</f>
        <v>0</v>
      </c>
      <c r="H117" s="81">
        <f>SUM(H118)</f>
        <v>0</v>
      </c>
      <c r="I117" s="30" t="e">
        <f t="shared" si="4"/>
        <v>#DIV/0!</v>
      </c>
    </row>
    <row r="118" spans="1:9" s="25" customFormat="1" ht="15" hidden="1">
      <c r="A118" s="119" t="s">
        <v>207</v>
      </c>
      <c r="B118" s="148"/>
      <c r="C118" s="148" t="s">
        <v>204</v>
      </c>
      <c r="D118" s="148" t="s">
        <v>836</v>
      </c>
      <c r="E118" s="148" t="s">
        <v>824</v>
      </c>
      <c r="F118" s="149" t="s">
        <v>208</v>
      </c>
      <c r="G118" s="81"/>
      <c r="H118" s="81"/>
      <c r="I118" s="30" t="e">
        <f t="shared" si="4"/>
        <v>#DIV/0!</v>
      </c>
    </row>
    <row r="119" spans="1:9" s="25" customFormat="1" ht="15" hidden="1">
      <c r="A119" s="119"/>
      <c r="B119" s="148"/>
      <c r="C119" s="148"/>
      <c r="D119" s="148"/>
      <c r="E119" s="148"/>
      <c r="F119" s="149"/>
      <c r="G119" s="81"/>
      <c r="H119" s="81"/>
      <c r="I119" s="30" t="e">
        <f t="shared" si="4"/>
        <v>#DIV/0!</v>
      </c>
    </row>
    <row r="120" spans="1:9" s="25" customFormat="1" ht="28.5" hidden="1">
      <c r="A120" s="95" t="s">
        <v>825</v>
      </c>
      <c r="B120" s="148"/>
      <c r="C120" s="148" t="s">
        <v>204</v>
      </c>
      <c r="D120" s="148" t="s">
        <v>836</v>
      </c>
      <c r="E120" s="148" t="s">
        <v>826</v>
      </c>
      <c r="F120" s="149"/>
      <c r="G120" s="81">
        <f>SUM(G121+G123)</f>
        <v>0</v>
      </c>
      <c r="H120" s="81">
        <f>SUM(H121+H123)</f>
        <v>0</v>
      </c>
      <c r="I120" s="30" t="e">
        <f t="shared" si="4"/>
        <v>#DIV/0!</v>
      </c>
    </row>
    <row r="121" spans="1:9" s="25" customFormat="1" ht="28.5" hidden="1">
      <c r="A121" s="119" t="s">
        <v>827</v>
      </c>
      <c r="B121" s="152"/>
      <c r="C121" s="148" t="s">
        <v>204</v>
      </c>
      <c r="D121" s="148" t="s">
        <v>836</v>
      </c>
      <c r="E121" s="148" t="s">
        <v>828</v>
      </c>
      <c r="F121" s="149"/>
      <c r="G121" s="81">
        <f>SUM(G122)</f>
        <v>0</v>
      </c>
      <c r="H121" s="81">
        <f>SUM(H122)</f>
        <v>0</v>
      </c>
      <c r="I121" s="30" t="e">
        <f t="shared" si="4"/>
        <v>#DIV/0!</v>
      </c>
    </row>
    <row r="122" spans="1:9" s="25" customFormat="1" ht="15" hidden="1">
      <c r="A122" s="94" t="s">
        <v>207</v>
      </c>
      <c r="B122" s="148"/>
      <c r="C122" s="148" t="s">
        <v>204</v>
      </c>
      <c r="D122" s="148" t="s">
        <v>836</v>
      </c>
      <c r="E122" s="148" t="s">
        <v>828</v>
      </c>
      <c r="F122" s="149" t="s">
        <v>208</v>
      </c>
      <c r="G122" s="81"/>
      <c r="H122" s="81"/>
      <c r="I122" s="30" t="e">
        <f t="shared" si="4"/>
        <v>#DIV/0!</v>
      </c>
    </row>
    <row r="123" spans="1:9" s="25" customFormat="1" ht="15" hidden="1">
      <c r="A123" s="94" t="s">
        <v>829</v>
      </c>
      <c r="B123" s="148"/>
      <c r="C123" s="148" t="s">
        <v>204</v>
      </c>
      <c r="D123" s="148" t="s">
        <v>836</v>
      </c>
      <c r="E123" s="148" t="s">
        <v>830</v>
      </c>
      <c r="F123" s="149"/>
      <c r="G123" s="81">
        <f>SUM(G124)</f>
        <v>0</v>
      </c>
      <c r="H123" s="81">
        <f>SUM(H124)</f>
        <v>0</v>
      </c>
      <c r="I123" s="30" t="e">
        <f t="shared" si="4"/>
        <v>#DIV/0!</v>
      </c>
    </row>
    <row r="124" spans="1:9" s="25" customFormat="1" ht="15" hidden="1">
      <c r="A124" s="95" t="s">
        <v>164</v>
      </c>
      <c r="B124" s="151"/>
      <c r="C124" s="138" t="s">
        <v>204</v>
      </c>
      <c r="D124" s="138" t="s">
        <v>836</v>
      </c>
      <c r="E124" s="148" t="s">
        <v>830</v>
      </c>
      <c r="F124" s="149" t="s">
        <v>165</v>
      </c>
      <c r="G124" s="81"/>
      <c r="H124" s="81"/>
      <c r="I124" s="30" t="e">
        <f t="shared" si="4"/>
        <v>#DIV/0!</v>
      </c>
    </row>
    <row r="125" spans="1:9" s="25" customFormat="1" ht="28.5" hidden="1">
      <c r="A125" s="95" t="s">
        <v>831</v>
      </c>
      <c r="B125" s="151"/>
      <c r="C125" s="138" t="s">
        <v>204</v>
      </c>
      <c r="D125" s="138" t="s">
        <v>836</v>
      </c>
      <c r="E125" s="148" t="s">
        <v>832</v>
      </c>
      <c r="F125" s="149"/>
      <c r="G125" s="81"/>
      <c r="H125" s="81"/>
      <c r="I125" s="30" t="e">
        <f t="shared" si="4"/>
        <v>#DIV/0!</v>
      </c>
    </row>
    <row r="126" spans="1:9" s="25" customFormat="1" ht="28.5" hidden="1">
      <c r="A126" s="95" t="s">
        <v>31</v>
      </c>
      <c r="B126" s="151"/>
      <c r="C126" s="138" t="s">
        <v>204</v>
      </c>
      <c r="D126" s="138" t="s">
        <v>836</v>
      </c>
      <c r="E126" s="148" t="s">
        <v>32</v>
      </c>
      <c r="F126" s="149"/>
      <c r="G126" s="81">
        <f>SUM(G127)</f>
        <v>0</v>
      </c>
      <c r="H126" s="81">
        <f>SUM(H127)</f>
        <v>0</v>
      </c>
      <c r="I126" s="30" t="e">
        <f t="shared" si="4"/>
        <v>#DIV/0!</v>
      </c>
    </row>
    <row r="127" spans="1:9" s="25" customFormat="1" ht="15" hidden="1">
      <c r="A127" s="95" t="s">
        <v>943</v>
      </c>
      <c r="B127" s="151"/>
      <c r="C127" s="138" t="s">
        <v>204</v>
      </c>
      <c r="D127" s="138" t="s">
        <v>836</v>
      </c>
      <c r="E127" s="148" t="s">
        <v>32</v>
      </c>
      <c r="F127" s="149" t="s">
        <v>944</v>
      </c>
      <c r="G127" s="81"/>
      <c r="H127" s="81"/>
      <c r="I127" s="30" t="e">
        <f t="shared" si="4"/>
        <v>#DIV/0!</v>
      </c>
    </row>
    <row r="128" spans="1:9" s="25" customFormat="1" ht="28.5" hidden="1">
      <c r="A128" s="95" t="s">
        <v>33</v>
      </c>
      <c r="B128" s="151"/>
      <c r="C128" s="138" t="s">
        <v>204</v>
      </c>
      <c r="D128" s="138" t="s">
        <v>836</v>
      </c>
      <c r="E128" s="148" t="s">
        <v>34</v>
      </c>
      <c r="F128" s="149"/>
      <c r="G128" s="81">
        <f>SUM(G129)</f>
        <v>0</v>
      </c>
      <c r="H128" s="81">
        <f>SUM(H129)</f>
        <v>0</v>
      </c>
      <c r="I128" s="30" t="e">
        <f t="shared" si="4"/>
        <v>#DIV/0!</v>
      </c>
    </row>
    <row r="129" spans="1:9" s="25" customFormat="1" ht="15" hidden="1">
      <c r="A129" s="95" t="s">
        <v>943</v>
      </c>
      <c r="B129" s="151"/>
      <c r="C129" s="138" t="s">
        <v>204</v>
      </c>
      <c r="D129" s="138" t="s">
        <v>836</v>
      </c>
      <c r="E129" s="148" t="s">
        <v>34</v>
      </c>
      <c r="F129" s="149" t="s">
        <v>944</v>
      </c>
      <c r="G129" s="81"/>
      <c r="H129" s="81"/>
      <c r="I129" s="30" t="e">
        <f t="shared" si="4"/>
        <v>#DIV/0!</v>
      </c>
    </row>
    <row r="130" spans="1:9" s="25" customFormat="1" ht="15" hidden="1">
      <c r="A130" s="95" t="s">
        <v>817</v>
      </c>
      <c r="B130" s="151"/>
      <c r="C130" s="138" t="s">
        <v>204</v>
      </c>
      <c r="D130" s="138" t="s">
        <v>836</v>
      </c>
      <c r="E130" s="148" t="s">
        <v>818</v>
      </c>
      <c r="F130" s="149"/>
      <c r="G130" s="81">
        <f>SUM(G131)</f>
        <v>0</v>
      </c>
      <c r="H130" s="81">
        <f>SUM(H131)</f>
        <v>0</v>
      </c>
      <c r="I130" s="30"/>
    </row>
    <row r="131" spans="1:9" s="25" customFormat="1" ht="28.5" hidden="1">
      <c r="A131" s="95" t="s">
        <v>554</v>
      </c>
      <c r="B131" s="151"/>
      <c r="C131" s="138" t="s">
        <v>204</v>
      </c>
      <c r="D131" s="138" t="s">
        <v>836</v>
      </c>
      <c r="E131" s="148" t="s">
        <v>822</v>
      </c>
      <c r="F131" s="149"/>
      <c r="G131" s="81">
        <f>SUM(G132)</f>
        <v>0</v>
      </c>
      <c r="H131" s="81">
        <f>SUM(H132)</f>
        <v>0</v>
      </c>
      <c r="I131" s="30"/>
    </row>
    <row r="132" spans="1:9" s="25" customFormat="1" ht="15" hidden="1">
      <c r="A132" s="95" t="s">
        <v>164</v>
      </c>
      <c r="B132" s="151"/>
      <c r="C132" s="138" t="s">
        <v>204</v>
      </c>
      <c r="D132" s="138" t="s">
        <v>836</v>
      </c>
      <c r="E132" s="148" t="s">
        <v>822</v>
      </c>
      <c r="F132" s="149" t="s">
        <v>165</v>
      </c>
      <c r="G132" s="81"/>
      <c r="H132" s="81"/>
      <c r="I132" s="30"/>
    </row>
    <row r="133" spans="1:9" s="25" customFormat="1" ht="15" hidden="1">
      <c r="A133" s="98" t="s">
        <v>200</v>
      </c>
      <c r="B133" s="148"/>
      <c r="C133" s="148" t="s">
        <v>204</v>
      </c>
      <c r="D133" s="148" t="s">
        <v>836</v>
      </c>
      <c r="E133" s="148" t="s">
        <v>201</v>
      </c>
      <c r="F133" s="149"/>
      <c r="G133" s="81">
        <f>SUM(G134+G136)+G139</f>
        <v>0</v>
      </c>
      <c r="H133" s="81">
        <f>SUM(H134+H136)+H139</f>
        <v>0</v>
      </c>
      <c r="I133" s="30" t="e">
        <f t="shared" ref="I133:I179" si="5">SUM(H133/G133*100)</f>
        <v>#DIV/0!</v>
      </c>
    </row>
    <row r="134" spans="1:9" s="25" customFormat="1" ht="42.75" hidden="1">
      <c r="A134" s="98" t="s">
        <v>896</v>
      </c>
      <c r="B134" s="148"/>
      <c r="C134" s="148" t="s">
        <v>204</v>
      </c>
      <c r="D134" s="148" t="s">
        <v>836</v>
      </c>
      <c r="E134" s="148" t="s">
        <v>597</v>
      </c>
      <c r="F134" s="149"/>
      <c r="G134" s="185">
        <f>SUM(G135:G135)</f>
        <v>0</v>
      </c>
      <c r="H134" s="185">
        <f>SUM(H135:H135)</f>
        <v>0</v>
      </c>
      <c r="I134" s="30" t="e">
        <f t="shared" si="5"/>
        <v>#DIV/0!</v>
      </c>
    </row>
    <row r="135" spans="1:9" s="25" customFormat="1" ht="18" hidden="1" customHeight="1">
      <c r="A135" s="95" t="s">
        <v>943</v>
      </c>
      <c r="B135" s="148"/>
      <c r="C135" s="148" t="s">
        <v>204</v>
      </c>
      <c r="D135" s="148" t="s">
        <v>836</v>
      </c>
      <c r="E135" s="148" t="s">
        <v>597</v>
      </c>
      <c r="F135" s="149" t="s">
        <v>944</v>
      </c>
      <c r="G135" s="185"/>
      <c r="H135" s="185"/>
      <c r="I135" s="30" t="e">
        <f t="shared" si="5"/>
        <v>#DIV/0!</v>
      </c>
    </row>
    <row r="136" spans="1:9" s="29" customFormat="1" ht="15" hidden="1">
      <c r="A136" s="98" t="s">
        <v>207</v>
      </c>
      <c r="B136" s="148"/>
      <c r="C136" s="148" t="s">
        <v>204</v>
      </c>
      <c r="D136" s="148" t="s">
        <v>836</v>
      </c>
      <c r="E136" s="148" t="s">
        <v>201</v>
      </c>
      <c r="F136" s="149" t="s">
        <v>208</v>
      </c>
      <c r="G136" s="82">
        <f>SUM(G137)</f>
        <v>0</v>
      </c>
      <c r="H136" s="82">
        <f>SUM(H137)</f>
        <v>0</v>
      </c>
      <c r="I136" s="30" t="e">
        <f t="shared" si="5"/>
        <v>#DIV/0!</v>
      </c>
    </row>
    <row r="137" spans="1:9" ht="28.5" hidden="1">
      <c r="A137" s="94" t="s">
        <v>37</v>
      </c>
      <c r="B137" s="148"/>
      <c r="C137" s="148" t="s">
        <v>204</v>
      </c>
      <c r="D137" s="148" t="s">
        <v>836</v>
      </c>
      <c r="E137" s="148" t="s">
        <v>38</v>
      </c>
      <c r="F137" s="149" t="s">
        <v>208</v>
      </c>
      <c r="G137" s="81">
        <f>SUM(G138)</f>
        <v>0</v>
      </c>
      <c r="H137" s="81">
        <f>SUM(H138)</f>
        <v>0</v>
      </c>
      <c r="I137" s="30" t="e">
        <f t="shared" si="5"/>
        <v>#DIV/0!</v>
      </c>
    </row>
    <row r="138" spans="1:9" s="25" customFormat="1" ht="28.5" hidden="1">
      <c r="A138" s="119" t="s">
        <v>827</v>
      </c>
      <c r="B138" s="148"/>
      <c r="C138" s="148" t="s">
        <v>204</v>
      </c>
      <c r="D138" s="148" t="s">
        <v>836</v>
      </c>
      <c r="E138" s="148" t="s">
        <v>39</v>
      </c>
      <c r="F138" s="149" t="s">
        <v>208</v>
      </c>
      <c r="G138" s="81"/>
      <c r="H138" s="81"/>
      <c r="I138" s="30" t="e">
        <f t="shared" si="5"/>
        <v>#DIV/0!</v>
      </c>
    </row>
    <row r="139" spans="1:9" s="25" customFormat="1" ht="28.5" hidden="1">
      <c r="A139" s="114" t="s">
        <v>40</v>
      </c>
      <c r="B139" s="148"/>
      <c r="C139" s="148" t="s">
        <v>204</v>
      </c>
      <c r="D139" s="148" t="s">
        <v>836</v>
      </c>
      <c r="E139" s="148" t="s">
        <v>41</v>
      </c>
      <c r="F139" s="149"/>
      <c r="G139" s="81">
        <f>SUM(G140)</f>
        <v>0</v>
      </c>
      <c r="H139" s="81">
        <f>SUM(H140)</f>
        <v>0</v>
      </c>
      <c r="I139" s="30" t="e">
        <f t="shared" si="5"/>
        <v>#DIV/0!</v>
      </c>
    </row>
    <row r="140" spans="1:9" s="25" customFormat="1" ht="15" hidden="1">
      <c r="A140" s="98" t="s">
        <v>207</v>
      </c>
      <c r="B140" s="148"/>
      <c r="C140" s="148" t="s">
        <v>204</v>
      </c>
      <c r="D140" s="148" t="s">
        <v>836</v>
      </c>
      <c r="E140" s="148" t="s">
        <v>41</v>
      </c>
      <c r="F140" s="149" t="s">
        <v>208</v>
      </c>
      <c r="G140" s="81"/>
      <c r="H140" s="81"/>
      <c r="I140" s="30" t="e">
        <f t="shared" si="5"/>
        <v>#DIV/0!</v>
      </c>
    </row>
    <row r="141" spans="1:9" ht="20.25" hidden="1" customHeight="1">
      <c r="A141" s="94" t="s">
        <v>42</v>
      </c>
      <c r="B141" s="142"/>
      <c r="C141" s="142" t="s">
        <v>204</v>
      </c>
      <c r="D141" s="142" t="s">
        <v>838</v>
      </c>
      <c r="E141" s="142"/>
      <c r="F141" s="140"/>
      <c r="G141" s="81">
        <f>SUM(G148+G164)+G142+G160+G145</f>
        <v>0</v>
      </c>
      <c r="H141" s="81">
        <f>SUM(H148+H164)+H142+H160+H145</f>
        <v>0</v>
      </c>
      <c r="I141" s="30" t="e">
        <f t="shared" si="5"/>
        <v>#DIV/0!</v>
      </c>
    </row>
    <row r="142" spans="1:9" ht="19.5" hidden="1" customHeight="1">
      <c r="A142" s="95" t="s">
        <v>748</v>
      </c>
      <c r="B142" s="138"/>
      <c r="C142" s="142" t="s">
        <v>204</v>
      </c>
      <c r="D142" s="142" t="s">
        <v>838</v>
      </c>
      <c r="E142" s="142" t="s">
        <v>750</v>
      </c>
      <c r="F142" s="140"/>
      <c r="G142" s="81">
        <f>SUM(G143)</f>
        <v>0</v>
      </c>
      <c r="H142" s="81">
        <f>SUM(H143)</f>
        <v>0</v>
      </c>
      <c r="I142" s="30" t="e">
        <f t="shared" si="5"/>
        <v>#DIV/0!</v>
      </c>
    </row>
    <row r="143" spans="1:9" ht="19.5" hidden="1" customHeight="1">
      <c r="A143" s="95" t="s">
        <v>728</v>
      </c>
      <c r="B143" s="138"/>
      <c r="C143" s="142" t="s">
        <v>204</v>
      </c>
      <c r="D143" s="142" t="s">
        <v>838</v>
      </c>
      <c r="E143" s="142" t="s">
        <v>729</v>
      </c>
      <c r="F143" s="139"/>
      <c r="G143" s="81">
        <f>SUM(G144)</f>
        <v>0</v>
      </c>
      <c r="H143" s="81">
        <f>SUM(H144)</f>
        <v>0</v>
      </c>
      <c r="I143" s="30" t="e">
        <f t="shared" si="5"/>
        <v>#DIV/0!</v>
      </c>
    </row>
    <row r="144" spans="1:9" ht="19.5" hidden="1" customHeight="1">
      <c r="A144" s="95" t="s">
        <v>164</v>
      </c>
      <c r="B144" s="138"/>
      <c r="C144" s="142" t="s">
        <v>204</v>
      </c>
      <c r="D144" s="142" t="s">
        <v>838</v>
      </c>
      <c r="E144" s="142" t="s">
        <v>729</v>
      </c>
      <c r="F144" s="139" t="s">
        <v>165</v>
      </c>
      <c r="G144" s="81"/>
      <c r="H144" s="81"/>
      <c r="I144" s="30" t="e">
        <f t="shared" si="5"/>
        <v>#DIV/0!</v>
      </c>
    </row>
    <row r="145" spans="1:9" ht="19.5" hidden="1" customHeight="1">
      <c r="A145" s="95" t="s">
        <v>574</v>
      </c>
      <c r="B145" s="138"/>
      <c r="C145" s="142" t="s">
        <v>204</v>
      </c>
      <c r="D145" s="142" t="s">
        <v>838</v>
      </c>
      <c r="E145" s="142" t="s">
        <v>575</v>
      </c>
      <c r="F145" s="139"/>
      <c r="G145" s="81">
        <f>SUM(G146)</f>
        <v>0</v>
      </c>
      <c r="H145" s="81">
        <f>SUM(H146)</f>
        <v>0</v>
      </c>
      <c r="I145" s="30" t="e">
        <f t="shared" si="5"/>
        <v>#DIV/0!</v>
      </c>
    </row>
    <row r="146" spans="1:9" ht="19.5" hidden="1" customHeight="1">
      <c r="A146" s="95" t="s">
        <v>576</v>
      </c>
      <c r="B146" s="138"/>
      <c r="C146" s="142" t="s">
        <v>204</v>
      </c>
      <c r="D146" s="142" t="s">
        <v>838</v>
      </c>
      <c r="E146" s="142" t="s">
        <v>577</v>
      </c>
      <c r="F146" s="139"/>
      <c r="G146" s="81">
        <f>SUM(G147)</f>
        <v>0</v>
      </c>
      <c r="H146" s="81">
        <f>SUM(H147)</f>
        <v>0</v>
      </c>
      <c r="I146" s="30" t="e">
        <f t="shared" si="5"/>
        <v>#DIV/0!</v>
      </c>
    </row>
    <row r="147" spans="1:9" ht="19.5" hidden="1" customHeight="1">
      <c r="A147" s="95" t="s">
        <v>943</v>
      </c>
      <c r="B147" s="138"/>
      <c r="C147" s="142" t="s">
        <v>204</v>
      </c>
      <c r="D147" s="142" t="s">
        <v>838</v>
      </c>
      <c r="E147" s="142" t="s">
        <v>577</v>
      </c>
      <c r="F147" s="139" t="s">
        <v>944</v>
      </c>
      <c r="G147" s="81"/>
      <c r="H147" s="81"/>
      <c r="I147" s="30" t="e">
        <f t="shared" si="5"/>
        <v>#DIV/0!</v>
      </c>
    </row>
    <row r="148" spans="1:9" ht="18" hidden="1" customHeight="1">
      <c r="A148" s="118" t="s">
        <v>578</v>
      </c>
      <c r="B148" s="142"/>
      <c r="C148" s="142" t="s">
        <v>204</v>
      </c>
      <c r="D148" s="142" t="s">
        <v>838</v>
      </c>
      <c r="E148" s="142" t="s">
        <v>44</v>
      </c>
      <c r="F148" s="140"/>
      <c r="G148" s="81">
        <f>SUM(G149+G151+G153)+G157</f>
        <v>0</v>
      </c>
      <c r="H148" s="81">
        <f>SUM(H149+H151+H153)+H157</f>
        <v>0</v>
      </c>
      <c r="I148" s="30" t="e">
        <f t="shared" si="5"/>
        <v>#DIV/0!</v>
      </c>
    </row>
    <row r="149" spans="1:9" ht="42.75" hidden="1">
      <c r="A149" s="98" t="s">
        <v>579</v>
      </c>
      <c r="B149" s="142"/>
      <c r="C149" s="142" t="s">
        <v>204</v>
      </c>
      <c r="D149" s="142" t="s">
        <v>838</v>
      </c>
      <c r="E149" s="142" t="s">
        <v>580</v>
      </c>
      <c r="F149" s="140"/>
      <c r="G149" s="81">
        <f>SUM(G150)</f>
        <v>0</v>
      </c>
      <c r="H149" s="81">
        <f>SUM(H150)</f>
        <v>0</v>
      </c>
      <c r="I149" s="30" t="e">
        <f t="shared" si="5"/>
        <v>#DIV/0!</v>
      </c>
    </row>
    <row r="150" spans="1:9" s="31" customFormat="1" ht="15" hidden="1">
      <c r="A150" s="95" t="s">
        <v>943</v>
      </c>
      <c r="B150" s="138"/>
      <c r="C150" s="138" t="s">
        <v>204</v>
      </c>
      <c r="D150" s="142" t="s">
        <v>838</v>
      </c>
      <c r="E150" s="142" t="s">
        <v>580</v>
      </c>
      <c r="F150" s="139" t="s">
        <v>944</v>
      </c>
      <c r="G150" s="81"/>
      <c r="H150" s="81"/>
      <c r="I150" s="30" t="e">
        <f t="shared" si="5"/>
        <v>#DIV/0!</v>
      </c>
    </row>
    <row r="151" spans="1:9" ht="42.75" hidden="1">
      <c r="A151" s="98" t="s">
        <v>15</v>
      </c>
      <c r="B151" s="138"/>
      <c r="C151" s="142" t="s">
        <v>204</v>
      </c>
      <c r="D151" s="142" t="s">
        <v>838</v>
      </c>
      <c r="E151" s="142" t="s">
        <v>16</v>
      </c>
      <c r="F151" s="139"/>
      <c r="G151" s="81">
        <f>SUM(G152)</f>
        <v>0</v>
      </c>
      <c r="H151" s="81">
        <f>SUM(H152)</f>
        <v>0</v>
      </c>
      <c r="I151" s="30" t="e">
        <f t="shared" si="5"/>
        <v>#DIV/0!</v>
      </c>
    </row>
    <row r="152" spans="1:9" s="31" customFormat="1" ht="19.5" hidden="1" customHeight="1">
      <c r="A152" s="95" t="s">
        <v>943</v>
      </c>
      <c r="B152" s="138"/>
      <c r="C152" s="142" t="s">
        <v>204</v>
      </c>
      <c r="D152" s="142" t="s">
        <v>838</v>
      </c>
      <c r="E152" s="142" t="s">
        <v>16</v>
      </c>
      <c r="F152" s="139" t="s">
        <v>944</v>
      </c>
      <c r="G152" s="81"/>
      <c r="H152" s="81"/>
      <c r="I152" s="30" t="e">
        <f t="shared" si="5"/>
        <v>#DIV/0!</v>
      </c>
    </row>
    <row r="153" spans="1:9" ht="20.25" hidden="1" customHeight="1">
      <c r="A153" s="119" t="s">
        <v>17</v>
      </c>
      <c r="B153" s="142"/>
      <c r="C153" s="142" t="s">
        <v>204</v>
      </c>
      <c r="D153" s="142" t="s">
        <v>838</v>
      </c>
      <c r="E153" s="142" t="s">
        <v>18</v>
      </c>
      <c r="F153" s="140"/>
      <c r="G153" s="81">
        <f>SUM(G154:G155)+G156</f>
        <v>0</v>
      </c>
      <c r="H153" s="81">
        <f>SUM(H154:H155)+H156</f>
        <v>0</v>
      </c>
      <c r="I153" s="30" t="e">
        <f t="shared" si="5"/>
        <v>#DIV/0!</v>
      </c>
    </row>
    <row r="154" spans="1:9" ht="19.5" hidden="1" customHeight="1">
      <c r="A154" s="95" t="s">
        <v>943</v>
      </c>
      <c r="B154" s="142"/>
      <c r="C154" s="142" t="s">
        <v>204</v>
      </c>
      <c r="D154" s="142" t="s">
        <v>838</v>
      </c>
      <c r="E154" s="142" t="s">
        <v>18</v>
      </c>
      <c r="F154" s="139" t="s">
        <v>944</v>
      </c>
      <c r="G154" s="82"/>
      <c r="H154" s="82"/>
      <c r="I154" s="30" t="e">
        <f t="shared" si="5"/>
        <v>#DIV/0!</v>
      </c>
    </row>
    <row r="155" spans="1:9" ht="19.5" hidden="1" customHeight="1">
      <c r="A155" s="95" t="s">
        <v>943</v>
      </c>
      <c r="B155" s="142"/>
      <c r="C155" s="142" t="s">
        <v>204</v>
      </c>
      <c r="D155" s="142" t="s">
        <v>838</v>
      </c>
      <c r="E155" s="142" t="s">
        <v>18</v>
      </c>
      <c r="F155" s="139" t="s">
        <v>944</v>
      </c>
      <c r="G155" s="82"/>
      <c r="H155" s="82"/>
      <c r="I155" s="30" t="e">
        <f t="shared" si="5"/>
        <v>#DIV/0!</v>
      </c>
    </row>
    <row r="156" spans="1:9" ht="19.5" hidden="1" customHeight="1">
      <c r="A156" s="95" t="s">
        <v>164</v>
      </c>
      <c r="B156" s="142"/>
      <c r="C156" s="142" t="s">
        <v>204</v>
      </c>
      <c r="D156" s="142" t="s">
        <v>838</v>
      </c>
      <c r="E156" s="142" t="s">
        <v>18</v>
      </c>
      <c r="F156" s="139" t="s">
        <v>165</v>
      </c>
      <c r="G156" s="82"/>
      <c r="H156" s="82"/>
      <c r="I156" s="30"/>
    </row>
    <row r="157" spans="1:9" ht="22.5" hidden="1" customHeight="1">
      <c r="A157" s="95" t="s">
        <v>953</v>
      </c>
      <c r="B157" s="142"/>
      <c r="C157" s="142" t="s">
        <v>204</v>
      </c>
      <c r="D157" s="142" t="s">
        <v>838</v>
      </c>
      <c r="E157" s="142" t="s">
        <v>237</v>
      </c>
      <c r="F157" s="139"/>
      <c r="G157" s="82">
        <f>SUM(G158)</f>
        <v>0</v>
      </c>
      <c r="H157" s="82">
        <f>SUM(H158)</f>
        <v>0</v>
      </c>
      <c r="I157" s="30"/>
    </row>
    <row r="158" spans="1:9" ht="32.25" hidden="1" customHeight="1">
      <c r="A158" s="95" t="s">
        <v>374</v>
      </c>
      <c r="B158" s="142"/>
      <c r="C158" s="142" t="s">
        <v>204</v>
      </c>
      <c r="D158" s="142" t="s">
        <v>838</v>
      </c>
      <c r="E158" s="142" t="s">
        <v>238</v>
      </c>
      <c r="F158" s="139"/>
      <c r="G158" s="82">
        <f>SUM(G159)</f>
        <v>0</v>
      </c>
      <c r="H158" s="82">
        <f>SUM(H159)</f>
        <v>0</v>
      </c>
      <c r="I158" s="30"/>
    </row>
    <row r="159" spans="1:9" ht="35.25" hidden="1" customHeight="1">
      <c r="A159" s="95" t="s">
        <v>256</v>
      </c>
      <c r="B159" s="142"/>
      <c r="C159" s="142" t="s">
        <v>204</v>
      </c>
      <c r="D159" s="142" t="s">
        <v>838</v>
      </c>
      <c r="E159" s="142" t="s">
        <v>238</v>
      </c>
      <c r="F159" s="139" t="s">
        <v>51</v>
      </c>
      <c r="G159" s="82"/>
      <c r="H159" s="82"/>
      <c r="I159" s="30"/>
    </row>
    <row r="160" spans="1:9" ht="19.5" hidden="1" customHeight="1">
      <c r="A160" s="119" t="s">
        <v>932</v>
      </c>
      <c r="B160" s="148"/>
      <c r="C160" s="142" t="s">
        <v>204</v>
      </c>
      <c r="D160" s="142" t="s">
        <v>838</v>
      </c>
      <c r="E160" s="148" t="s">
        <v>933</v>
      </c>
      <c r="F160" s="140"/>
      <c r="G160" s="82">
        <f t="shared" ref="G160:H162" si="6">SUM(G161)</f>
        <v>0</v>
      </c>
      <c r="H160" s="82">
        <f t="shared" si="6"/>
        <v>0</v>
      </c>
      <c r="I160" s="30" t="e">
        <f t="shared" si="5"/>
        <v>#DIV/0!</v>
      </c>
    </row>
    <row r="161" spans="1:9" ht="19.5" hidden="1" customHeight="1">
      <c r="A161" s="95" t="s">
        <v>825</v>
      </c>
      <c r="B161" s="148"/>
      <c r="C161" s="142" t="s">
        <v>204</v>
      </c>
      <c r="D161" s="142" t="s">
        <v>838</v>
      </c>
      <c r="E161" s="148" t="s">
        <v>826</v>
      </c>
      <c r="F161" s="140"/>
      <c r="G161" s="82">
        <f t="shared" si="6"/>
        <v>0</v>
      </c>
      <c r="H161" s="82">
        <f t="shared" si="6"/>
        <v>0</v>
      </c>
      <c r="I161" s="30" t="e">
        <f t="shared" si="5"/>
        <v>#DIV/0!</v>
      </c>
    </row>
    <row r="162" spans="1:9" ht="19.5" hidden="1" customHeight="1">
      <c r="A162" s="119" t="s">
        <v>19</v>
      </c>
      <c r="B162" s="138"/>
      <c r="C162" s="142" t="s">
        <v>204</v>
      </c>
      <c r="D162" s="142" t="s">
        <v>838</v>
      </c>
      <c r="E162" s="148" t="s">
        <v>20</v>
      </c>
      <c r="F162" s="140"/>
      <c r="G162" s="82">
        <f t="shared" si="6"/>
        <v>0</v>
      </c>
      <c r="H162" s="82">
        <f t="shared" si="6"/>
        <v>0</v>
      </c>
      <c r="I162" s="30" t="e">
        <f t="shared" si="5"/>
        <v>#DIV/0!</v>
      </c>
    </row>
    <row r="163" spans="1:9" ht="19.5" hidden="1" customHeight="1">
      <c r="A163" s="95" t="s">
        <v>164</v>
      </c>
      <c r="B163" s="142"/>
      <c r="C163" s="142" t="s">
        <v>204</v>
      </c>
      <c r="D163" s="142" t="s">
        <v>838</v>
      </c>
      <c r="E163" s="148" t="s">
        <v>20</v>
      </c>
      <c r="F163" s="139" t="s">
        <v>165</v>
      </c>
      <c r="G163" s="82"/>
      <c r="H163" s="82"/>
      <c r="I163" s="30" t="e">
        <f t="shared" si="5"/>
        <v>#DIV/0!</v>
      </c>
    </row>
    <row r="164" spans="1:9" ht="21.75" hidden="1" customHeight="1">
      <c r="A164" s="98" t="s">
        <v>200</v>
      </c>
      <c r="B164" s="148"/>
      <c r="C164" s="148" t="s">
        <v>204</v>
      </c>
      <c r="D164" s="148" t="s">
        <v>838</v>
      </c>
      <c r="E164" s="148" t="s">
        <v>201</v>
      </c>
      <c r="F164" s="149"/>
      <c r="G164" s="82">
        <f>SUM(G169)</f>
        <v>0</v>
      </c>
      <c r="H164" s="82">
        <f>SUM(H169)</f>
        <v>0</v>
      </c>
      <c r="I164" s="30" t="e">
        <f t="shared" si="5"/>
        <v>#DIV/0!</v>
      </c>
    </row>
    <row r="165" spans="1:9" s="32" customFormat="1" ht="42.75" hidden="1">
      <c r="A165" s="97" t="s">
        <v>596</v>
      </c>
      <c r="B165" s="148"/>
      <c r="C165" s="148" t="s">
        <v>204</v>
      </c>
      <c r="D165" s="148" t="s">
        <v>838</v>
      </c>
      <c r="E165" s="148" t="s">
        <v>597</v>
      </c>
      <c r="F165" s="139"/>
      <c r="G165" s="82">
        <f>SUM(G166)+G167+G172+G168</f>
        <v>0</v>
      </c>
      <c r="H165" s="82">
        <f>SUM(H166)+H167+H172+H168</f>
        <v>0</v>
      </c>
      <c r="I165" s="30" t="e">
        <f t="shared" si="5"/>
        <v>#DIV/0!</v>
      </c>
    </row>
    <row r="166" spans="1:9" ht="28.5" hidden="1">
      <c r="A166" s="95" t="s">
        <v>21</v>
      </c>
      <c r="B166" s="148"/>
      <c r="C166" s="148" t="s">
        <v>204</v>
      </c>
      <c r="D166" s="148" t="s">
        <v>838</v>
      </c>
      <c r="E166" s="148" t="s">
        <v>22</v>
      </c>
      <c r="F166" s="139" t="s">
        <v>165</v>
      </c>
      <c r="G166" s="82">
        <f>600-600</f>
        <v>0</v>
      </c>
      <c r="H166" s="82">
        <f>600-600</f>
        <v>0</v>
      </c>
      <c r="I166" s="30" t="e">
        <f t="shared" si="5"/>
        <v>#DIV/0!</v>
      </c>
    </row>
    <row r="167" spans="1:9" ht="28.5" hidden="1">
      <c r="A167" s="98" t="s">
        <v>23</v>
      </c>
      <c r="B167" s="148"/>
      <c r="C167" s="148" t="s">
        <v>204</v>
      </c>
      <c r="D167" s="148" t="s">
        <v>838</v>
      </c>
      <c r="E167" s="148" t="s">
        <v>24</v>
      </c>
      <c r="F167" s="139" t="s">
        <v>165</v>
      </c>
      <c r="G167" s="82">
        <f>900-900</f>
        <v>0</v>
      </c>
      <c r="H167" s="82">
        <f>900-900</f>
        <v>0</v>
      </c>
      <c r="I167" s="30" t="e">
        <f t="shared" si="5"/>
        <v>#DIV/0!</v>
      </c>
    </row>
    <row r="168" spans="1:9" ht="15" hidden="1">
      <c r="A168" s="95" t="s">
        <v>164</v>
      </c>
      <c r="B168" s="148"/>
      <c r="C168" s="148" t="s">
        <v>204</v>
      </c>
      <c r="D168" s="148" t="s">
        <v>838</v>
      </c>
      <c r="E168" s="148" t="s">
        <v>597</v>
      </c>
      <c r="F168" s="139" t="s">
        <v>165</v>
      </c>
      <c r="G168" s="82">
        <f>5825.2-5825.2</f>
        <v>0</v>
      </c>
      <c r="H168" s="82">
        <f>5825.2-5825.2</f>
        <v>0</v>
      </c>
      <c r="I168" s="30" t="e">
        <f t="shared" si="5"/>
        <v>#DIV/0!</v>
      </c>
    </row>
    <row r="169" spans="1:9" ht="42.75" hidden="1">
      <c r="A169" s="95" t="s">
        <v>895</v>
      </c>
      <c r="B169" s="148"/>
      <c r="C169" s="148" t="s">
        <v>204</v>
      </c>
      <c r="D169" s="148" t="s">
        <v>838</v>
      </c>
      <c r="E169" s="148" t="s">
        <v>842</v>
      </c>
      <c r="F169" s="139"/>
      <c r="G169" s="82">
        <f>SUM(G170+G171)</f>
        <v>0</v>
      </c>
      <c r="H169" s="82">
        <f>SUM(H170+H171)</f>
        <v>0</v>
      </c>
      <c r="I169" s="30"/>
    </row>
    <row r="170" spans="1:9" ht="17.25" hidden="1" customHeight="1">
      <c r="A170" s="95" t="s">
        <v>943</v>
      </c>
      <c r="B170" s="148"/>
      <c r="C170" s="148" t="s">
        <v>204</v>
      </c>
      <c r="D170" s="148" t="s">
        <v>838</v>
      </c>
      <c r="E170" s="148" t="s">
        <v>842</v>
      </c>
      <c r="F170" s="139" t="s">
        <v>944</v>
      </c>
      <c r="G170" s="82"/>
      <c r="H170" s="82"/>
      <c r="I170" s="30"/>
    </row>
    <row r="171" spans="1:9" ht="17.25" hidden="1" customHeight="1">
      <c r="A171" s="95" t="s">
        <v>164</v>
      </c>
      <c r="B171" s="148"/>
      <c r="C171" s="148" t="s">
        <v>204</v>
      </c>
      <c r="D171" s="148" t="s">
        <v>838</v>
      </c>
      <c r="E171" s="148" t="s">
        <v>842</v>
      </c>
      <c r="F171" s="139" t="s">
        <v>165</v>
      </c>
      <c r="G171" s="82"/>
      <c r="H171" s="82"/>
      <c r="I171" s="30"/>
    </row>
    <row r="172" spans="1:9" ht="28.5" hidden="1">
      <c r="A172" s="114" t="s">
        <v>27</v>
      </c>
      <c r="B172" s="148"/>
      <c r="C172" s="148" t="s">
        <v>204</v>
      </c>
      <c r="D172" s="148" t="s">
        <v>838</v>
      </c>
      <c r="E172" s="148" t="s">
        <v>28</v>
      </c>
      <c r="F172" s="139"/>
      <c r="G172" s="82">
        <f>SUM(G173)</f>
        <v>0</v>
      </c>
      <c r="H172" s="82">
        <f>SUM(H173)</f>
        <v>0</v>
      </c>
      <c r="I172" s="30" t="e">
        <f t="shared" si="5"/>
        <v>#DIV/0!</v>
      </c>
    </row>
    <row r="173" spans="1:9" ht="15" hidden="1">
      <c r="A173" s="98" t="s">
        <v>19</v>
      </c>
      <c r="B173" s="148"/>
      <c r="C173" s="148" t="s">
        <v>204</v>
      </c>
      <c r="D173" s="148" t="s">
        <v>838</v>
      </c>
      <c r="E173" s="148" t="s">
        <v>29</v>
      </c>
      <c r="F173" s="139"/>
      <c r="G173" s="82">
        <f>SUM(G174)</f>
        <v>0</v>
      </c>
      <c r="H173" s="82">
        <f>SUM(H174)</f>
        <v>0</v>
      </c>
      <c r="I173" s="30" t="e">
        <f t="shared" si="5"/>
        <v>#DIV/0!</v>
      </c>
    </row>
    <row r="174" spans="1:9" ht="19.5" hidden="1" customHeight="1">
      <c r="A174" s="95" t="s">
        <v>164</v>
      </c>
      <c r="B174" s="148"/>
      <c r="C174" s="148" t="s">
        <v>204</v>
      </c>
      <c r="D174" s="148" t="s">
        <v>838</v>
      </c>
      <c r="E174" s="148" t="s">
        <v>29</v>
      </c>
      <c r="F174" s="139" t="s">
        <v>165</v>
      </c>
      <c r="G174" s="82">
        <f>4200.9-4200.9</f>
        <v>0</v>
      </c>
      <c r="H174" s="82">
        <f>4200.9-4200.9</f>
        <v>0</v>
      </c>
      <c r="I174" s="30" t="e">
        <f t="shared" si="5"/>
        <v>#DIV/0!</v>
      </c>
    </row>
    <row r="175" spans="1:9" s="75" customFormat="1" ht="16.5" hidden="1" customHeight="1">
      <c r="A175" s="94" t="s">
        <v>30</v>
      </c>
      <c r="B175" s="142"/>
      <c r="C175" s="142" t="s">
        <v>204</v>
      </c>
      <c r="D175" s="142" t="s">
        <v>167</v>
      </c>
      <c r="E175" s="142"/>
      <c r="F175" s="140"/>
      <c r="G175" s="81">
        <f>SUM(G178+G195)+G176+G194</f>
        <v>0</v>
      </c>
      <c r="H175" s="81">
        <f>SUM(H178+H195)+H176+H194</f>
        <v>0</v>
      </c>
      <c r="I175" s="30" t="e">
        <f t="shared" si="5"/>
        <v>#DIV/0!</v>
      </c>
    </row>
    <row r="176" spans="1:9" s="33" customFormat="1" ht="19.5" hidden="1" customHeight="1">
      <c r="A176" s="94" t="s">
        <v>103</v>
      </c>
      <c r="B176" s="142"/>
      <c r="C176" s="142" t="s">
        <v>204</v>
      </c>
      <c r="D176" s="142" t="s">
        <v>167</v>
      </c>
      <c r="E176" s="142" t="s">
        <v>104</v>
      </c>
      <c r="F176" s="140"/>
      <c r="G176" s="81">
        <f>SUM(G177)</f>
        <v>0</v>
      </c>
      <c r="H176" s="81">
        <f>SUM(H177)</f>
        <v>0</v>
      </c>
      <c r="I176" s="30" t="e">
        <f t="shared" si="5"/>
        <v>#DIV/0!</v>
      </c>
    </row>
    <row r="177" spans="1:9" s="33" customFormat="1" ht="19.5" hidden="1" customHeight="1">
      <c r="A177" s="94" t="s">
        <v>105</v>
      </c>
      <c r="B177" s="142"/>
      <c r="C177" s="142" t="s">
        <v>204</v>
      </c>
      <c r="D177" s="142" t="s">
        <v>167</v>
      </c>
      <c r="E177" s="142" t="s">
        <v>104</v>
      </c>
      <c r="F177" s="140" t="s">
        <v>106</v>
      </c>
      <c r="G177" s="81"/>
      <c r="H177" s="81"/>
      <c r="I177" s="30" t="e">
        <f t="shared" si="5"/>
        <v>#DIV/0!</v>
      </c>
    </row>
    <row r="178" spans="1:9" s="33" customFormat="1" ht="18.75" hidden="1" customHeight="1">
      <c r="A178" s="94" t="s">
        <v>30</v>
      </c>
      <c r="B178" s="148"/>
      <c r="C178" s="142" t="s">
        <v>204</v>
      </c>
      <c r="D178" s="142" t="s">
        <v>167</v>
      </c>
      <c r="E178" s="148" t="s">
        <v>107</v>
      </c>
      <c r="F178" s="149"/>
      <c r="G178" s="81">
        <f>SUM(G179+G184+G189+G192)+G187</f>
        <v>0</v>
      </c>
      <c r="H178" s="81">
        <f>SUM(H179+H184+H189+H192)+H187</f>
        <v>0</v>
      </c>
      <c r="I178" s="30" t="e">
        <f t="shared" si="5"/>
        <v>#DIV/0!</v>
      </c>
    </row>
    <row r="179" spans="1:9" s="33" customFormat="1" ht="15.75" hidden="1" customHeight="1">
      <c r="A179" s="98" t="s">
        <v>108</v>
      </c>
      <c r="B179" s="148"/>
      <c r="C179" s="142" t="s">
        <v>204</v>
      </c>
      <c r="D179" s="142" t="s">
        <v>167</v>
      </c>
      <c r="E179" s="148" t="s">
        <v>109</v>
      </c>
      <c r="F179" s="149"/>
      <c r="G179" s="81">
        <f>SUM(G180:G182)</f>
        <v>0</v>
      </c>
      <c r="H179" s="81">
        <f>SUM(H180:H182)</f>
        <v>0</v>
      </c>
      <c r="I179" s="30" t="e">
        <f t="shared" si="5"/>
        <v>#DIV/0!</v>
      </c>
    </row>
    <row r="180" spans="1:9" s="33" customFormat="1" ht="19.5" hidden="1" customHeight="1">
      <c r="A180" s="95" t="s">
        <v>943</v>
      </c>
      <c r="B180" s="148"/>
      <c r="C180" s="142" t="s">
        <v>204</v>
      </c>
      <c r="D180" s="142" t="s">
        <v>167</v>
      </c>
      <c r="E180" s="148" t="s">
        <v>109</v>
      </c>
      <c r="F180" s="149" t="s">
        <v>944</v>
      </c>
      <c r="G180" s="81"/>
      <c r="H180" s="81"/>
      <c r="I180" s="30"/>
    </row>
    <row r="181" spans="1:9" s="33" customFormat="1" ht="15" hidden="1">
      <c r="A181" s="95" t="s">
        <v>164</v>
      </c>
      <c r="B181" s="148"/>
      <c r="C181" s="142" t="s">
        <v>204</v>
      </c>
      <c r="D181" s="142" t="s">
        <v>167</v>
      </c>
      <c r="E181" s="148" t="s">
        <v>109</v>
      </c>
      <c r="F181" s="149" t="s">
        <v>165</v>
      </c>
      <c r="G181" s="81"/>
      <c r="H181" s="81"/>
      <c r="I181" s="30" t="e">
        <f>SUM(H181/G181*100)</f>
        <v>#DIV/0!</v>
      </c>
    </row>
    <row r="182" spans="1:9" s="33" customFormat="1" ht="19.5" hidden="1" customHeight="1">
      <c r="A182" s="95" t="s">
        <v>1002</v>
      </c>
      <c r="B182" s="148"/>
      <c r="C182" s="142" t="s">
        <v>204</v>
      </c>
      <c r="D182" s="142" t="s">
        <v>167</v>
      </c>
      <c r="E182" s="148" t="s">
        <v>110</v>
      </c>
      <c r="F182" s="149"/>
      <c r="G182" s="81">
        <f>SUM(G183)</f>
        <v>0</v>
      </c>
      <c r="H182" s="81">
        <f>SUM(H183)</f>
        <v>0</v>
      </c>
      <c r="I182" s="30" t="e">
        <f>SUM(H182/G182*100)</f>
        <v>#DIV/0!</v>
      </c>
    </row>
    <row r="183" spans="1:9" s="33" customFormat="1" ht="15" hidden="1">
      <c r="A183" s="95" t="s">
        <v>164</v>
      </c>
      <c r="B183" s="148"/>
      <c r="C183" s="142" t="s">
        <v>204</v>
      </c>
      <c r="D183" s="142" t="s">
        <v>167</v>
      </c>
      <c r="E183" s="148" t="s">
        <v>110</v>
      </c>
      <c r="F183" s="149" t="s">
        <v>165</v>
      </c>
      <c r="G183" s="81"/>
      <c r="H183" s="81"/>
      <c r="I183" s="30" t="e">
        <f>SUM(H183/G183*100)</f>
        <v>#DIV/0!</v>
      </c>
    </row>
    <row r="184" spans="1:9" s="33" customFormat="1" ht="19.5" hidden="1" customHeight="1">
      <c r="A184" s="98" t="s">
        <v>4</v>
      </c>
      <c r="B184" s="148"/>
      <c r="C184" s="142" t="s">
        <v>204</v>
      </c>
      <c r="D184" s="142" t="s">
        <v>167</v>
      </c>
      <c r="E184" s="148" t="s">
        <v>5</v>
      </c>
      <c r="F184" s="149"/>
      <c r="G184" s="81">
        <f>SUM(G186+G185)</f>
        <v>0</v>
      </c>
      <c r="H184" s="81">
        <f>SUM(H186+H185)</f>
        <v>0</v>
      </c>
      <c r="I184" s="30" t="e">
        <f>SUM(H184/G184*100)</f>
        <v>#DIV/0!</v>
      </c>
    </row>
    <row r="185" spans="1:9" s="25" customFormat="1" ht="15" hidden="1">
      <c r="A185" s="95" t="s">
        <v>207</v>
      </c>
      <c r="B185" s="148"/>
      <c r="C185" s="142" t="s">
        <v>204</v>
      </c>
      <c r="D185" s="142" t="s">
        <v>167</v>
      </c>
      <c r="E185" s="148" t="s">
        <v>5</v>
      </c>
      <c r="F185" s="149" t="s">
        <v>208</v>
      </c>
      <c r="G185" s="81"/>
      <c r="H185" s="81"/>
      <c r="I185" s="30"/>
    </row>
    <row r="186" spans="1:9" s="33" customFormat="1" ht="15" hidden="1">
      <c r="A186" s="95" t="s">
        <v>164</v>
      </c>
      <c r="B186" s="148"/>
      <c r="C186" s="142" t="s">
        <v>204</v>
      </c>
      <c r="D186" s="142" t="s">
        <v>167</v>
      </c>
      <c r="E186" s="148" t="s">
        <v>5</v>
      </c>
      <c r="F186" s="149" t="s">
        <v>165</v>
      </c>
      <c r="G186" s="81"/>
      <c r="H186" s="81"/>
      <c r="I186" s="30" t="e">
        <f>SUM(H186/G186*100)</f>
        <v>#DIV/0!</v>
      </c>
    </row>
    <row r="187" spans="1:9" ht="57" hidden="1">
      <c r="A187" s="95" t="s">
        <v>6</v>
      </c>
      <c r="B187" s="148"/>
      <c r="C187" s="142" t="s">
        <v>204</v>
      </c>
      <c r="D187" s="142" t="s">
        <v>167</v>
      </c>
      <c r="E187" s="148" t="s">
        <v>7</v>
      </c>
      <c r="F187" s="149"/>
      <c r="G187" s="81">
        <f>SUM(G188)</f>
        <v>0</v>
      </c>
      <c r="H187" s="81">
        <f>SUM(H188)</f>
        <v>0</v>
      </c>
      <c r="I187" s="30" t="e">
        <f>SUM(H187/G187*100)</f>
        <v>#DIV/0!</v>
      </c>
    </row>
    <row r="188" spans="1:9" ht="15" hidden="1">
      <c r="A188" s="95" t="s">
        <v>164</v>
      </c>
      <c r="B188" s="148"/>
      <c r="C188" s="142" t="s">
        <v>204</v>
      </c>
      <c r="D188" s="142" t="s">
        <v>167</v>
      </c>
      <c r="E188" s="148" t="s">
        <v>7</v>
      </c>
      <c r="F188" s="149" t="s">
        <v>165</v>
      </c>
      <c r="G188" s="81"/>
      <c r="H188" s="81"/>
      <c r="I188" s="30" t="e">
        <f>SUM(H188/G188*100)</f>
        <v>#DIV/0!</v>
      </c>
    </row>
    <row r="189" spans="1:9" ht="16.5" hidden="1" customHeight="1">
      <c r="A189" s="98" t="s">
        <v>8</v>
      </c>
      <c r="B189" s="148"/>
      <c r="C189" s="142" t="s">
        <v>204</v>
      </c>
      <c r="D189" s="142" t="s">
        <v>167</v>
      </c>
      <c r="E189" s="148" t="s">
        <v>9</v>
      </c>
      <c r="F189" s="149"/>
      <c r="G189" s="81">
        <f>SUM(G191+G190)</f>
        <v>0</v>
      </c>
      <c r="H189" s="81">
        <f>SUM(H191+H190)</f>
        <v>0</v>
      </c>
      <c r="I189" s="30" t="e">
        <f>SUM(H189/G189*100)</f>
        <v>#DIV/0!</v>
      </c>
    </row>
    <row r="190" spans="1:9" ht="19.5" hidden="1" customHeight="1">
      <c r="A190" s="95" t="s">
        <v>943</v>
      </c>
      <c r="B190" s="148"/>
      <c r="C190" s="142" t="s">
        <v>204</v>
      </c>
      <c r="D190" s="142" t="s">
        <v>167</v>
      </c>
      <c r="E190" s="148" t="s">
        <v>9</v>
      </c>
      <c r="F190" s="149" t="s">
        <v>944</v>
      </c>
      <c r="G190" s="81"/>
      <c r="H190" s="81"/>
      <c r="I190" s="30"/>
    </row>
    <row r="191" spans="1:9" s="75" customFormat="1" ht="20.25" hidden="1" customHeight="1">
      <c r="A191" s="95" t="s">
        <v>164</v>
      </c>
      <c r="B191" s="148"/>
      <c r="C191" s="142" t="s">
        <v>204</v>
      </c>
      <c r="D191" s="142" t="s">
        <v>167</v>
      </c>
      <c r="E191" s="148" t="s">
        <v>9</v>
      </c>
      <c r="F191" s="149" t="s">
        <v>165</v>
      </c>
      <c r="G191" s="81"/>
      <c r="H191" s="81"/>
      <c r="I191" s="30" t="e">
        <f>SUM(H191/G191*100)</f>
        <v>#DIV/0!</v>
      </c>
    </row>
    <row r="192" spans="1:9" s="75" customFormat="1" ht="15" hidden="1">
      <c r="A192" s="98" t="s">
        <v>10</v>
      </c>
      <c r="B192" s="148"/>
      <c r="C192" s="142" t="s">
        <v>204</v>
      </c>
      <c r="D192" s="142" t="s">
        <v>167</v>
      </c>
      <c r="E192" s="148" t="s">
        <v>11</v>
      </c>
      <c r="F192" s="149"/>
      <c r="G192" s="81">
        <f>SUM(G193)</f>
        <v>0</v>
      </c>
      <c r="H192" s="81">
        <f>SUM(H193)</f>
        <v>0</v>
      </c>
      <c r="I192" s="30" t="e">
        <f>SUM(H192/G192*100)</f>
        <v>#DIV/0!</v>
      </c>
    </row>
    <row r="193" spans="1:9" s="75" customFormat="1" ht="15" hidden="1">
      <c r="A193" s="95" t="s">
        <v>164</v>
      </c>
      <c r="B193" s="148"/>
      <c r="C193" s="142" t="s">
        <v>204</v>
      </c>
      <c r="D193" s="142" t="s">
        <v>167</v>
      </c>
      <c r="E193" s="148" t="s">
        <v>11</v>
      </c>
      <c r="F193" s="149" t="s">
        <v>165</v>
      </c>
      <c r="G193" s="81"/>
      <c r="H193" s="81"/>
      <c r="I193" s="30"/>
    </row>
    <row r="194" spans="1:9" s="75" customFormat="1" ht="15" hidden="1">
      <c r="A194" s="98" t="s">
        <v>200</v>
      </c>
      <c r="B194" s="148"/>
      <c r="C194" s="142" t="s">
        <v>204</v>
      </c>
      <c r="D194" s="142" t="s">
        <v>167</v>
      </c>
      <c r="E194" s="148" t="s">
        <v>201</v>
      </c>
      <c r="F194" s="149"/>
      <c r="G194" s="81">
        <f>SUM(G202)</f>
        <v>0</v>
      </c>
      <c r="H194" s="81">
        <f>SUM(H202)</f>
        <v>0</v>
      </c>
      <c r="I194" s="30" t="e">
        <f t="shared" ref="I194:I199" si="7">SUM(H194/G194*100)</f>
        <v>#DIV/0!</v>
      </c>
    </row>
    <row r="195" spans="1:9" s="75" customFormat="1" ht="15" hidden="1">
      <c r="A195" s="98" t="s">
        <v>200</v>
      </c>
      <c r="B195" s="148"/>
      <c r="C195" s="142" t="s">
        <v>204</v>
      </c>
      <c r="D195" s="142" t="s">
        <v>167</v>
      </c>
      <c r="E195" s="148" t="s">
        <v>201</v>
      </c>
      <c r="F195" s="149"/>
      <c r="G195" s="81">
        <f>SUM(G196,G200)</f>
        <v>0</v>
      </c>
      <c r="H195" s="81">
        <f>SUM(H196,H200)</f>
        <v>0</v>
      </c>
      <c r="I195" s="30" t="e">
        <f t="shared" si="7"/>
        <v>#DIV/0!</v>
      </c>
    </row>
    <row r="196" spans="1:9" s="75" customFormat="1" ht="28.5" hidden="1">
      <c r="A196" s="95" t="s">
        <v>14</v>
      </c>
      <c r="B196" s="148"/>
      <c r="C196" s="142" t="s">
        <v>204</v>
      </c>
      <c r="D196" s="142" t="s">
        <v>167</v>
      </c>
      <c r="E196" s="148" t="s">
        <v>22</v>
      </c>
      <c r="F196" s="149"/>
      <c r="G196" s="81">
        <f>SUM(G198)+G197</f>
        <v>0</v>
      </c>
      <c r="H196" s="81">
        <f>SUM(H198)+H197</f>
        <v>0</v>
      </c>
      <c r="I196" s="30" t="e">
        <f t="shared" si="7"/>
        <v>#DIV/0!</v>
      </c>
    </row>
    <row r="197" spans="1:9" s="75" customFormat="1" ht="15" hidden="1">
      <c r="A197" s="95" t="s">
        <v>164</v>
      </c>
      <c r="B197" s="148"/>
      <c r="C197" s="142" t="s">
        <v>204</v>
      </c>
      <c r="D197" s="142" t="s">
        <v>167</v>
      </c>
      <c r="E197" s="148" t="s">
        <v>22</v>
      </c>
      <c r="F197" s="139" t="s">
        <v>165</v>
      </c>
      <c r="G197" s="82"/>
      <c r="H197" s="82"/>
      <c r="I197" s="30" t="e">
        <f t="shared" si="7"/>
        <v>#DIV/0!</v>
      </c>
    </row>
    <row r="198" spans="1:9" s="75" customFormat="1" ht="28.5" hidden="1">
      <c r="A198" s="98" t="s">
        <v>12</v>
      </c>
      <c r="B198" s="153"/>
      <c r="C198" s="142" t="s">
        <v>204</v>
      </c>
      <c r="D198" s="142" t="s">
        <v>167</v>
      </c>
      <c r="E198" s="148" t="s">
        <v>13</v>
      </c>
      <c r="F198" s="149" t="s">
        <v>165</v>
      </c>
      <c r="G198" s="82"/>
      <c r="H198" s="82"/>
      <c r="I198" s="30" t="e">
        <f t="shared" si="7"/>
        <v>#DIV/0!</v>
      </c>
    </row>
    <row r="199" spans="1:9" s="75" customFormat="1" ht="42.75" hidden="1">
      <c r="A199" s="114" t="s">
        <v>64</v>
      </c>
      <c r="B199" s="153"/>
      <c r="C199" s="142" t="s">
        <v>204</v>
      </c>
      <c r="D199" s="142" t="s">
        <v>167</v>
      </c>
      <c r="E199" s="148" t="s">
        <v>65</v>
      </c>
      <c r="F199" s="149" t="s">
        <v>165</v>
      </c>
      <c r="G199" s="82"/>
      <c r="H199" s="82"/>
      <c r="I199" s="30" t="e">
        <f t="shared" si="7"/>
        <v>#DIV/0!</v>
      </c>
    </row>
    <row r="200" spans="1:9" ht="15" hidden="1">
      <c r="A200" s="94" t="s">
        <v>2</v>
      </c>
      <c r="B200" s="138"/>
      <c r="C200" s="154" t="s">
        <v>204</v>
      </c>
      <c r="D200" s="154" t="s">
        <v>167</v>
      </c>
      <c r="E200" s="154" t="s">
        <v>776</v>
      </c>
      <c r="F200" s="140"/>
      <c r="G200" s="82">
        <f>SUM(G201)</f>
        <v>0</v>
      </c>
      <c r="H200" s="82">
        <f>SUM(H201)</f>
        <v>0</v>
      </c>
      <c r="I200" s="30"/>
    </row>
    <row r="201" spans="1:9" ht="15" hidden="1">
      <c r="A201" s="94" t="s">
        <v>943</v>
      </c>
      <c r="B201" s="138"/>
      <c r="C201" s="154" t="s">
        <v>204</v>
      </c>
      <c r="D201" s="154" t="s">
        <v>167</v>
      </c>
      <c r="E201" s="154" t="s">
        <v>96</v>
      </c>
      <c r="F201" s="140" t="s">
        <v>944</v>
      </c>
      <c r="G201" s="82"/>
      <c r="H201" s="82"/>
      <c r="I201" s="30"/>
    </row>
    <row r="202" spans="1:9" ht="42.75" hidden="1">
      <c r="A202" s="94" t="s">
        <v>239</v>
      </c>
      <c r="B202" s="138"/>
      <c r="C202" s="154" t="s">
        <v>204</v>
      </c>
      <c r="D202" s="154" t="s">
        <v>167</v>
      </c>
      <c r="E202" s="148" t="s">
        <v>240</v>
      </c>
      <c r="F202" s="140"/>
      <c r="G202" s="82">
        <f>SUM(G203)</f>
        <v>0</v>
      </c>
      <c r="H202" s="82">
        <f>SUM(H203)</f>
        <v>0</v>
      </c>
      <c r="I202" s="30"/>
    </row>
    <row r="203" spans="1:9" ht="15" hidden="1">
      <c r="A203" s="95" t="s">
        <v>164</v>
      </c>
      <c r="B203" s="138"/>
      <c r="C203" s="154" t="s">
        <v>204</v>
      </c>
      <c r="D203" s="154" t="s">
        <v>167</v>
      </c>
      <c r="E203" s="148" t="s">
        <v>240</v>
      </c>
      <c r="F203" s="140" t="s">
        <v>165</v>
      </c>
      <c r="G203" s="82"/>
      <c r="H203" s="82"/>
      <c r="I203" s="30"/>
    </row>
    <row r="204" spans="1:9" ht="15" hidden="1">
      <c r="A204" s="118" t="s">
        <v>66</v>
      </c>
      <c r="B204" s="138"/>
      <c r="C204" s="142" t="s">
        <v>204</v>
      </c>
      <c r="D204" s="142" t="s">
        <v>204</v>
      </c>
      <c r="E204" s="142"/>
      <c r="F204" s="141"/>
      <c r="G204" s="81">
        <f>SUM(G205+G208+G224+G212)+G220</f>
        <v>0</v>
      </c>
      <c r="H204" s="81">
        <f>SUM(H205+H208+H224+H212)+H220</f>
        <v>0</v>
      </c>
      <c r="I204" s="30" t="e">
        <f t="shared" ref="I204:I272" si="8">SUM(H204/G204*100)</f>
        <v>#DIV/0!</v>
      </c>
    </row>
    <row r="205" spans="1:9" s="25" customFormat="1" ht="41.25" hidden="1" customHeight="1">
      <c r="A205" s="95" t="s">
        <v>160</v>
      </c>
      <c r="B205" s="142"/>
      <c r="C205" s="142" t="s">
        <v>204</v>
      </c>
      <c r="D205" s="142" t="s">
        <v>204</v>
      </c>
      <c r="E205" s="138" t="s">
        <v>161</v>
      </c>
      <c r="F205" s="140"/>
      <c r="G205" s="81">
        <f>SUM(G206+G209)</f>
        <v>0</v>
      </c>
      <c r="H205" s="81">
        <f>SUM(H206+H209)</f>
        <v>0</v>
      </c>
      <c r="I205" s="30" t="e">
        <f t="shared" si="8"/>
        <v>#DIV/0!</v>
      </c>
    </row>
    <row r="206" spans="1:9" s="25" customFormat="1" ht="21" hidden="1" customHeight="1">
      <c r="A206" s="95" t="s">
        <v>168</v>
      </c>
      <c r="B206" s="142"/>
      <c r="C206" s="142" t="s">
        <v>204</v>
      </c>
      <c r="D206" s="142" t="s">
        <v>204</v>
      </c>
      <c r="E206" s="138" t="s">
        <v>170</v>
      </c>
      <c r="F206" s="140"/>
      <c r="G206" s="81">
        <f>SUM(G207)</f>
        <v>0</v>
      </c>
      <c r="H206" s="81">
        <f>SUM(H207)</f>
        <v>0</v>
      </c>
      <c r="I206" s="30" t="e">
        <f t="shared" si="8"/>
        <v>#DIV/0!</v>
      </c>
    </row>
    <row r="207" spans="1:9" s="25" customFormat="1" ht="25.5" hidden="1" customHeight="1">
      <c r="A207" s="95" t="s">
        <v>164</v>
      </c>
      <c r="B207" s="142"/>
      <c r="C207" s="142" t="s">
        <v>204</v>
      </c>
      <c r="D207" s="142" t="s">
        <v>204</v>
      </c>
      <c r="E207" s="138" t="s">
        <v>170</v>
      </c>
      <c r="F207" s="140" t="s">
        <v>165</v>
      </c>
      <c r="G207" s="81"/>
      <c r="H207" s="81"/>
      <c r="I207" s="30" t="e">
        <f t="shared" si="8"/>
        <v>#DIV/0!</v>
      </c>
    </row>
    <row r="208" spans="1:9" ht="19.5" hidden="1" customHeight="1">
      <c r="A208" s="119" t="s">
        <v>71</v>
      </c>
      <c r="B208" s="138"/>
      <c r="C208" s="142" t="s">
        <v>204</v>
      </c>
      <c r="D208" s="142" t="s">
        <v>204</v>
      </c>
      <c r="E208" s="142" t="s">
        <v>72</v>
      </c>
      <c r="F208" s="141"/>
      <c r="G208" s="81"/>
      <c r="H208" s="81"/>
      <c r="I208" s="30" t="e">
        <f t="shared" si="8"/>
        <v>#DIV/0!</v>
      </c>
    </row>
    <row r="209" spans="1:9" ht="19.5" hidden="1" customHeight="1">
      <c r="A209" s="119" t="s">
        <v>784</v>
      </c>
      <c r="B209" s="138"/>
      <c r="C209" s="142" t="s">
        <v>204</v>
      </c>
      <c r="D209" s="142" t="s">
        <v>204</v>
      </c>
      <c r="E209" s="142" t="s">
        <v>67</v>
      </c>
      <c r="F209" s="141"/>
      <c r="G209" s="81">
        <f>SUM(G211)</f>
        <v>0</v>
      </c>
      <c r="H209" s="81">
        <f>SUM(H211)</f>
        <v>0</v>
      </c>
      <c r="I209" s="30" t="e">
        <f t="shared" si="8"/>
        <v>#DIV/0!</v>
      </c>
    </row>
    <row r="210" spans="1:9" ht="19.5" hidden="1" customHeight="1">
      <c r="A210" s="119" t="s">
        <v>68</v>
      </c>
      <c r="B210" s="138"/>
      <c r="C210" s="142" t="s">
        <v>204</v>
      </c>
      <c r="D210" s="142" t="s">
        <v>204</v>
      </c>
      <c r="E210" s="142" t="s">
        <v>69</v>
      </c>
      <c r="F210" s="141"/>
      <c r="G210" s="81">
        <f>SUM(G211)</f>
        <v>0</v>
      </c>
      <c r="H210" s="81">
        <f>SUM(H211)</f>
        <v>0</v>
      </c>
      <c r="I210" s="30" t="e">
        <f t="shared" si="8"/>
        <v>#DIV/0!</v>
      </c>
    </row>
    <row r="211" spans="1:9" ht="19.5" hidden="1" customHeight="1">
      <c r="A211" s="94" t="s">
        <v>70</v>
      </c>
      <c r="B211" s="138"/>
      <c r="C211" s="142" t="s">
        <v>204</v>
      </c>
      <c r="D211" s="142" t="s">
        <v>204</v>
      </c>
      <c r="E211" s="142" t="s">
        <v>69</v>
      </c>
      <c r="F211" s="140" t="s">
        <v>208</v>
      </c>
      <c r="G211" s="82"/>
      <c r="H211" s="82"/>
      <c r="I211" s="30" t="e">
        <f t="shared" si="8"/>
        <v>#DIV/0!</v>
      </c>
    </row>
    <row r="212" spans="1:9" ht="19.5" hidden="1" customHeight="1">
      <c r="A212" s="119" t="s">
        <v>932</v>
      </c>
      <c r="B212" s="148"/>
      <c r="C212" s="142" t="s">
        <v>204</v>
      </c>
      <c r="D212" s="142" t="s">
        <v>204</v>
      </c>
      <c r="E212" s="148" t="s">
        <v>933</v>
      </c>
      <c r="F212" s="140"/>
      <c r="G212" s="82">
        <f>SUM(G213+G218)</f>
        <v>0</v>
      </c>
      <c r="H212" s="82">
        <f>SUM(H213+H218)</f>
        <v>0</v>
      </c>
      <c r="I212" s="30" t="e">
        <f t="shared" si="8"/>
        <v>#DIV/0!</v>
      </c>
    </row>
    <row r="213" spans="1:9" ht="19.5" hidden="1" customHeight="1">
      <c r="A213" s="95" t="s">
        <v>825</v>
      </c>
      <c r="B213" s="148"/>
      <c r="C213" s="142" t="s">
        <v>204</v>
      </c>
      <c r="D213" s="142" t="s">
        <v>204</v>
      </c>
      <c r="E213" s="148" t="s">
        <v>826</v>
      </c>
      <c r="F213" s="140"/>
      <c r="G213" s="82">
        <f>SUM(G214+G216)</f>
        <v>0</v>
      </c>
      <c r="H213" s="82">
        <f>SUM(H214+H216)</f>
        <v>0</v>
      </c>
      <c r="I213" s="30" t="e">
        <f t="shared" si="8"/>
        <v>#DIV/0!</v>
      </c>
    </row>
    <row r="214" spans="1:9" ht="15" hidden="1">
      <c r="A214" s="119" t="s">
        <v>19</v>
      </c>
      <c r="B214" s="138"/>
      <c r="C214" s="142" t="s">
        <v>204</v>
      </c>
      <c r="D214" s="142" t="s">
        <v>204</v>
      </c>
      <c r="E214" s="148" t="s">
        <v>20</v>
      </c>
      <c r="F214" s="140"/>
      <c r="G214" s="82">
        <f>SUM(G215,G223)</f>
        <v>0</v>
      </c>
      <c r="H214" s="82">
        <f>SUM(H215,H223)</f>
        <v>0</v>
      </c>
      <c r="I214" s="30" t="e">
        <f t="shared" si="8"/>
        <v>#DIV/0!</v>
      </c>
    </row>
    <row r="215" spans="1:9" ht="19.5" hidden="1" customHeight="1">
      <c r="A215" s="94" t="s">
        <v>70</v>
      </c>
      <c r="B215" s="138"/>
      <c r="C215" s="142" t="s">
        <v>204</v>
      </c>
      <c r="D215" s="142" t="s">
        <v>204</v>
      </c>
      <c r="E215" s="148" t="s">
        <v>20</v>
      </c>
      <c r="F215" s="140" t="s">
        <v>208</v>
      </c>
      <c r="G215" s="82"/>
      <c r="H215" s="82"/>
      <c r="I215" s="30" t="e">
        <f t="shared" si="8"/>
        <v>#DIV/0!</v>
      </c>
    </row>
    <row r="216" spans="1:9" ht="19.5" hidden="1" customHeight="1">
      <c r="A216" s="94" t="s">
        <v>74</v>
      </c>
      <c r="B216" s="138"/>
      <c r="C216" s="142" t="s">
        <v>204</v>
      </c>
      <c r="D216" s="142" t="s">
        <v>204</v>
      </c>
      <c r="E216" s="148" t="s">
        <v>75</v>
      </c>
      <c r="F216" s="140"/>
      <c r="G216" s="82">
        <f>SUM(G217)</f>
        <v>0</v>
      </c>
      <c r="H216" s="82">
        <f>SUM(H217)</f>
        <v>0</v>
      </c>
      <c r="I216" s="30" t="e">
        <f t="shared" si="8"/>
        <v>#DIV/0!</v>
      </c>
    </row>
    <row r="217" spans="1:9" ht="19.5" hidden="1" customHeight="1">
      <c r="A217" s="94" t="s">
        <v>70</v>
      </c>
      <c r="B217" s="138"/>
      <c r="C217" s="142" t="s">
        <v>204</v>
      </c>
      <c r="D217" s="142" t="s">
        <v>204</v>
      </c>
      <c r="E217" s="148" t="s">
        <v>75</v>
      </c>
      <c r="F217" s="140" t="s">
        <v>208</v>
      </c>
      <c r="G217" s="82"/>
      <c r="H217" s="82"/>
      <c r="I217" s="30" t="e">
        <f t="shared" si="8"/>
        <v>#DIV/0!</v>
      </c>
    </row>
    <row r="218" spans="1:9" ht="19.5" hidden="1" customHeight="1">
      <c r="A218" s="94" t="s">
        <v>76</v>
      </c>
      <c r="B218" s="138"/>
      <c r="C218" s="142" t="s">
        <v>204</v>
      </c>
      <c r="D218" s="142" t="s">
        <v>204</v>
      </c>
      <c r="E218" s="148" t="s">
        <v>77</v>
      </c>
      <c r="F218" s="140"/>
      <c r="G218" s="82">
        <f>SUM(G219)</f>
        <v>0</v>
      </c>
      <c r="H218" s="82">
        <f>SUM(H219)</f>
        <v>0</v>
      </c>
      <c r="I218" s="30" t="e">
        <f t="shared" si="8"/>
        <v>#DIV/0!</v>
      </c>
    </row>
    <row r="219" spans="1:9" ht="19.5" hidden="1" customHeight="1">
      <c r="A219" s="94" t="s">
        <v>70</v>
      </c>
      <c r="B219" s="138"/>
      <c r="C219" s="142" t="s">
        <v>204</v>
      </c>
      <c r="D219" s="142" t="s">
        <v>204</v>
      </c>
      <c r="E219" s="148" t="s">
        <v>77</v>
      </c>
      <c r="F219" s="140" t="s">
        <v>208</v>
      </c>
      <c r="G219" s="82"/>
      <c r="H219" s="82"/>
      <c r="I219" s="30" t="e">
        <f t="shared" si="8"/>
        <v>#DIV/0!</v>
      </c>
    </row>
    <row r="220" spans="1:9" ht="19.5" hidden="1" customHeight="1">
      <c r="A220" s="94" t="s">
        <v>78</v>
      </c>
      <c r="B220" s="138"/>
      <c r="C220" s="142" t="s">
        <v>204</v>
      </c>
      <c r="D220" s="142" t="s">
        <v>204</v>
      </c>
      <c r="E220" s="148" t="s">
        <v>79</v>
      </c>
      <c r="F220" s="140"/>
      <c r="G220" s="82">
        <f>SUM(G221)</f>
        <v>0</v>
      </c>
      <c r="H220" s="82">
        <f>SUM(H221)</f>
        <v>0</v>
      </c>
      <c r="I220" s="30" t="e">
        <f t="shared" si="8"/>
        <v>#DIV/0!</v>
      </c>
    </row>
    <row r="221" spans="1:9" ht="19.5" hidden="1" customHeight="1">
      <c r="A221" s="94" t="s">
        <v>80</v>
      </c>
      <c r="B221" s="138"/>
      <c r="C221" s="142" t="s">
        <v>204</v>
      </c>
      <c r="D221" s="142" t="s">
        <v>204</v>
      </c>
      <c r="E221" s="148" t="s">
        <v>81</v>
      </c>
      <c r="F221" s="140"/>
      <c r="G221" s="82">
        <f>SUM(G222)</f>
        <v>0</v>
      </c>
      <c r="H221" s="82">
        <f>SUM(H222)</f>
        <v>0</v>
      </c>
      <c r="I221" s="30" t="e">
        <f t="shared" si="8"/>
        <v>#DIV/0!</v>
      </c>
    </row>
    <row r="222" spans="1:9" ht="19.5" hidden="1" customHeight="1">
      <c r="A222" s="94" t="s">
        <v>70</v>
      </c>
      <c r="B222" s="138"/>
      <c r="C222" s="142" t="s">
        <v>204</v>
      </c>
      <c r="D222" s="142" t="s">
        <v>204</v>
      </c>
      <c r="E222" s="148" t="s">
        <v>81</v>
      </c>
      <c r="F222" s="140" t="s">
        <v>208</v>
      </c>
      <c r="G222" s="82"/>
      <c r="H222" s="82"/>
      <c r="I222" s="30" t="e">
        <f t="shared" si="8"/>
        <v>#DIV/0!</v>
      </c>
    </row>
    <row r="223" spans="1:9" ht="19.5" hidden="1" customHeight="1">
      <c r="A223" s="95" t="s">
        <v>164</v>
      </c>
      <c r="B223" s="138"/>
      <c r="C223" s="142" t="s">
        <v>204</v>
      </c>
      <c r="D223" s="142" t="s">
        <v>204</v>
      </c>
      <c r="E223" s="148" t="s">
        <v>20</v>
      </c>
      <c r="F223" s="140" t="s">
        <v>165</v>
      </c>
      <c r="G223" s="82"/>
      <c r="H223" s="82"/>
      <c r="I223" s="30" t="e">
        <f t="shared" si="8"/>
        <v>#DIV/0!</v>
      </c>
    </row>
    <row r="224" spans="1:9" ht="15" hidden="1">
      <c r="A224" s="95" t="s">
        <v>200</v>
      </c>
      <c r="B224" s="138"/>
      <c r="C224" s="142" t="s">
        <v>204</v>
      </c>
      <c r="D224" s="142" t="s">
        <v>204</v>
      </c>
      <c r="E224" s="138" t="s">
        <v>201</v>
      </c>
      <c r="F224" s="141"/>
      <c r="G224" s="81">
        <f>SUM(G225+G229)</f>
        <v>0</v>
      </c>
      <c r="H224" s="81">
        <f>SUM(H225+H229)</f>
        <v>0</v>
      </c>
      <c r="I224" s="30" t="e">
        <f t="shared" si="8"/>
        <v>#DIV/0!</v>
      </c>
    </row>
    <row r="225" spans="1:9" ht="15" hidden="1">
      <c r="A225" s="94" t="s">
        <v>70</v>
      </c>
      <c r="B225" s="138"/>
      <c r="C225" s="142" t="s">
        <v>204</v>
      </c>
      <c r="D225" s="142" t="s">
        <v>204</v>
      </c>
      <c r="E225" s="138" t="s">
        <v>201</v>
      </c>
      <c r="F225" s="141" t="s">
        <v>208</v>
      </c>
      <c r="G225" s="81">
        <f>SUM(G226)</f>
        <v>0</v>
      </c>
      <c r="H225" s="81">
        <f>SUM(H226)</f>
        <v>0</v>
      </c>
      <c r="I225" s="30" t="e">
        <f t="shared" si="8"/>
        <v>#DIV/0!</v>
      </c>
    </row>
    <row r="226" spans="1:9" ht="19.5" hidden="1" customHeight="1">
      <c r="A226" s="114" t="s">
        <v>82</v>
      </c>
      <c r="B226" s="148"/>
      <c r="C226" s="155" t="s">
        <v>204</v>
      </c>
      <c r="D226" s="155" t="s">
        <v>204</v>
      </c>
      <c r="E226" s="148" t="s">
        <v>83</v>
      </c>
      <c r="F226" s="141" t="s">
        <v>208</v>
      </c>
      <c r="G226" s="185"/>
      <c r="H226" s="185"/>
      <c r="I226" s="30" t="e">
        <f t="shared" si="8"/>
        <v>#DIV/0!</v>
      </c>
    </row>
    <row r="227" spans="1:9" ht="15" hidden="1">
      <c r="A227" s="95" t="s">
        <v>164</v>
      </c>
      <c r="B227" s="148"/>
      <c r="C227" s="155" t="s">
        <v>204</v>
      </c>
      <c r="D227" s="155" t="s">
        <v>204</v>
      </c>
      <c r="E227" s="148" t="s">
        <v>201</v>
      </c>
      <c r="F227" s="149" t="s">
        <v>165</v>
      </c>
      <c r="G227" s="81">
        <f>SUM(G228)</f>
        <v>0</v>
      </c>
      <c r="H227" s="81">
        <f>SUM(H228)</f>
        <v>0</v>
      </c>
      <c r="I227" s="30" t="e">
        <f t="shared" si="8"/>
        <v>#DIV/0!</v>
      </c>
    </row>
    <row r="228" spans="1:9" ht="28.5" hidden="1">
      <c r="A228" s="98" t="s">
        <v>23</v>
      </c>
      <c r="B228" s="148"/>
      <c r="C228" s="155" t="s">
        <v>204</v>
      </c>
      <c r="D228" s="155" t="s">
        <v>204</v>
      </c>
      <c r="E228" s="148" t="s">
        <v>24</v>
      </c>
      <c r="F228" s="139" t="s">
        <v>165</v>
      </c>
      <c r="G228" s="82"/>
      <c r="H228" s="82"/>
      <c r="I228" s="30" t="e">
        <f t="shared" si="8"/>
        <v>#DIV/0!</v>
      </c>
    </row>
    <row r="229" spans="1:9" ht="19.5" hidden="1" customHeight="1">
      <c r="A229" s="94" t="s">
        <v>37</v>
      </c>
      <c r="B229" s="138"/>
      <c r="C229" s="142" t="s">
        <v>204</v>
      </c>
      <c r="D229" s="142" t="s">
        <v>204</v>
      </c>
      <c r="E229" s="138" t="s">
        <v>28</v>
      </c>
      <c r="F229" s="141"/>
      <c r="G229" s="81">
        <f>SUM(G230+G233)</f>
        <v>0</v>
      </c>
      <c r="H229" s="81">
        <f>SUM(H230+H233)</f>
        <v>0</v>
      </c>
      <c r="I229" s="30" t="e">
        <f t="shared" si="8"/>
        <v>#DIV/0!</v>
      </c>
    </row>
    <row r="230" spans="1:9" ht="19.5" hidden="1" customHeight="1">
      <c r="A230" s="114" t="s">
        <v>19</v>
      </c>
      <c r="B230" s="148"/>
      <c r="C230" s="142" t="s">
        <v>204</v>
      </c>
      <c r="D230" s="142" t="s">
        <v>204</v>
      </c>
      <c r="E230" s="138" t="s">
        <v>29</v>
      </c>
      <c r="F230" s="141"/>
      <c r="G230" s="185">
        <f>SUM(G231:G232)</f>
        <v>0</v>
      </c>
      <c r="H230" s="185">
        <f>SUM(H231:H232)</f>
        <v>0</v>
      </c>
      <c r="I230" s="30" t="e">
        <f t="shared" si="8"/>
        <v>#DIV/0!</v>
      </c>
    </row>
    <row r="231" spans="1:9" ht="19.5" hidden="1" customHeight="1">
      <c r="A231" s="94" t="s">
        <v>70</v>
      </c>
      <c r="B231" s="138"/>
      <c r="C231" s="142" t="s">
        <v>204</v>
      </c>
      <c r="D231" s="142" t="s">
        <v>204</v>
      </c>
      <c r="E231" s="138" t="s">
        <v>29</v>
      </c>
      <c r="F231" s="140" t="s">
        <v>208</v>
      </c>
      <c r="G231" s="82"/>
      <c r="H231" s="82"/>
      <c r="I231" s="30" t="e">
        <f t="shared" si="8"/>
        <v>#DIV/0!</v>
      </c>
    </row>
    <row r="232" spans="1:9" ht="19.5" hidden="1" customHeight="1">
      <c r="A232" s="95" t="s">
        <v>164</v>
      </c>
      <c r="B232" s="148"/>
      <c r="C232" s="142" t="s">
        <v>204</v>
      </c>
      <c r="D232" s="142" t="s">
        <v>204</v>
      </c>
      <c r="E232" s="138" t="s">
        <v>29</v>
      </c>
      <c r="F232" s="149" t="s">
        <v>165</v>
      </c>
      <c r="G232" s="81"/>
      <c r="H232" s="81"/>
      <c r="I232" s="30" t="e">
        <f t="shared" si="8"/>
        <v>#DIV/0!</v>
      </c>
    </row>
    <row r="233" spans="1:9" ht="19.5" hidden="1" customHeight="1">
      <c r="A233" s="98" t="s">
        <v>84</v>
      </c>
      <c r="B233" s="138"/>
      <c r="C233" s="142" t="s">
        <v>204</v>
      </c>
      <c r="D233" s="142" t="s">
        <v>204</v>
      </c>
      <c r="E233" s="138" t="s">
        <v>796</v>
      </c>
      <c r="F233" s="141"/>
      <c r="G233" s="81">
        <f>SUM(G234)</f>
        <v>0</v>
      </c>
      <c r="H233" s="81">
        <f>SUM(H234)</f>
        <v>0</v>
      </c>
      <c r="I233" s="30" t="e">
        <f t="shared" si="8"/>
        <v>#DIV/0!</v>
      </c>
    </row>
    <row r="234" spans="1:9" ht="19.5" hidden="1" customHeight="1">
      <c r="A234" s="94" t="s">
        <v>70</v>
      </c>
      <c r="B234" s="138"/>
      <c r="C234" s="142" t="s">
        <v>204</v>
      </c>
      <c r="D234" s="142" t="s">
        <v>204</v>
      </c>
      <c r="E234" s="138" t="s">
        <v>796</v>
      </c>
      <c r="F234" s="140" t="s">
        <v>208</v>
      </c>
      <c r="G234" s="82"/>
      <c r="H234" s="82"/>
      <c r="I234" s="30" t="e">
        <f t="shared" si="8"/>
        <v>#DIV/0!</v>
      </c>
    </row>
    <row r="235" spans="1:9" ht="21" customHeight="1">
      <c r="A235" s="156" t="s">
        <v>353</v>
      </c>
      <c r="B235" s="157" t="s">
        <v>354</v>
      </c>
      <c r="C235" s="158"/>
      <c r="D235" s="158"/>
      <c r="E235" s="158"/>
      <c r="F235" s="159"/>
      <c r="G235" s="183">
        <f>SUM(G236+G314+G352+G406+G571+G591+G697)+G653</f>
        <v>993982.2</v>
      </c>
      <c r="H235" s="183">
        <f>SUM(H236+H314+H352+H406+H571+H591+H697)+H653</f>
        <v>961032</v>
      </c>
      <c r="I235" s="203">
        <f t="shared" si="8"/>
        <v>96.685031180638859</v>
      </c>
    </row>
    <row r="236" spans="1:9" ht="15">
      <c r="A236" s="95" t="s">
        <v>835</v>
      </c>
      <c r="B236" s="138"/>
      <c r="C236" s="138" t="s">
        <v>836</v>
      </c>
      <c r="D236" s="138"/>
      <c r="E236" s="138"/>
      <c r="F236" s="139"/>
      <c r="G236" s="81">
        <f>SUM(G237+G265+G271+G258+G261)</f>
        <v>143127.4</v>
      </c>
      <c r="H236" s="81">
        <f>SUM(H237+H265+H271+H258+H261)</f>
        <v>141198.6</v>
      </c>
      <c r="I236" s="30">
        <f t="shared" si="8"/>
        <v>98.652389409714715</v>
      </c>
    </row>
    <row r="237" spans="1:9" ht="28.5">
      <c r="A237" s="95" t="s">
        <v>1003</v>
      </c>
      <c r="B237" s="138"/>
      <c r="C237" s="138" t="s">
        <v>836</v>
      </c>
      <c r="D237" s="138" t="s">
        <v>191</v>
      </c>
      <c r="E237" s="138"/>
      <c r="F237" s="139"/>
      <c r="G237" s="81">
        <f>SUM(G238)+G255+G253</f>
        <v>92796.999999999985</v>
      </c>
      <c r="H237" s="81">
        <f>SUM(H238)+H255+H253</f>
        <v>92730.9</v>
      </c>
      <c r="I237" s="30">
        <f t="shared" si="8"/>
        <v>99.928769249005896</v>
      </c>
    </row>
    <row r="238" spans="1:9" ht="43.5" customHeight="1">
      <c r="A238" s="95" t="s">
        <v>160</v>
      </c>
      <c r="B238" s="138"/>
      <c r="C238" s="138" t="s">
        <v>836</v>
      </c>
      <c r="D238" s="138" t="s">
        <v>191</v>
      </c>
      <c r="E238" s="138" t="s">
        <v>161</v>
      </c>
      <c r="F238" s="140"/>
      <c r="G238" s="81">
        <f>SUM(G239+G251)</f>
        <v>92796.999999999985</v>
      </c>
      <c r="H238" s="81">
        <f>SUM(H239+H251)</f>
        <v>92730.9</v>
      </c>
      <c r="I238" s="30">
        <f t="shared" si="8"/>
        <v>99.928769249005896</v>
      </c>
    </row>
    <row r="239" spans="1:9" ht="14.25" customHeight="1">
      <c r="A239" s="95" t="s">
        <v>168</v>
      </c>
      <c r="B239" s="138"/>
      <c r="C239" s="138" t="s">
        <v>836</v>
      </c>
      <c r="D239" s="138" t="s">
        <v>191</v>
      </c>
      <c r="E239" s="138" t="s">
        <v>170</v>
      </c>
      <c r="F239" s="140"/>
      <c r="G239" s="81">
        <f>SUM(G240+G241+G245+G247+G249)</f>
        <v>91444.599999999991</v>
      </c>
      <c r="H239" s="81">
        <f>SUM(H240+H241+H245+H247+H249)</f>
        <v>91378.5</v>
      </c>
      <c r="I239" s="30">
        <f t="shared" si="8"/>
        <v>99.927715797324296</v>
      </c>
    </row>
    <row r="240" spans="1:9" ht="23.25" customHeight="1">
      <c r="A240" s="95" t="s">
        <v>164</v>
      </c>
      <c r="B240" s="138"/>
      <c r="C240" s="138" t="s">
        <v>836</v>
      </c>
      <c r="D240" s="138" t="s">
        <v>191</v>
      </c>
      <c r="E240" s="138" t="s">
        <v>170</v>
      </c>
      <c r="F240" s="139" t="s">
        <v>165</v>
      </c>
      <c r="G240" s="81">
        <v>89457.9</v>
      </c>
      <c r="H240" s="81">
        <v>89391.8</v>
      </c>
      <c r="I240" s="30">
        <f t="shared" si="8"/>
        <v>99.926110494433701</v>
      </c>
    </row>
    <row r="241" spans="1:9" ht="37.5" customHeight="1">
      <c r="A241" s="95" t="s">
        <v>196</v>
      </c>
      <c r="B241" s="138"/>
      <c r="C241" s="138" t="s">
        <v>836</v>
      </c>
      <c r="D241" s="138" t="s">
        <v>191</v>
      </c>
      <c r="E241" s="138" t="s">
        <v>197</v>
      </c>
      <c r="F241" s="139"/>
      <c r="G241" s="81">
        <f>SUM(G242)</f>
        <v>1362.2</v>
      </c>
      <c r="H241" s="81">
        <f>SUM(H242)</f>
        <v>1362.2</v>
      </c>
      <c r="I241" s="30">
        <f t="shared" si="8"/>
        <v>100</v>
      </c>
    </row>
    <row r="242" spans="1:9" ht="20.25" customHeight="1">
      <c r="A242" s="95" t="s">
        <v>164</v>
      </c>
      <c r="B242" s="138"/>
      <c r="C242" s="138" t="s">
        <v>836</v>
      </c>
      <c r="D242" s="138" t="s">
        <v>191</v>
      </c>
      <c r="E242" s="138" t="s">
        <v>197</v>
      </c>
      <c r="F242" s="139" t="s">
        <v>165</v>
      </c>
      <c r="G242" s="81">
        <f>1326+36.2</f>
        <v>1362.2</v>
      </c>
      <c r="H242" s="81">
        <f>1326+36.2</f>
        <v>1362.2</v>
      </c>
      <c r="I242" s="30">
        <f t="shared" si="8"/>
        <v>100</v>
      </c>
    </row>
    <row r="243" spans="1:9" ht="19.5" hidden="1" customHeight="1">
      <c r="A243" s="95" t="s">
        <v>198</v>
      </c>
      <c r="B243" s="138"/>
      <c r="C243" s="138" t="s">
        <v>836</v>
      </c>
      <c r="D243" s="138" t="s">
        <v>191</v>
      </c>
      <c r="E243" s="138" t="s">
        <v>199</v>
      </c>
      <c r="F243" s="139"/>
      <c r="G243" s="81"/>
      <c r="H243" s="81"/>
      <c r="I243" s="30" t="e">
        <f t="shared" si="8"/>
        <v>#DIV/0!</v>
      </c>
    </row>
    <row r="244" spans="1:9" ht="19.5" hidden="1" customHeight="1">
      <c r="A244" s="95" t="s">
        <v>164</v>
      </c>
      <c r="B244" s="138"/>
      <c r="C244" s="138" t="s">
        <v>836</v>
      </c>
      <c r="D244" s="138" t="s">
        <v>191</v>
      </c>
      <c r="E244" s="138" t="s">
        <v>199</v>
      </c>
      <c r="F244" s="139" t="s">
        <v>165</v>
      </c>
      <c r="G244" s="81"/>
      <c r="H244" s="81"/>
      <c r="I244" s="30"/>
    </row>
    <row r="245" spans="1:9" ht="51.75" customHeight="1">
      <c r="A245" s="95" t="s">
        <v>724</v>
      </c>
      <c r="B245" s="138"/>
      <c r="C245" s="138" t="s">
        <v>836</v>
      </c>
      <c r="D245" s="138" t="s">
        <v>191</v>
      </c>
      <c r="E245" s="138" t="s">
        <v>725</v>
      </c>
      <c r="F245" s="139"/>
      <c r="G245" s="81">
        <f>SUM(G246)</f>
        <v>92.5</v>
      </c>
      <c r="H245" s="81">
        <f>SUM(H246)</f>
        <v>92.5</v>
      </c>
      <c r="I245" s="30">
        <f t="shared" ref="I245:I250" si="9">SUM(H245/G245*100)</f>
        <v>100</v>
      </c>
    </row>
    <row r="246" spans="1:9" ht="22.5" customHeight="1">
      <c r="A246" s="95" t="s">
        <v>164</v>
      </c>
      <c r="B246" s="138"/>
      <c r="C246" s="138" t="s">
        <v>836</v>
      </c>
      <c r="D246" s="138" t="s">
        <v>191</v>
      </c>
      <c r="E246" s="138" t="s">
        <v>725</v>
      </c>
      <c r="F246" s="139" t="s">
        <v>165</v>
      </c>
      <c r="G246" s="81">
        <v>92.5</v>
      </c>
      <c r="H246" s="81">
        <v>92.5</v>
      </c>
      <c r="I246" s="30">
        <f t="shared" si="9"/>
        <v>100</v>
      </c>
    </row>
    <row r="247" spans="1:9" s="25" customFormat="1" ht="37.5" customHeight="1">
      <c r="A247" s="94" t="s">
        <v>55</v>
      </c>
      <c r="B247" s="142"/>
      <c r="C247" s="142" t="s">
        <v>836</v>
      </c>
      <c r="D247" s="142" t="s">
        <v>191</v>
      </c>
      <c r="E247" s="142" t="s">
        <v>56</v>
      </c>
      <c r="F247" s="140"/>
      <c r="G247" s="81">
        <f>SUM(G248)</f>
        <v>179.5</v>
      </c>
      <c r="H247" s="81">
        <f>SUM(H248)</f>
        <v>179.5</v>
      </c>
      <c r="I247" s="30">
        <f t="shared" si="9"/>
        <v>100</v>
      </c>
    </row>
    <row r="248" spans="1:9" s="25" customFormat="1" ht="26.25" customHeight="1">
      <c r="A248" s="95" t="s">
        <v>164</v>
      </c>
      <c r="B248" s="142"/>
      <c r="C248" s="142" t="s">
        <v>836</v>
      </c>
      <c r="D248" s="142" t="s">
        <v>191</v>
      </c>
      <c r="E248" s="142" t="s">
        <v>56</v>
      </c>
      <c r="F248" s="140" t="s">
        <v>165</v>
      </c>
      <c r="G248" s="81">
        <v>179.5</v>
      </c>
      <c r="H248" s="81">
        <v>179.5</v>
      </c>
      <c r="I248" s="30">
        <f t="shared" si="9"/>
        <v>100</v>
      </c>
    </row>
    <row r="249" spans="1:9" s="25" customFormat="1" ht="37.5" customHeight="1">
      <c r="A249" s="94" t="s">
        <v>241</v>
      </c>
      <c r="B249" s="142"/>
      <c r="C249" s="142" t="s">
        <v>836</v>
      </c>
      <c r="D249" s="142" t="s">
        <v>191</v>
      </c>
      <c r="E249" s="142" t="s">
        <v>242</v>
      </c>
      <c r="F249" s="140"/>
      <c r="G249" s="81">
        <f>SUM(G250)</f>
        <v>352.5</v>
      </c>
      <c r="H249" s="81">
        <f>SUM(H250)</f>
        <v>352.5</v>
      </c>
      <c r="I249" s="30">
        <f t="shared" si="9"/>
        <v>100</v>
      </c>
    </row>
    <row r="250" spans="1:9" s="25" customFormat="1" ht="21" customHeight="1">
      <c r="A250" s="95" t="s">
        <v>164</v>
      </c>
      <c r="B250" s="142"/>
      <c r="C250" s="142" t="s">
        <v>836</v>
      </c>
      <c r="D250" s="142" t="s">
        <v>191</v>
      </c>
      <c r="E250" s="142" t="s">
        <v>242</v>
      </c>
      <c r="F250" s="140" t="s">
        <v>165</v>
      </c>
      <c r="G250" s="81">
        <v>352.5</v>
      </c>
      <c r="H250" s="81">
        <v>352.5</v>
      </c>
      <c r="I250" s="30">
        <f t="shared" si="9"/>
        <v>100</v>
      </c>
    </row>
    <row r="251" spans="1:9" s="22" customFormat="1" ht="33" customHeight="1">
      <c r="A251" s="95" t="s">
        <v>726</v>
      </c>
      <c r="B251" s="138"/>
      <c r="C251" s="138" t="s">
        <v>169</v>
      </c>
      <c r="D251" s="138" t="s">
        <v>191</v>
      </c>
      <c r="E251" s="138" t="s">
        <v>727</v>
      </c>
      <c r="F251" s="140"/>
      <c r="G251" s="81">
        <f>SUM(G252)</f>
        <v>1352.4</v>
      </c>
      <c r="H251" s="81">
        <f>SUM(H252)</f>
        <v>1352.4</v>
      </c>
      <c r="I251" s="30">
        <f t="shared" si="8"/>
        <v>100</v>
      </c>
    </row>
    <row r="252" spans="1:9" s="22" customFormat="1" ht="25.5" customHeight="1">
      <c r="A252" s="95" t="s">
        <v>164</v>
      </c>
      <c r="B252" s="138"/>
      <c r="C252" s="138" t="s">
        <v>836</v>
      </c>
      <c r="D252" s="138" t="s">
        <v>191</v>
      </c>
      <c r="E252" s="138" t="s">
        <v>727</v>
      </c>
      <c r="F252" s="139" t="s">
        <v>165</v>
      </c>
      <c r="G252" s="81">
        <v>1352.4</v>
      </c>
      <c r="H252" s="81">
        <v>1352.4</v>
      </c>
      <c r="I252" s="30">
        <f t="shared" si="8"/>
        <v>100</v>
      </c>
    </row>
    <row r="253" spans="1:9" s="22" customFormat="1" ht="19.5" hidden="1" customHeight="1">
      <c r="A253" s="95" t="s">
        <v>728</v>
      </c>
      <c r="B253" s="138"/>
      <c r="C253" s="138" t="s">
        <v>836</v>
      </c>
      <c r="D253" s="138" t="s">
        <v>191</v>
      </c>
      <c r="E253" s="138" t="s">
        <v>729</v>
      </c>
      <c r="F253" s="139"/>
      <c r="G253" s="81">
        <f>SUM(G254)</f>
        <v>0</v>
      </c>
      <c r="H253" s="81">
        <f>SUM(H254)</f>
        <v>0</v>
      </c>
      <c r="I253" s="30" t="e">
        <f t="shared" si="8"/>
        <v>#DIV/0!</v>
      </c>
    </row>
    <row r="254" spans="1:9" s="22" customFormat="1" ht="19.5" hidden="1" customHeight="1">
      <c r="A254" s="95" t="s">
        <v>164</v>
      </c>
      <c r="B254" s="138"/>
      <c r="C254" s="138" t="s">
        <v>836</v>
      </c>
      <c r="D254" s="138" t="s">
        <v>191</v>
      </c>
      <c r="E254" s="138" t="s">
        <v>729</v>
      </c>
      <c r="F254" s="139" t="s">
        <v>165</v>
      </c>
      <c r="G254" s="81"/>
      <c r="H254" s="81"/>
      <c r="I254" s="30" t="e">
        <f t="shared" si="8"/>
        <v>#DIV/0!</v>
      </c>
    </row>
    <row r="255" spans="1:9" s="22" customFormat="1" ht="19.5" hidden="1" customHeight="1">
      <c r="A255" s="95" t="s">
        <v>200</v>
      </c>
      <c r="B255" s="138"/>
      <c r="C255" s="138" t="s">
        <v>836</v>
      </c>
      <c r="D255" s="138" t="s">
        <v>191</v>
      </c>
      <c r="E255" s="138" t="s">
        <v>201</v>
      </c>
      <c r="F255" s="140"/>
      <c r="G255" s="81">
        <f>SUM(G256)</f>
        <v>0</v>
      </c>
      <c r="H255" s="81">
        <f>SUM(H256)</f>
        <v>0</v>
      </c>
      <c r="I255" s="30" t="e">
        <f t="shared" si="8"/>
        <v>#DIV/0!</v>
      </c>
    </row>
    <row r="256" spans="1:9" s="22" customFormat="1" ht="24.75" hidden="1" customHeight="1">
      <c r="A256" s="95" t="s">
        <v>124</v>
      </c>
      <c r="B256" s="138"/>
      <c r="C256" s="138" t="s">
        <v>836</v>
      </c>
      <c r="D256" s="138" t="s">
        <v>191</v>
      </c>
      <c r="E256" s="138" t="s">
        <v>202</v>
      </c>
      <c r="F256" s="140"/>
      <c r="G256" s="81">
        <f>SUM(G257)</f>
        <v>0</v>
      </c>
      <c r="H256" s="81">
        <f>SUM(H257)</f>
        <v>0</v>
      </c>
      <c r="I256" s="30" t="e">
        <f t="shared" si="8"/>
        <v>#DIV/0!</v>
      </c>
    </row>
    <row r="257" spans="1:9" s="22" customFormat="1" ht="24.75" hidden="1" customHeight="1">
      <c r="A257" s="95" t="s">
        <v>164</v>
      </c>
      <c r="B257" s="138"/>
      <c r="C257" s="138" t="s">
        <v>836</v>
      </c>
      <c r="D257" s="138" t="s">
        <v>191</v>
      </c>
      <c r="E257" s="138" t="s">
        <v>202</v>
      </c>
      <c r="F257" s="140" t="s">
        <v>165</v>
      </c>
      <c r="G257" s="81"/>
      <c r="H257" s="81"/>
      <c r="I257" s="30" t="e">
        <f t="shared" si="8"/>
        <v>#DIV/0!</v>
      </c>
    </row>
    <row r="258" spans="1:9" s="22" customFormat="1" ht="15.75" hidden="1" customHeight="1">
      <c r="A258" s="95" t="s">
        <v>203</v>
      </c>
      <c r="B258" s="138"/>
      <c r="C258" s="138" t="s">
        <v>836</v>
      </c>
      <c r="D258" s="138" t="s">
        <v>204</v>
      </c>
      <c r="E258" s="138"/>
      <c r="F258" s="140"/>
      <c r="G258" s="81">
        <f>SUM(G259)</f>
        <v>0</v>
      </c>
      <c r="H258" s="81">
        <f>SUM(H259)</f>
        <v>0</v>
      </c>
      <c r="I258" s="30" t="e">
        <f t="shared" si="8"/>
        <v>#DIV/0!</v>
      </c>
    </row>
    <row r="259" spans="1:9" ht="42" hidden="1" customHeight="1">
      <c r="A259" s="119" t="s">
        <v>510</v>
      </c>
      <c r="B259" s="138"/>
      <c r="C259" s="138" t="s">
        <v>836</v>
      </c>
      <c r="D259" s="138" t="s">
        <v>204</v>
      </c>
      <c r="E259" s="138" t="s">
        <v>730</v>
      </c>
      <c r="F259" s="140"/>
      <c r="G259" s="81">
        <f>SUM(G260)</f>
        <v>0</v>
      </c>
      <c r="H259" s="81">
        <f>SUM(H260)</f>
        <v>0</v>
      </c>
      <c r="I259" s="30" t="e">
        <f t="shared" si="8"/>
        <v>#DIV/0!</v>
      </c>
    </row>
    <row r="260" spans="1:9" ht="25.5" hidden="1" customHeight="1">
      <c r="A260" s="95" t="s">
        <v>164</v>
      </c>
      <c r="B260" s="138"/>
      <c r="C260" s="138" t="s">
        <v>836</v>
      </c>
      <c r="D260" s="138" t="s">
        <v>204</v>
      </c>
      <c r="E260" s="138" t="s">
        <v>730</v>
      </c>
      <c r="F260" s="139" t="s">
        <v>165</v>
      </c>
      <c r="G260" s="81"/>
      <c r="H260" s="81"/>
      <c r="I260" s="30" t="e">
        <f t="shared" si="8"/>
        <v>#DIV/0!</v>
      </c>
    </row>
    <row r="261" spans="1:9" ht="19.5" hidden="1" customHeight="1">
      <c r="A261" s="95" t="s">
        <v>355</v>
      </c>
      <c r="B261" s="138"/>
      <c r="C261" s="138" t="s">
        <v>836</v>
      </c>
      <c r="D261" s="138" t="s">
        <v>732</v>
      </c>
      <c r="E261" s="138"/>
      <c r="F261" s="139"/>
      <c r="G261" s="81">
        <f t="shared" ref="G261:H263" si="10">SUM(G262)</f>
        <v>0</v>
      </c>
      <c r="H261" s="81">
        <f t="shared" si="10"/>
        <v>0</v>
      </c>
      <c r="I261" s="30" t="e">
        <f t="shared" si="8"/>
        <v>#DIV/0!</v>
      </c>
    </row>
    <row r="262" spans="1:9" ht="19.5" hidden="1" customHeight="1">
      <c r="A262" s="95" t="s">
        <v>160</v>
      </c>
      <c r="B262" s="138"/>
      <c r="C262" s="138" t="s">
        <v>836</v>
      </c>
      <c r="D262" s="138" t="s">
        <v>732</v>
      </c>
      <c r="E262" s="138" t="s">
        <v>161</v>
      </c>
      <c r="F262" s="139"/>
      <c r="G262" s="81">
        <f t="shared" si="10"/>
        <v>0</v>
      </c>
      <c r="H262" s="81">
        <f t="shared" si="10"/>
        <v>0</v>
      </c>
      <c r="I262" s="30" t="e">
        <f t="shared" si="8"/>
        <v>#DIV/0!</v>
      </c>
    </row>
    <row r="263" spans="1:9" ht="19.5" hidden="1" customHeight="1">
      <c r="A263" s="95" t="s">
        <v>168</v>
      </c>
      <c r="B263" s="138"/>
      <c r="C263" s="138" t="s">
        <v>836</v>
      </c>
      <c r="D263" s="138" t="s">
        <v>732</v>
      </c>
      <c r="E263" s="138" t="s">
        <v>170</v>
      </c>
      <c r="F263" s="139"/>
      <c r="G263" s="81">
        <f t="shared" si="10"/>
        <v>0</v>
      </c>
      <c r="H263" s="81">
        <f t="shared" si="10"/>
        <v>0</v>
      </c>
      <c r="I263" s="30" t="e">
        <f t="shared" si="8"/>
        <v>#DIV/0!</v>
      </c>
    </row>
    <row r="264" spans="1:9" ht="19.5" hidden="1" customHeight="1">
      <c r="A264" s="95" t="s">
        <v>164</v>
      </c>
      <c r="B264" s="138"/>
      <c r="C264" s="138" t="s">
        <v>169</v>
      </c>
      <c r="D264" s="138" t="s">
        <v>732</v>
      </c>
      <c r="E264" s="138" t="s">
        <v>170</v>
      </c>
      <c r="F264" s="141" t="s">
        <v>165</v>
      </c>
      <c r="G264" s="81"/>
      <c r="H264" s="81"/>
      <c r="I264" s="30" t="e">
        <f t="shared" si="8"/>
        <v>#DIV/0!</v>
      </c>
    </row>
    <row r="265" spans="1:9" ht="18" customHeight="1">
      <c r="A265" s="94" t="s">
        <v>737</v>
      </c>
      <c r="B265" s="142"/>
      <c r="C265" s="142" t="s">
        <v>836</v>
      </c>
      <c r="D265" s="142" t="s">
        <v>180</v>
      </c>
      <c r="E265" s="142"/>
      <c r="F265" s="140"/>
      <c r="G265" s="81">
        <f>SUM(G266)</f>
        <v>340</v>
      </c>
      <c r="H265" s="81">
        <f>SUM(H266)</f>
        <v>340</v>
      </c>
      <c r="I265" s="30">
        <f t="shared" si="8"/>
        <v>100</v>
      </c>
    </row>
    <row r="266" spans="1:9" ht="18.75" hidden="1" customHeight="1">
      <c r="A266" s="94" t="s">
        <v>737</v>
      </c>
      <c r="B266" s="142"/>
      <c r="C266" s="142" t="s">
        <v>836</v>
      </c>
      <c r="D266" s="142" t="s">
        <v>180</v>
      </c>
      <c r="E266" s="142" t="s">
        <v>738</v>
      </c>
      <c r="F266" s="140"/>
      <c r="G266" s="81">
        <f>SUM(G267+G269)</f>
        <v>340</v>
      </c>
      <c r="H266" s="81">
        <f>SUM(H267+H269)</f>
        <v>340</v>
      </c>
      <c r="I266" s="30">
        <f t="shared" si="8"/>
        <v>100</v>
      </c>
    </row>
    <row r="267" spans="1:9" ht="28.5" hidden="1">
      <c r="A267" s="95" t="s">
        <v>739</v>
      </c>
      <c r="B267" s="142"/>
      <c r="C267" s="142" t="s">
        <v>836</v>
      </c>
      <c r="D267" s="142" t="s">
        <v>180</v>
      </c>
      <c r="E267" s="142" t="s">
        <v>740</v>
      </c>
      <c r="F267" s="140"/>
      <c r="G267" s="81">
        <f>SUM(G268:G268)</f>
        <v>0</v>
      </c>
      <c r="H267" s="81">
        <f>SUM(H268:H268)</f>
        <v>0</v>
      </c>
      <c r="I267" s="30" t="e">
        <f t="shared" si="8"/>
        <v>#DIV/0!</v>
      </c>
    </row>
    <row r="268" spans="1:9" ht="27.75" hidden="1" customHeight="1">
      <c r="A268" s="95" t="s">
        <v>164</v>
      </c>
      <c r="B268" s="142"/>
      <c r="C268" s="142" t="s">
        <v>836</v>
      </c>
      <c r="D268" s="142" t="s">
        <v>180</v>
      </c>
      <c r="E268" s="142" t="s">
        <v>740</v>
      </c>
      <c r="F268" s="140" t="s">
        <v>165</v>
      </c>
      <c r="G268" s="81"/>
      <c r="H268" s="81"/>
      <c r="I268" s="30" t="e">
        <f t="shared" si="8"/>
        <v>#DIV/0!</v>
      </c>
    </row>
    <row r="269" spans="1:9" ht="17.25" customHeight="1">
      <c r="A269" s="95" t="s">
        <v>728</v>
      </c>
      <c r="B269" s="138"/>
      <c r="C269" s="138" t="s">
        <v>836</v>
      </c>
      <c r="D269" s="142" t="s">
        <v>180</v>
      </c>
      <c r="E269" s="138" t="s">
        <v>729</v>
      </c>
      <c r="F269" s="139"/>
      <c r="G269" s="81">
        <f>SUM(G270)</f>
        <v>340</v>
      </c>
      <c r="H269" s="81">
        <f>SUM(H270)</f>
        <v>340</v>
      </c>
      <c r="I269" s="30">
        <f t="shared" si="8"/>
        <v>100</v>
      </c>
    </row>
    <row r="270" spans="1:9" ht="17.25" customHeight="1">
      <c r="A270" s="95" t="s">
        <v>164</v>
      </c>
      <c r="B270" s="142"/>
      <c r="C270" s="142" t="s">
        <v>836</v>
      </c>
      <c r="D270" s="142" t="s">
        <v>180</v>
      </c>
      <c r="E270" s="138" t="s">
        <v>729</v>
      </c>
      <c r="F270" s="140" t="s">
        <v>165</v>
      </c>
      <c r="G270" s="81">
        <v>340</v>
      </c>
      <c r="H270" s="81">
        <v>340</v>
      </c>
      <c r="I270" s="30">
        <f t="shared" si="8"/>
        <v>100</v>
      </c>
    </row>
    <row r="271" spans="1:9" ht="21" customHeight="1">
      <c r="A271" s="95" t="s">
        <v>173</v>
      </c>
      <c r="B271" s="138"/>
      <c r="C271" s="138" t="s">
        <v>836</v>
      </c>
      <c r="D271" s="138" t="s">
        <v>469</v>
      </c>
      <c r="E271" s="138"/>
      <c r="F271" s="140"/>
      <c r="G271" s="81">
        <f>SUM(G272+G283+G290+G293+G296+G310+G280)+G277+G275+G286+G288</f>
        <v>49990.400000000009</v>
      </c>
      <c r="H271" s="81">
        <f>SUM(H272+H283+H290+H293+H296+H310+H280)+H277+H275+H286+H288</f>
        <v>48127.700000000004</v>
      </c>
      <c r="I271" s="30">
        <f t="shared" si="8"/>
        <v>96.273884585840477</v>
      </c>
    </row>
    <row r="272" spans="1:9" ht="15" hidden="1">
      <c r="A272" s="95" t="s">
        <v>753</v>
      </c>
      <c r="B272" s="138"/>
      <c r="C272" s="138" t="s">
        <v>836</v>
      </c>
      <c r="D272" s="138" t="s">
        <v>469</v>
      </c>
      <c r="E272" s="138" t="s">
        <v>754</v>
      </c>
      <c r="F272" s="139"/>
      <c r="G272" s="81">
        <f>SUM(G273)</f>
        <v>0</v>
      </c>
      <c r="H272" s="81">
        <f>SUM(H273)</f>
        <v>0</v>
      </c>
      <c r="I272" s="30" t="e">
        <f t="shared" si="8"/>
        <v>#DIV/0!</v>
      </c>
    </row>
    <row r="273" spans="1:9" ht="15" hidden="1">
      <c r="A273" s="95" t="s">
        <v>491</v>
      </c>
      <c r="B273" s="138"/>
      <c r="C273" s="138" t="s">
        <v>836</v>
      </c>
      <c r="D273" s="138" t="s">
        <v>469</v>
      </c>
      <c r="E273" s="138" t="s">
        <v>492</v>
      </c>
      <c r="F273" s="139"/>
      <c r="G273" s="81">
        <f>SUM(G274)</f>
        <v>0</v>
      </c>
      <c r="H273" s="81">
        <f>SUM(H274)</f>
        <v>0</v>
      </c>
      <c r="I273" s="30" t="e">
        <f t="shared" ref="I273:I359" si="11">SUM(H273/G273*100)</f>
        <v>#DIV/0!</v>
      </c>
    </row>
    <row r="274" spans="1:9" ht="19.5" hidden="1" customHeight="1">
      <c r="A274" s="95" t="s">
        <v>164</v>
      </c>
      <c r="B274" s="138"/>
      <c r="C274" s="138" t="s">
        <v>836</v>
      </c>
      <c r="D274" s="138" t="s">
        <v>469</v>
      </c>
      <c r="E274" s="138" t="s">
        <v>492</v>
      </c>
      <c r="F274" s="139" t="s">
        <v>165</v>
      </c>
      <c r="G274" s="81"/>
      <c r="H274" s="81"/>
      <c r="I274" s="30" t="e">
        <f t="shared" si="11"/>
        <v>#DIV/0!</v>
      </c>
    </row>
    <row r="275" spans="1:9" ht="19.5" hidden="1" customHeight="1">
      <c r="A275" s="95" t="s">
        <v>493</v>
      </c>
      <c r="B275" s="138"/>
      <c r="C275" s="138" t="s">
        <v>836</v>
      </c>
      <c r="D275" s="138" t="s">
        <v>469</v>
      </c>
      <c r="E275" s="138" t="s">
        <v>494</v>
      </c>
      <c r="F275" s="139"/>
      <c r="G275" s="81">
        <f>SUM(G276)</f>
        <v>0</v>
      </c>
      <c r="H275" s="81">
        <f>SUM(H276)</f>
        <v>0</v>
      </c>
      <c r="I275" s="30" t="e">
        <f t="shared" si="11"/>
        <v>#DIV/0!</v>
      </c>
    </row>
    <row r="276" spans="1:9" ht="19.5" hidden="1" customHeight="1">
      <c r="A276" s="95" t="s">
        <v>164</v>
      </c>
      <c r="B276" s="138"/>
      <c r="C276" s="138" t="s">
        <v>836</v>
      </c>
      <c r="D276" s="138" t="s">
        <v>469</v>
      </c>
      <c r="E276" s="138" t="s">
        <v>494</v>
      </c>
      <c r="F276" s="139" t="s">
        <v>165</v>
      </c>
      <c r="G276" s="81"/>
      <c r="H276" s="81"/>
      <c r="I276" s="30" t="e">
        <f t="shared" si="11"/>
        <v>#DIV/0!</v>
      </c>
    </row>
    <row r="277" spans="1:9" ht="19.5" hidden="1" customHeight="1">
      <c r="A277" s="95" t="s">
        <v>753</v>
      </c>
      <c r="B277" s="138"/>
      <c r="C277" s="138" t="s">
        <v>836</v>
      </c>
      <c r="D277" s="138" t="s">
        <v>469</v>
      </c>
      <c r="E277" s="138" t="s">
        <v>161</v>
      </c>
      <c r="F277" s="140"/>
      <c r="G277" s="81">
        <f>SUM(G278)</f>
        <v>0</v>
      </c>
      <c r="H277" s="81">
        <f>SUM(H278)</f>
        <v>0</v>
      </c>
      <c r="I277" s="30" t="e">
        <f t="shared" si="11"/>
        <v>#DIV/0!</v>
      </c>
    </row>
    <row r="278" spans="1:9" ht="19.5" hidden="1" customHeight="1">
      <c r="A278" s="95" t="s">
        <v>495</v>
      </c>
      <c r="B278" s="138"/>
      <c r="C278" s="138" t="s">
        <v>836</v>
      </c>
      <c r="D278" s="138" t="s">
        <v>469</v>
      </c>
      <c r="E278" s="138" t="s">
        <v>496</v>
      </c>
      <c r="F278" s="140"/>
      <c r="G278" s="81">
        <f>SUM(G279)</f>
        <v>0</v>
      </c>
      <c r="H278" s="81">
        <f>SUM(H279)</f>
        <v>0</v>
      </c>
      <c r="I278" s="30" t="e">
        <f t="shared" si="11"/>
        <v>#DIV/0!</v>
      </c>
    </row>
    <row r="279" spans="1:9" ht="19.5" hidden="1" customHeight="1">
      <c r="A279" s="97" t="s">
        <v>497</v>
      </c>
      <c r="B279" s="138"/>
      <c r="C279" s="138" t="s">
        <v>836</v>
      </c>
      <c r="D279" s="138" t="s">
        <v>469</v>
      </c>
      <c r="E279" s="138" t="s">
        <v>496</v>
      </c>
      <c r="F279" s="140" t="s">
        <v>498</v>
      </c>
      <c r="G279" s="81"/>
      <c r="H279" s="81"/>
      <c r="I279" s="30" t="e">
        <f t="shared" si="11"/>
        <v>#DIV/0!</v>
      </c>
    </row>
    <row r="280" spans="1:9" ht="19.5" hidden="1" customHeight="1">
      <c r="A280" s="95" t="s">
        <v>748</v>
      </c>
      <c r="B280" s="138"/>
      <c r="C280" s="138" t="s">
        <v>836</v>
      </c>
      <c r="D280" s="138" t="s">
        <v>469</v>
      </c>
      <c r="E280" s="138" t="s">
        <v>750</v>
      </c>
      <c r="F280" s="139"/>
      <c r="G280" s="81">
        <f>SUM(G282)</f>
        <v>0</v>
      </c>
      <c r="H280" s="81">
        <f>SUM(H282)</f>
        <v>0</v>
      </c>
      <c r="I280" s="30" t="e">
        <f t="shared" si="11"/>
        <v>#DIV/0!</v>
      </c>
    </row>
    <row r="281" spans="1:9" ht="19.5" hidden="1" customHeight="1">
      <c r="A281" s="95" t="s">
        <v>728</v>
      </c>
      <c r="B281" s="138"/>
      <c r="C281" s="138" t="s">
        <v>836</v>
      </c>
      <c r="D281" s="138" t="s">
        <v>469</v>
      </c>
      <c r="E281" s="138" t="s">
        <v>729</v>
      </c>
      <c r="F281" s="139"/>
      <c r="G281" s="81">
        <f>SUM(G282)</f>
        <v>0</v>
      </c>
      <c r="H281" s="81">
        <f>SUM(H282)</f>
        <v>0</v>
      </c>
      <c r="I281" s="30" t="e">
        <f t="shared" si="11"/>
        <v>#DIV/0!</v>
      </c>
    </row>
    <row r="282" spans="1:9" ht="19.5" hidden="1" customHeight="1">
      <c r="A282" s="95" t="s">
        <v>164</v>
      </c>
      <c r="B282" s="138"/>
      <c r="C282" s="138" t="s">
        <v>836</v>
      </c>
      <c r="D282" s="138" t="s">
        <v>469</v>
      </c>
      <c r="E282" s="138" t="s">
        <v>729</v>
      </c>
      <c r="F282" s="139" t="s">
        <v>165</v>
      </c>
      <c r="G282" s="81"/>
      <c r="H282" s="81"/>
      <c r="I282" s="30" t="e">
        <f t="shared" si="11"/>
        <v>#DIV/0!</v>
      </c>
    </row>
    <row r="283" spans="1:9" ht="38.25" customHeight="1">
      <c r="A283" s="119" t="s">
        <v>499</v>
      </c>
      <c r="B283" s="138"/>
      <c r="C283" s="138" t="s">
        <v>836</v>
      </c>
      <c r="D283" s="138" t="s">
        <v>469</v>
      </c>
      <c r="E283" s="138" t="s">
        <v>187</v>
      </c>
      <c r="F283" s="139"/>
      <c r="G283" s="81">
        <f>SUM(G284)</f>
        <v>4802.3</v>
      </c>
      <c r="H283" s="81">
        <f>SUM(H284)</f>
        <v>4468.2</v>
      </c>
      <c r="I283" s="30">
        <f t="shared" si="11"/>
        <v>93.042916935635006</v>
      </c>
    </row>
    <row r="284" spans="1:9" ht="36" customHeight="1">
      <c r="A284" s="119" t="s">
        <v>188</v>
      </c>
      <c r="B284" s="138"/>
      <c r="C284" s="138" t="s">
        <v>836</v>
      </c>
      <c r="D284" s="138" t="s">
        <v>469</v>
      </c>
      <c r="E284" s="138" t="s">
        <v>500</v>
      </c>
      <c r="F284" s="139"/>
      <c r="G284" s="81">
        <f>SUM(G285)</f>
        <v>4802.3</v>
      </c>
      <c r="H284" s="81">
        <f>SUM(H285)</f>
        <v>4468.2</v>
      </c>
      <c r="I284" s="30">
        <f t="shared" si="11"/>
        <v>93.042916935635006</v>
      </c>
    </row>
    <row r="285" spans="1:9" ht="19.5" customHeight="1">
      <c r="A285" s="95" t="s">
        <v>164</v>
      </c>
      <c r="B285" s="138"/>
      <c r="C285" s="138" t="s">
        <v>836</v>
      </c>
      <c r="D285" s="138" t="s">
        <v>469</v>
      </c>
      <c r="E285" s="138" t="s">
        <v>500</v>
      </c>
      <c r="F285" s="139" t="s">
        <v>165</v>
      </c>
      <c r="G285" s="81">
        <v>4802.3</v>
      </c>
      <c r="H285" s="81">
        <v>4468.2</v>
      </c>
      <c r="I285" s="30">
        <f t="shared" si="11"/>
        <v>93.042916935635006</v>
      </c>
    </row>
    <row r="286" spans="1:9" ht="19.5" customHeight="1">
      <c r="A286" s="95" t="s">
        <v>902</v>
      </c>
      <c r="B286" s="138"/>
      <c r="C286" s="138" t="s">
        <v>836</v>
      </c>
      <c r="D286" s="138" t="s">
        <v>469</v>
      </c>
      <c r="E286" s="138" t="s">
        <v>903</v>
      </c>
      <c r="F286" s="139"/>
      <c r="G286" s="30">
        <f>SUM(G287)</f>
        <v>4029.7</v>
      </c>
      <c r="H286" s="30">
        <f>SUM(H287)</f>
        <v>3839</v>
      </c>
      <c r="I286" s="30">
        <f t="shared" si="11"/>
        <v>95.267637789413612</v>
      </c>
    </row>
    <row r="287" spans="1:9" ht="19.5" customHeight="1">
      <c r="A287" s="95" t="s">
        <v>164</v>
      </c>
      <c r="B287" s="138"/>
      <c r="C287" s="138" t="s">
        <v>836</v>
      </c>
      <c r="D287" s="138" t="s">
        <v>469</v>
      </c>
      <c r="E287" s="138" t="s">
        <v>903</v>
      </c>
      <c r="F287" s="139" t="s">
        <v>165</v>
      </c>
      <c r="G287" s="30">
        <v>4029.7</v>
      </c>
      <c r="H287" s="30">
        <v>3839</v>
      </c>
      <c r="I287" s="30">
        <f t="shared" si="11"/>
        <v>95.267637789413612</v>
      </c>
    </row>
    <row r="288" spans="1:9" ht="19.5" customHeight="1">
      <c r="A288" s="95" t="s">
        <v>904</v>
      </c>
      <c r="B288" s="138"/>
      <c r="C288" s="138" t="s">
        <v>836</v>
      </c>
      <c r="D288" s="138" t="s">
        <v>469</v>
      </c>
      <c r="E288" s="138" t="s">
        <v>905</v>
      </c>
      <c r="F288" s="139"/>
      <c r="G288" s="30">
        <f>SUM(G289)</f>
        <v>15907.7</v>
      </c>
      <c r="H288" s="30">
        <f>SUM(H289)</f>
        <v>15687.9</v>
      </c>
      <c r="I288" s="30">
        <f t="shared" si="11"/>
        <v>98.618279198124171</v>
      </c>
    </row>
    <row r="289" spans="1:9" ht="19.5" customHeight="1">
      <c r="A289" s="95" t="s">
        <v>164</v>
      </c>
      <c r="B289" s="138"/>
      <c r="C289" s="138" t="s">
        <v>836</v>
      </c>
      <c r="D289" s="138" t="s">
        <v>469</v>
      </c>
      <c r="E289" s="138" t="s">
        <v>905</v>
      </c>
      <c r="F289" s="139" t="s">
        <v>165</v>
      </c>
      <c r="G289" s="30">
        <f>15896.1+11.6</f>
        <v>15907.7</v>
      </c>
      <c r="H289" s="30">
        <v>15687.9</v>
      </c>
      <c r="I289" s="30">
        <f t="shared" si="11"/>
        <v>98.618279198124171</v>
      </c>
    </row>
    <row r="290" spans="1:9" ht="33" customHeight="1">
      <c r="A290" s="95" t="s">
        <v>175</v>
      </c>
      <c r="B290" s="138"/>
      <c r="C290" s="138" t="s">
        <v>836</v>
      </c>
      <c r="D290" s="138" t="s">
        <v>469</v>
      </c>
      <c r="E290" s="138" t="s">
        <v>176</v>
      </c>
      <c r="F290" s="141"/>
      <c r="G290" s="81">
        <f>SUM(G291)</f>
        <v>22479.300000000003</v>
      </c>
      <c r="H290" s="81">
        <f>SUM(H291)</f>
        <v>21361.200000000001</v>
      </c>
      <c r="I290" s="30">
        <f t="shared" si="11"/>
        <v>95.026090670083136</v>
      </c>
    </row>
    <row r="291" spans="1:9" ht="19.5" customHeight="1">
      <c r="A291" s="95" t="s">
        <v>177</v>
      </c>
      <c r="B291" s="138"/>
      <c r="C291" s="138" t="s">
        <v>836</v>
      </c>
      <c r="D291" s="138" t="s">
        <v>469</v>
      </c>
      <c r="E291" s="138" t="s">
        <v>501</v>
      </c>
      <c r="F291" s="141"/>
      <c r="G291" s="81">
        <f>SUM(G292)</f>
        <v>22479.300000000003</v>
      </c>
      <c r="H291" s="81">
        <f>SUM(H292)</f>
        <v>21361.200000000001</v>
      </c>
      <c r="I291" s="30">
        <f t="shared" si="11"/>
        <v>95.026090670083136</v>
      </c>
    </row>
    <row r="292" spans="1:9" ht="27" customHeight="1">
      <c r="A292" s="95" t="s">
        <v>164</v>
      </c>
      <c r="B292" s="138"/>
      <c r="C292" s="138" t="s">
        <v>836</v>
      </c>
      <c r="D292" s="138" t="s">
        <v>469</v>
      </c>
      <c r="E292" s="138" t="s">
        <v>501</v>
      </c>
      <c r="F292" s="141" t="s">
        <v>165</v>
      </c>
      <c r="G292" s="81">
        <f>22490.9-11.6</f>
        <v>22479.300000000003</v>
      </c>
      <c r="H292" s="81">
        <v>21361.200000000001</v>
      </c>
      <c r="I292" s="30">
        <f t="shared" si="11"/>
        <v>95.026090670083136</v>
      </c>
    </row>
    <row r="293" spans="1:9" ht="28.5" hidden="1">
      <c r="A293" s="94" t="s">
        <v>502</v>
      </c>
      <c r="B293" s="138"/>
      <c r="C293" s="138" t="s">
        <v>836</v>
      </c>
      <c r="D293" s="138" t="s">
        <v>469</v>
      </c>
      <c r="E293" s="138" t="s">
        <v>783</v>
      </c>
      <c r="F293" s="139"/>
      <c r="G293" s="81">
        <f>SUM(G295)</f>
        <v>0</v>
      </c>
      <c r="H293" s="81">
        <f>SUM(H295)</f>
        <v>0</v>
      </c>
      <c r="I293" s="30" t="e">
        <f t="shared" si="11"/>
        <v>#DIV/0!</v>
      </c>
    </row>
    <row r="294" spans="1:9" ht="28.5" hidden="1">
      <c r="A294" s="94" t="s">
        <v>205</v>
      </c>
      <c r="B294" s="138"/>
      <c r="C294" s="138" t="s">
        <v>836</v>
      </c>
      <c r="D294" s="138" t="s">
        <v>469</v>
      </c>
      <c r="E294" s="138" t="s">
        <v>206</v>
      </c>
      <c r="F294" s="139"/>
      <c r="G294" s="81">
        <f>SUM(G295)</f>
        <v>0</v>
      </c>
      <c r="H294" s="81">
        <f>SUM(H295)</f>
        <v>0</v>
      </c>
      <c r="I294" s="30" t="e">
        <f t="shared" si="11"/>
        <v>#DIV/0!</v>
      </c>
    </row>
    <row r="295" spans="1:9" ht="15" hidden="1">
      <c r="A295" s="94" t="s">
        <v>207</v>
      </c>
      <c r="B295" s="138"/>
      <c r="C295" s="138" t="s">
        <v>836</v>
      </c>
      <c r="D295" s="138" t="s">
        <v>469</v>
      </c>
      <c r="E295" s="138" t="s">
        <v>206</v>
      </c>
      <c r="F295" s="139" t="s">
        <v>208</v>
      </c>
      <c r="G295" s="81"/>
      <c r="H295" s="81"/>
      <c r="I295" s="30" t="e">
        <f t="shared" si="11"/>
        <v>#DIV/0!</v>
      </c>
    </row>
    <row r="296" spans="1:9" ht="28.5">
      <c r="A296" s="94" t="s">
        <v>195</v>
      </c>
      <c r="B296" s="138"/>
      <c r="C296" s="138" t="s">
        <v>836</v>
      </c>
      <c r="D296" s="138" t="s">
        <v>469</v>
      </c>
      <c r="E296" s="142" t="s">
        <v>209</v>
      </c>
      <c r="F296" s="140"/>
      <c r="G296" s="81">
        <f>SUM(G297)</f>
        <v>2771.4</v>
      </c>
      <c r="H296" s="81">
        <f>SUM(H297)</f>
        <v>2771.4</v>
      </c>
      <c r="I296" s="30">
        <f t="shared" si="11"/>
        <v>100</v>
      </c>
    </row>
    <row r="297" spans="1:9" ht="27.75" customHeight="1">
      <c r="A297" s="95" t="s">
        <v>953</v>
      </c>
      <c r="B297" s="138"/>
      <c r="C297" s="138" t="s">
        <v>836</v>
      </c>
      <c r="D297" s="138" t="s">
        <v>469</v>
      </c>
      <c r="E297" s="142" t="s">
        <v>373</v>
      </c>
      <c r="F297" s="140"/>
      <c r="G297" s="81">
        <f>SUM(G300+G302)</f>
        <v>2771.4</v>
      </c>
      <c r="H297" s="81">
        <f>SUM(H300+H302)</f>
        <v>2771.4</v>
      </c>
      <c r="I297" s="30">
        <f t="shared" si="11"/>
        <v>100</v>
      </c>
    </row>
    <row r="298" spans="1:9" ht="19.5" hidden="1" customHeight="1">
      <c r="A298" s="95" t="s">
        <v>198</v>
      </c>
      <c r="B298" s="138"/>
      <c r="C298" s="138" t="s">
        <v>836</v>
      </c>
      <c r="D298" s="138" t="s">
        <v>469</v>
      </c>
      <c r="E298" s="138" t="s">
        <v>136</v>
      </c>
      <c r="F298" s="139"/>
      <c r="G298" s="81">
        <f>SUM(G299)</f>
        <v>0</v>
      </c>
      <c r="H298" s="81">
        <f>SUM(H299)</f>
        <v>0</v>
      </c>
      <c r="I298" s="30" t="e">
        <f t="shared" si="11"/>
        <v>#DIV/0!</v>
      </c>
    </row>
    <row r="299" spans="1:9" ht="19.5" hidden="1" customHeight="1">
      <c r="A299" s="95" t="s">
        <v>955</v>
      </c>
      <c r="B299" s="138"/>
      <c r="C299" s="138" t="s">
        <v>836</v>
      </c>
      <c r="D299" s="138" t="s">
        <v>469</v>
      </c>
      <c r="E299" s="142" t="s">
        <v>136</v>
      </c>
      <c r="F299" s="140" t="s">
        <v>440</v>
      </c>
      <c r="G299" s="81"/>
      <c r="H299" s="81"/>
      <c r="I299" s="30" t="e">
        <f>SUM(H299/G299*100)</f>
        <v>#DIV/0!</v>
      </c>
    </row>
    <row r="300" spans="1:9" ht="28.5">
      <c r="A300" s="95" t="s">
        <v>374</v>
      </c>
      <c r="B300" s="138"/>
      <c r="C300" s="138" t="s">
        <v>836</v>
      </c>
      <c r="D300" s="138" t="s">
        <v>469</v>
      </c>
      <c r="E300" s="142" t="s">
        <v>375</v>
      </c>
      <c r="F300" s="140"/>
      <c r="G300" s="81">
        <f>SUM(G301)</f>
        <v>2690.8</v>
      </c>
      <c r="H300" s="81">
        <f>SUM(H301)</f>
        <v>2690.8</v>
      </c>
      <c r="I300" s="30">
        <f t="shared" si="11"/>
        <v>100</v>
      </c>
    </row>
    <row r="301" spans="1:9" ht="52.5" customHeight="1">
      <c r="A301" s="95" t="s">
        <v>954</v>
      </c>
      <c r="B301" s="138"/>
      <c r="C301" s="138" t="s">
        <v>836</v>
      </c>
      <c r="D301" s="138" t="s">
        <v>469</v>
      </c>
      <c r="E301" s="142" t="s">
        <v>375</v>
      </c>
      <c r="F301" s="140" t="s">
        <v>51</v>
      </c>
      <c r="G301" s="81">
        <v>2690.8</v>
      </c>
      <c r="H301" s="81">
        <v>2690.8</v>
      </c>
      <c r="I301" s="30">
        <f t="shared" si="11"/>
        <v>100</v>
      </c>
    </row>
    <row r="302" spans="1:9" ht="21.75" customHeight="1">
      <c r="A302" s="95" t="s">
        <v>276</v>
      </c>
      <c r="B302" s="138"/>
      <c r="C302" s="138" t="s">
        <v>836</v>
      </c>
      <c r="D302" s="138" t="s">
        <v>469</v>
      </c>
      <c r="E302" s="138" t="s">
        <v>760</v>
      </c>
      <c r="F302" s="139"/>
      <c r="G302" s="81">
        <f>SUM(G304+G306+G308)</f>
        <v>80.599999999999994</v>
      </c>
      <c r="H302" s="81">
        <f>SUM(H304+H306+H308)</f>
        <v>80.599999999999994</v>
      </c>
      <c r="I302" s="30">
        <f t="shared" si="11"/>
        <v>100</v>
      </c>
    </row>
    <row r="303" spans="1:9" ht="31.5" hidden="1" customHeight="1">
      <c r="A303" s="95" t="s">
        <v>276</v>
      </c>
      <c r="B303" s="138"/>
      <c r="C303" s="138" t="s">
        <v>836</v>
      </c>
      <c r="D303" s="138" t="s">
        <v>469</v>
      </c>
      <c r="E303" s="138" t="s">
        <v>760</v>
      </c>
      <c r="F303" s="139" t="s">
        <v>132</v>
      </c>
      <c r="G303" s="81"/>
      <c r="H303" s="81"/>
      <c r="I303" s="30" t="e">
        <f t="shared" si="11"/>
        <v>#DIV/0!</v>
      </c>
    </row>
    <row r="304" spans="1:9" ht="33.75" customHeight="1">
      <c r="A304" s="95" t="s">
        <v>3</v>
      </c>
      <c r="B304" s="138"/>
      <c r="C304" s="138" t="s">
        <v>836</v>
      </c>
      <c r="D304" s="138" t="s">
        <v>469</v>
      </c>
      <c r="E304" s="138" t="s">
        <v>761</v>
      </c>
      <c r="F304" s="139"/>
      <c r="G304" s="81">
        <f>SUM(G305)</f>
        <v>47.199999999999996</v>
      </c>
      <c r="H304" s="81">
        <f>SUM(H305)</f>
        <v>47.199999999999996</v>
      </c>
      <c r="I304" s="30">
        <f t="shared" si="11"/>
        <v>100</v>
      </c>
    </row>
    <row r="305" spans="1:9" ht="21.75" customHeight="1">
      <c r="A305" s="95" t="s">
        <v>276</v>
      </c>
      <c r="B305" s="138"/>
      <c r="C305" s="138" t="s">
        <v>836</v>
      </c>
      <c r="D305" s="138" t="s">
        <v>469</v>
      </c>
      <c r="E305" s="138" t="s">
        <v>761</v>
      </c>
      <c r="F305" s="139" t="s">
        <v>132</v>
      </c>
      <c r="G305" s="81">
        <f>40.3+6.9</f>
        <v>47.199999999999996</v>
      </c>
      <c r="H305" s="81">
        <f>40.3+6.9</f>
        <v>47.199999999999996</v>
      </c>
      <c r="I305" s="30">
        <f t="shared" si="11"/>
        <v>100</v>
      </c>
    </row>
    <row r="306" spans="1:9" ht="31.5" customHeight="1">
      <c r="A306" s="95" t="s">
        <v>759</v>
      </c>
      <c r="B306" s="138"/>
      <c r="C306" s="138" t="s">
        <v>836</v>
      </c>
      <c r="D306" s="138" t="s">
        <v>469</v>
      </c>
      <c r="E306" s="138" t="s">
        <v>758</v>
      </c>
      <c r="F306" s="139"/>
      <c r="G306" s="81">
        <f>SUM(G307)</f>
        <v>19.799999999999997</v>
      </c>
      <c r="H306" s="81">
        <f>SUM(H307)</f>
        <v>19.799999999999997</v>
      </c>
      <c r="I306" s="30">
        <f t="shared" si="11"/>
        <v>100</v>
      </c>
    </row>
    <row r="307" spans="1:9" ht="21" customHeight="1">
      <c r="A307" s="95" t="s">
        <v>276</v>
      </c>
      <c r="B307" s="138"/>
      <c r="C307" s="138" t="s">
        <v>836</v>
      </c>
      <c r="D307" s="138" t="s">
        <v>469</v>
      </c>
      <c r="E307" s="138" t="s">
        <v>758</v>
      </c>
      <c r="F307" s="139" t="s">
        <v>132</v>
      </c>
      <c r="G307" s="81">
        <f>40.3-20.5</f>
        <v>19.799999999999997</v>
      </c>
      <c r="H307" s="81">
        <f>40.3-20.5</f>
        <v>19.799999999999997</v>
      </c>
      <c r="I307" s="30">
        <f t="shared" si="11"/>
        <v>100</v>
      </c>
    </row>
    <row r="308" spans="1:9" ht="21" customHeight="1">
      <c r="A308" s="95" t="s">
        <v>403</v>
      </c>
      <c r="B308" s="138"/>
      <c r="C308" s="138" t="s">
        <v>836</v>
      </c>
      <c r="D308" s="138" t="s">
        <v>469</v>
      </c>
      <c r="E308" s="138" t="s">
        <v>404</v>
      </c>
      <c r="F308" s="139"/>
      <c r="G308" s="81">
        <f>SUM(G309)</f>
        <v>13.6</v>
      </c>
      <c r="H308" s="81">
        <f>SUM(H309)</f>
        <v>13.6</v>
      </c>
      <c r="I308" s="30">
        <f t="shared" si="11"/>
        <v>100</v>
      </c>
    </row>
    <row r="309" spans="1:9" ht="19.5" customHeight="1">
      <c r="A309" s="95" t="s">
        <v>276</v>
      </c>
      <c r="B309" s="138"/>
      <c r="C309" s="138" t="s">
        <v>836</v>
      </c>
      <c r="D309" s="138" t="s">
        <v>469</v>
      </c>
      <c r="E309" s="138" t="s">
        <v>404</v>
      </c>
      <c r="F309" s="139" t="s">
        <v>132</v>
      </c>
      <c r="G309" s="81">
        <v>13.6</v>
      </c>
      <c r="H309" s="81">
        <v>13.6</v>
      </c>
      <c r="I309" s="30">
        <f t="shared" si="11"/>
        <v>100</v>
      </c>
    </row>
    <row r="310" spans="1:9" s="23" customFormat="1" ht="19.5" hidden="1" customHeight="1">
      <c r="A310" s="95" t="s">
        <v>200</v>
      </c>
      <c r="B310" s="138"/>
      <c r="C310" s="138" t="s">
        <v>836</v>
      </c>
      <c r="D310" s="138" t="s">
        <v>469</v>
      </c>
      <c r="E310" s="138" t="s">
        <v>201</v>
      </c>
      <c r="F310" s="141"/>
      <c r="G310" s="81">
        <f>SUM(G311)</f>
        <v>0</v>
      </c>
      <c r="H310" s="81">
        <f>SUM(H311)</f>
        <v>0</v>
      </c>
      <c r="I310" s="30" t="e">
        <f t="shared" si="11"/>
        <v>#DIV/0!</v>
      </c>
    </row>
    <row r="311" spans="1:9" s="23" customFormat="1" ht="32.25" hidden="1" customHeight="1">
      <c r="A311" s="95" t="s">
        <v>1022</v>
      </c>
      <c r="B311" s="138"/>
      <c r="C311" s="138" t="s">
        <v>836</v>
      </c>
      <c r="D311" s="138" t="s">
        <v>469</v>
      </c>
      <c r="E311" s="138" t="s">
        <v>1023</v>
      </c>
      <c r="F311" s="141"/>
      <c r="G311" s="81">
        <f>SUM(G312)</f>
        <v>0</v>
      </c>
      <c r="H311" s="81">
        <f>SUM(H312)</f>
        <v>0</v>
      </c>
      <c r="I311" s="30" t="e">
        <f t="shared" si="11"/>
        <v>#DIV/0!</v>
      </c>
    </row>
    <row r="312" spans="1:9" ht="21.75" hidden="1" customHeight="1">
      <c r="A312" s="95" t="s">
        <v>164</v>
      </c>
      <c r="B312" s="138"/>
      <c r="C312" s="138" t="s">
        <v>836</v>
      </c>
      <c r="D312" s="138" t="s">
        <v>469</v>
      </c>
      <c r="E312" s="138" t="s">
        <v>201</v>
      </c>
      <c r="F312" s="141" t="s">
        <v>165</v>
      </c>
      <c r="G312" s="81"/>
      <c r="H312" s="81"/>
      <c r="I312" s="30" t="e">
        <f t="shared" si="11"/>
        <v>#DIV/0!</v>
      </c>
    </row>
    <row r="313" spans="1:9" ht="30.75" hidden="1" customHeight="1">
      <c r="A313" s="95" t="s">
        <v>1022</v>
      </c>
      <c r="B313" s="138"/>
      <c r="C313" s="138" t="s">
        <v>836</v>
      </c>
      <c r="D313" s="138" t="s">
        <v>752</v>
      </c>
      <c r="E313" s="138" t="s">
        <v>1023</v>
      </c>
      <c r="F313" s="141" t="s">
        <v>165</v>
      </c>
      <c r="G313" s="81"/>
      <c r="H313" s="81"/>
      <c r="I313" s="30" t="e">
        <f t="shared" si="11"/>
        <v>#DIV/0!</v>
      </c>
    </row>
    <row r="314" spans="1:9" ht="24.75" customHeight="1">
      <c r="A314" s="95" t="s">
        <v>214</v>
      </c>
      <c r="B314" s="138"/>
      <c r="C314" s="142" t="s">
        <v>167</v>
      </c>
      <c r="D314" s="142"/>
      <c r="E314" s="142"/>
      <c r="F314" s="140"/>
      <c r="G314" s="81">
        <f>SUM(G319)+G315+G337</f>
        <v>28798.2</v>
      </c>
      <c r="H314" s="81">
        <f>SUM(H319)+H315+H337</f>
        <v>27996.3</v>
      </c>
      <c r="I314" s="30">
        <f t="shared" si="11"/>
        <v>97.215450965685349</v>
      </c>
    </row>
    <row r="315" spans="1:9" s="25" customFormat="1" ht="18.75" customHeight="1">
      <c r="A315" s="95" t="s">
        <v>54</v>
      </c>
      <c r="B315" s="142"/>
      <c r="C315" s="142" t="s">
        <v>167</v>
      </c>
      <c r="D315" s="142" t="s">
        <v>191</v>
      </c>
      <c r="E315" s="142"/>
      <c r="F315" s="140"/>
      <c r="G315" s="81">
        <f>SUM(G317)</f>
        <v>5377.3</v>
      </c>
      <c r="H315" s="81">
        <f>SUM(H317)</f>
        <v>5377.3</v>
      </c>
      <c r="I315" s="30">
        <f t="shared" si="11"/>
        <v>100</v>
      </c>
    </row>
    <row r="316" spans="1:9" s="25" customFormat="1" ht="27.75" customHeight="1">
      <c r="A316" s="94" t="s">
        <v>753</v>
      </c>
      <c r="B316" s="142"/>
      <c r="C316" s="142" t="s">
        <v>167</v>
      </c>
      <c r="D316" s="142" t="s">
        <v>191</v>
      </c>
      <c r="E316" s="142" t="s">
        <v>754</v>
      </c>
      <c r="F316" s="140"/>
      <c r="G316" s="81">
        <f>SUM(G317)</f>
        <v>5377.3</v>
      </c>
      <c r="H316" s="81">
        <f>SUM(H317)</f>
        <v>5377.3</v>
      </c>
      <c r="I316" s="30">
        <f t="shared" si="11"/>
        <v>100</v>
      </c>
    </row>
    <row r="317" spans="1:9" s="25" customFormat="1" ht="15">
      <c r="A317" s="94" t="s">
        <v>491</v>
      </c>
      <c r="B317" s="142"/>
      <c r="C317" s="142" t="s">
        <v>167</v>
      </c>
      <c r="D317" s="142" t="s">
        <v>191</v>
      </c>
      <c r="E317" s="142" t="s">
        <v>492</v>
      </c>
      <c r="F317" s="140"/>
      <c r="G317" s="81">
        <f>SUM(G318)</f>
        <v>5377.3</v>
      </c>
      <c r="H317" s="81">
        <f>SUM(H318)</f>
        <v>5377.3</v>
      </c>
      <c r="I317" s="30">
        <f t="shared" si="11"/>
        <v>100</v>
      </c>
    </row>
    <row r="318" spans="1:9" s="25" customFormat="1" ht="15">
      <c r="A318" s="94" t="s">
        <v>164</v>
      </c>
      <c r="B318" s="142"/>
      <c r="C318" s="142" t="s">
        <v>167</v>
      </c>
      <c r="D318" s="142" t="s">
        <v>191</v>
      </c>
      <c r="E318" s="142" t="s">
        <v>492</v>
      </c>
      <c r="F318" s="140" t="s">
        <v>165</v>
      </c>
      <c r="G318" s="81">
        <f>5313.3+64</f>
        <v>5377.3</v>
      </c>
      <c r="H318" s="81">
        <f>5313.3+64</f>
        <v>5377.3</v>
      </c>
      <c r="I318" s="30">
        <f t="shared" si="11"/>
        <v>100</v>
      </c>
    </row>
    <row r="319" spans="1:9" ht="32.25" customHeight="1">
      <c r="A319" s="119" t="s">
        <v>602</v>
      </c>
      <c r="B319" s="138"/>
      <c r="C319" s="142" t="s">
        <v>167</v>
      </c>
      <c r="D319" s="142" t="s">
        <v>603</v>
      </c>
      <c r="E319" s="142"/>
      <c r="F319" s="140"/>
      <c r="G319" s="81">
        <f>SUM(G323+G328+G331+G334)+G321+G341</f>
        <v>23420.9</v>
      </c>
      <c r="H319" s="81">
        <f>SUM(H323+H328+H331+H334)+H321+H341</f>
        <v>22619</v>
      </c>
      <c r="I319" s="30">
        <f t="shared" si="11"/>
        <v>96.576134990542627</v>
      </c>
    </row>
    <row r="320" spans="1:9" s="28" customFormat="1" ht="19.5" hidden="1" customHeight="1">
      <c r="A320" s="95" t="s">
        <v>748</v>
      </c>
      <c r="B320" s="138"/>
      <c r="C320" s="142" t="s">
        <v>167</v>
      </c>
      <c r="D320" s="142" t="s">
        <v>603</v>
      </c>
      <c r="E320" s="142" t="s">
        <v>750</v>
      </c>
      <c r="F320" s="140"/>
      <c r="G320" s="81">
        <f>SUM(G321)</f>
        <v>0</v>
      </c>
      <c r="H320" s="81">
        <f>SUM(H321)</f>
        <v>0</v>
      </c>
      <c r="I320" s="30" t="e">
        <f t="shared" si="11"/>
        <v>#DIV/0!</v>
      </c>
    </row>
    <row r="321" spans="1:9" ht="19.5" hidden="1" customHeight="1">
      <c r="A321" s="95" t="s">
        <v>728</v>
      </c>
      <c r="B321" s="138"/>
      <c r="C321" s="142" t="s">
        <v>167</v>
      </c>
      <c r="D321" s="142" t="s">
        <v>603</v>
      </c>
      <c r="E321" s="142" t="s">
        <v>729</v>
      </c>
      <c r="F321" s="140"/>
      <c r="G321" s="81">
        <f>SUM(G322)</f>
        <v>0</v>
      </c>
      <c r="H321" s="81">
        <f>SUM(H322)</f>
        <v>0</v>
      </c>
      <c r="I321" s="30" t="e">
        <f t="shared" si="11"/>
        <v>#DIV/0!</v>
      </c>
    </row>
    <row r="322" spans="1:9" ht="15" hidden="1">
      <c r="A322" s="95" t="s">
        <v>164</v>
      </c>
      <c r="B322" s="138"/>
      <c r="C322" s="142" t="s">
        <v>167</v>
      </c>
      <c r="D322" s="142" t="s">
        <v>603</v>
      </c>
      <c r="E322" s="142" t="s">
        <v>729</v>
      </c>
      <c r="F322" s="140" t="s">
        <v>165</v>
      </c>
      <c r="G322" s="81"/>
      <c r="H322" s="81"/>
      <c r="I322" s="30" t="e">
        <f t="shared" si="11"/>
        <v>#DIV/0!</v>
      </c>
    </row>
    <row r="323" spans="1:9" ht="34.5" customHeight="1">
      <c r="A323" s="119" t="s">
        <v>604</v>
      </c>
      <c r="B323" s="138"/>
      <c r="C323" s="142" t="s">
        <v>167</v>
      </c>
      <c r="D323" s="142" t="s">
        <v>603</v>
      </c>
      <c r="E323" s="142" t="s">
        <v>605</v>
      </c>
      <c r="F323" s="140"/>
      <c r="G323" s="81">
        <f>SUM(G324+G326)</f>
        <v>7966.2</v>
      </c>
      <c r="H323" s="81">
        <f>SUM(H324+H326)</f>
        <v>7722</v>
      </c>
      <c r="I323" s="30">
        <f t="shared" si="11"/>
        <v>96.93454846727424</v>
      </c>
    </row>
    <row r="324" spans="1:9" ht="28.5">
      <c r="A324" s="119" t="s">
        <v>606</v>
      </c>
      <c r="B324" s="138"/>
      <c r="C324" s="142" t="s">
        <v>167</v>
      </c>
      <c r="D324" s="142" t="s">
        <v>603</v>
      </c>
      <c r="E324" s="142" t="s">
        <v>607</v>
      </c>
      <c r="F324" s="140"/>
      <c r="G324" s="81">
        <f>SUM(G325)</f>
        <v>966.2</v>
      </c>
      <c r="H324" s="81">
        <f>SUM(H325)</f>
        <v>965.8</v>
      </c>
      <c r="I324" s="30">
        <f t="shared" si="11"/>
        <v>99.958600703788022</v>
      </c>
    </row>
    <row r="325" spans="1:9" ht="15">
      <c r="A325" s="95" t="s">
        <v>164</v>
      </c>
      <c r="B325" s="138"/>
      <c r="C325" s="142" t="s">
        <v>167</v>
      </c>
      <c r="D325" s="142" t="s">
        <v>603</v>
      </c>
      <c r="E325" s="142" t="s">
        <v>607</v>
      </c>
      <c r="F325" s="140" t="s">
        <v>165</v>
      </c>
      <c r="G325" s="81">
        <v>966.2</v>
      </c>
      <c r="H325" s="81">
        <v>965.8</v>
      </c>
      <c r="I325" s="30">
        <f t="shared" si="11"/>
        <v>99.958600703788022</v>
      </c>
    </row>
    <row r="326" spans="1:9" ht="28.5">
      <c r="A326" s="95" t="s">
        <v>924</v>
      </c>
      <c r="B326" s="138"/>
      <c r="C326" s="142" t="s">
        <v>167</v>
      </c>
      <c r="D326" s="142" t="s">
        <v>603</v>
      </c>
      <c r="E326" s="142" t="s">
        <v>925</v>
      </c>
      <c r="F326" s="142"/>
      <c r="G326" s="81">
        <f>SUM(G327)</f>
        <v>7000</v>
      </c>
      <c r="H326" s="81">
        <f>SUM(H327)</f>
        <v>6756.2</v>
      </c>
      <c r="I326" s="30">
        <f t="shared" si="11"/>
        <v>96.517142857142858</v>
      </c>
    </row>
    <row r="327" spans="1:9" ht="15">
      <c r="A327" s="95" t="s">
        <v>746</v>
      </c>
      <c r="B327" s="138"/>
      <c r="C327" s="142" t="s">
        <v>167</v>
      </c>
      <c r="D327" s="142" t="s">
        <v>603</v>
      </c>
      <c r="E327" s="142" t="s">
        <v>925</v>
      </c>
      <c r="F327" s="142" t="s">
        <v>747</v>
      </c>
      <c r="G327" s="81">
        <v>7000</v>
      </c>
      <c r="H327" s="81">
        <v>6756.2</v>
      </c>
      <c r="I327" s="30">
        <f t="shared" si="11"/>
        <v>96.517142857142858</v>
      </c>
    </row>
    <row r="328" spans="1:9" ht="15">
      <c r="A328" s="119" t="s">
        <v>926</v>
      </c>
      <c r="B328" s="148"/>
      <c r="C328" s="148" t="s">
        <v>167</v>
      </c>
      <c r="D328" s="148" t="s">
        <v>603</v>
      </c>
      <c r="E328" s="148" t="s">
        <v>927</v>
      </c>
      <c r="F328" s="149"/>
      <c r="G328" s="81">
        <f>SUM(G329)</f>
        <v>336.8</v>
      </c>
      <c r="H328" s="81">
        <f>SUM(H329)</f>
        <v>326.5</v>
      </c>
      <c r="I328" s="30">
        <f t="shared" si="11"/>
        <v>96.941805225653198</v>
      </c>
    </row>
    <row r="329" spans="1:9" ht="27" customHeight="1">
      <c r="A329" s="119" t="s">
        <v>928</v>
      </c>
      <c r="B329" s="148"/>
      <c r="C329" s="148" t="s">
        <v>167</v>
      </c>
      <c r="D329" s="148" t="s">
        <v>603</v>
      </c>
      <c r="E329" s="148" t="s">
        <v>929</v>
      </c>
      <c r="F329" s="149"/>
      <c r="G329" s="81">
        <f>SUM(G330)</f>
        <v>336.8</v>
      </c>
      <c r="H329" s="81">
        <f>SUM(H330)</f>
        <v>326.5</v>
      </c>
      <c r="I329" s="30">
        <f t="shared" si="11"/>
        <v>96.941805225653198</v>
      </c>
    </row>
    <row r="330" spans="1:9" ht="19.5" customHeight="1">
      <c r="A330" s="95" t="s">
        <v>164</v>
      </c>
      <c r="B330" s="148"/>
      <c r="C330" s="148" t="s">
        <v>167</v>
      </c>
      <c r="D330" s="148" t="s">
        <v>603</v>
      </c>
      <c r="E330" s="148" t="s">
        <v>929</v>
      </c>
      <c r="F330" s="149" t="s">
        <v>165</v>
      </c>
      <c r="G330" s="81">
        <v>336.8</v>
      </c>
      <c r="H330" s="81">
        <v>326.5</v>
      </c>
      <c r="I330" s="30">
        <f t="shared" si="11"/>
        <v>96.941805225653198</v>
      </c>
    </row>
    <row r="331" spans="1:9" ht="28.5">
      <c r="A331" s="95" t="s">
        <v>50</v>
      </c>
      <c r="B331" s="138"/>
      <c r="C331" s="142" t="s">
        <v>167</v>
      </c>
      <c r="D331" s="142" t="s">
        <v>603</v>
      </c>
      <c r="E331" s="142" t="s">
        <v>930</v>
      </c>
      <c r="F331" s="140"/>
      <c r="G331" s="81">
        <f>SUM(G332)</f>
        <v>13164.9</v>
      </c>
      <c r="H331" s="81">
        <f>SUM(H332)</f>
        <v>12655.8</v>
      </c>
      <c r="I331" s="30">
        <f t="shared" si="11"/>
        <v>96.132898844655102</v>
      </c>
    </row>
    <row r="332" spans="1:9" ht="28.5">
      <c r="A332" s="95" t="s">
        <v>48</v>
      </c>
      <c r="B332" s="138"/>
      <c r="C332" s="142" t="s">
        <v>167</v>
      </c>
      <c r="D332" s="142" t="s">
        <v>603</v>
      </c>
      <c r="E332" s="142" t="s">
        <v>931</v>
      </c>
      <c r="F332" s="140"/>
      <c r="G332" s="81">
        <f>SUM(G333)</f>
        <v>13164.9</v>
      </c>
      <c r="H332" s="81">
        <f>SUM(H333)</f>
        <v>12655.8</v>
      </c>
      <c r="I332" s="30">
        <f t="shared" si="11"/>
        <v>96.132898844655102</v>
      </c>
    </row>
    <row r="333" spans="1:9" ht="18" customHeight="1">
      <c r="A333" s="97" t="s">
        <v>49</v>
      </c>
      <c r="B333" s="109"/>
      <c r="C333" s="160" t="s">
        <v>167</v>
      </c>
      <c r="D333" s="160" t="s">
        <v>603</v>
      </c>
      <c r="E333" s="160" t="s">
        <v>931</v>
      </c>
      <c r="F333" s="141" t="s">
        <v>498</v>
      </c>
      <c r="G333" s="81">
        <v>13164.9</v>
      </c>
      <c r="H333" s="81">
        <v>12655.8</v>
      </c>
      <c r="I333" s="30">
        <f t="shared" si="11"/>
        <v>96.132898844655102</v>
      </c>
    </row>
    <row r="334" spans="1:9" ht="19.5" hidden="1" customHeight="1">
      <c r="A334" s="95" t="s">
        <v>932</v>
      </c>
      <c r="B334" s="109"/>
      <c r="C334" s="160" t="s">
        <v>167</v>
      </c>
      <c r="D334" s="160" t="s">
        <v>603</v>
      </c>
      <c r="E334" s="160" t="s">
        <v>933</v>
      </c>
      <c r="F334" s="141"/>
      <c r="G334" s="81">
        <f>SUM(G336)</f>
        <v>0</v>
      </c>
      <c r="H334" s="81">
        <f>SUM(H336)</f>
        <v>0</v>
      </c>
      <c r="I334" s="30" t="e">
        <f t="shared" si="11"/>
        <v>#DIV/0!</v>
      </c>
    </row>
    <row r="335" spans="1:9" ht="57" hidden="1">
      <c r="A335" s="119" t="s">
        <v>934</v>
      </c>
      <c r="B335" s="138"/>
      <c r="C335" s="142" t="s">
        <v>167</v>
      </c>
      <c r="D335" s="142" t="s">
        <v>603</v>
      </c>
      <c r="E335" s="148" t="s">
        <v>935</v>
      </c>
      <c r="F335" s="140"/>
      <c r="G335" s="81">
        <f>SUM(G336)</f>
        <v>0</v>
      </c>
      <c r="H335" s="81">
        <f>SUM(H336)</f>
        <v>0</v>
      </c>
      <c r="I335" s="30" t="e">
        <f t="shared" si="11"/>
        <v>#DIV/0!</v>
      </c>
    </row>
    <row r="336" spans="1:9" ht="19.5" hidden="1" customHeight="1">
      <c r="A336" s="119" t="s">
        <v>936</v>
      </c>
      <c r="B336" s="138"/>
      <c r="C336" s="142" t="s">
        <v>167</v>
      </c>
      <c r="D336" s="142" t="s">
        <v>603</v>
      </c>
      <c r="E336" s="148" t="s">
        <v>935</v>
      </c>
      <c r="F336" s="140" t="s">
        <v>937</v>
      </c>
      <c r="G336" s="81"/>
      <c r="H336" s="81"/>
      <c r="I336" s="30" t="e">
        <f t="shared" si="11"/>
        <v>#DIV/0!</v>
      </c>
    </row>
    <row r="337" spans="1:9" ht="28.5" hidden="1">
      <c r="A337" s="119" t="s">
        <v>938</v>
      </c>
      <c r="B337" s="138"/>
      <c r="C337" s="142" t="s">
        <v>167</v>
      </c>
      <c r="D337" s="142" t="s">
        <v>752</v>
      </c>
      <c r="E337" s="148"/>
      <c r="F337" s="140"/>
      <c r="G337" s="81">
        <f t="shared" ref="G337:H339" si="12">SUM(G338)</f>
        <v>0</v>
      </c>
      <c r="H337" s="81">
        <f t="shared" si="12"/>
        <v>0</v>
      </c>
      <c r="I337" s="30" t="e">
        <f t="shared" si="11"/>
        <v>#DIV/0!</v>
      </c>
    </row>
    <row r="338" spans="1:9" ht="15" hidden="1">
      <c r="A338" s="119" t="s">
        <v>932</v>
      </c>
      <c r="B338" s="138"/>
      <c r="C338" s="142" t="s">
        <v>167</v>
      </c>
      <c r="D338" s="142" t="s">
        <v>752</v>
      </c>
      <c r="E338" s="148" t="s">
        <v>933</v>
      </c>
      <c r="F338" s="140"/>
      <c r="G338" s="81">
        <f t="shared" si="12"/>
        <v>0</v>
      </c>
      <c r="H338" s="81">
        <f t="shared" si="12"/>
        <v>0</v>
      </c>
      <c r="I338" s="30" t="e">
        <f t="shared" si="11"/>
        <v>#DIV/0!</v>
      </c>
    </row>
    <row r="339" spans="1:9" ht="28.5" hidden="1">
      <c r="A339" s="119" t="s">
        <v>939</v>
      </c>
      <c r="B339" s="138"/>
      <c r="C339" s="142" t="s">
        <v>167</v>
      </c>
      <c r="D339" s="142" t="s">
        <v>752</v>
      </c>
      <c r="E339" s="148" t="s">
        <v>935</v>
      </c>
      <c r="F339" s="140"/>
      <c r="G339" s="81">
        <f t="shared" si="12"/>
        <v>0</v>
      </c>
      <c r="H339" s="81">
        <f t="shared" si="12"/>
        <v>0</v>
      </c>
      <c r="I339" s="30" t="e">
        <f t="shared" si="11"/>
        <v>#DIV/0!</v>
      </c>
    </row>
    <row r="340" spans="1:9" ht="15" hidden="1">
      <c r="A340" s="94" t="s">
        <v>207</v>
      </c>
      <c r="B340" s="138"/>
      <c r="C340" s="142" t="s">
        <v>167</v>
      </c>
      <c r="D340" s="142" t="s">
        <v>752</v>
      </c>
      <c r="E340" s="148" t="s">
        <v>935</v>
      </c>
      <c r="F340" s="140" t="s">
        <v>208</v>
      </c>
      <c r="G340" s="81"/>
      <c r="H340" s="81"/>
      <c r="I340" s="30" t="e">
        <f t="shared" si="11"/>
        <v>#DIV/0!</v>
      </c>
    </row>
    <row r="341" spans="1:9" s="25" customFormat="1" ht="20.25" customHeight="1">
      <c r="A341" s="94" t="s">
        <v>200</v>
      </c>
      <c r="B341" s="142"/>
      <c r="C341" s="160" t="s">
        <v>167</v>
      </c>
      <c r="D341" s="160" t="s">
        <v>603</v>
      </c>
      <c r="E341" s="142" t="s">
        <v>201</v>
      </c>
      <c r="F341" s="140"/>
      <c r="G341" s="81">
        <f>SUM(G342+G345+G351)</f>
        <v>1953</v>
      </c>
      <c r="H341" s="81">
        <f>SUM(H342+H345+H351)</f>
        <v>1914.7</v>
      </c>
      <c r="I341" s="30">
        <f t="shared" si="11"/>
        <v>98.038914490527389</v>
      </c>
    </row>
    <row r="342" spans="1:9" ht="15">
      <c r="A342" s="94" t="s">
        <v>258</v>
      </c>
      <c r="B342" s="138"/>
      <c r="C342" s="160" t="s">
        <v>167</v>
      </c>
      <c r="D342" s="160" t="s">
        <v>603</v>
      </c>
      <c r="E342" s="142" t="s">
        <v>211</v>
      </c>
      <c r="F342" s="140"/>
      <c r="G342" s="81">
        <f>SUM(G343)</f>
        <v>1821</v>
      </c>
      <c r="H342" s="81">
        <f>SUM(H343)</f>
        <v>1782.7</v>
      </c>
      <c r="I342" s="30">
        <f t="shared" si="11"/>
        <v>97.89676002196596</v>
      </c>
    </row>
    <row r="343" spans="1:9" ht="15">
      <c r="A343" s="95" t="s">
        <v>164</v>
      </c>
      <c r="B343" s="138"/>
      <c r="C343" s="160" t="s">
        <v>167</v>
      </c>
      <c r="D343" s="160" t="s">
        <v>603</v>
      </c>
      <c r="E343" s="142" t="s">
        <v>211</v>
      </c>
      <c r="F343" s="140" t="s">
        <v>165</v>
      </c>
      <c r="G343" s="81">
        <v>1821</v>
      </c>
      <c r="H343" s="81">
        <v>1782.7</v>
      </c>
      <c r="I343" s="30">
        <f t="shared" si="11"/>
        <v>97.89676002196596</v>
      </c>
    </row>
    <row r="344" spans="1:9" ht="28.5">
      <c r="A344" s="94" t="s">
        <v>394</v>
      </c>
      <c r="B344" s="138"/>
      <c r="C344" s="160" t="s">
        <v>167</v>
      </c>
      <c r="D344" s="160" t="s">
        <v>603</v>
      </c>
      <c r="E344" s="142" t="s">
        <v>244</v>
      </c>
      <c r="F344" s="140"/>
      <c r="G344" s="81">
        <f>SUM(G345)</f>
        <v>132</v>
      </c>
      <c r="H344" s="81">
        <f>SUM(H345)</f>
        <v>132</v>
      </c>
      <c r="I344" s="30">
        <f t="shared" si="11"/>
        <v>100</v>
      </c>
    </row>
    <row r="345" spans="1:9" ht="15">
      <c r="A345" s="95" t="s">
        <v>164</v>
      </c>
      <c r="B345" s="138"/>
      <c r="C345" s="160" t="s">
        <v>167</v>
      </c>
      <c r="D345" s="160" t="s">
        <v>603</v>
      </c>
      <c r="E345" s="142" t="s">
        <v>244</v>
      </c>
      <c r="F345" s="140" t="s">
        <v>165</v>
      </c>
      <c r="G345" s="81">
        <v>132</v>
      </c>
      <c r="H345" s="81">
        <v>132</v>
      </c>
      <c r="I345" s="30">
        <f t="shared" si="11"/>
        <v>100</v>
      </c>
    </row>
    <row r="346" spans="1:9" ht="15" hidden="1">
      <c r="A346" s="94"/>
      <c r="B346" s="138"/>
      <c r="C346" s="142"/>
      <c r="D346" s="142"/>
      <c r="E346" s="148"/>
      <c r="F346" s="140"/>
      <c r="G346" s="81"/>
      <c r="H346" s="81"/>
      <c r="I346" s="30"/>
    </row>
    <row r="347" spans="1:9" ht="15" hidden="1">
      <c r="A347" s="94"/>
      <c r="B347" s="138"/>
      <c r="C347" s="142"/>
      <c r="D347" s="142"/>
      <c r="E347" s="148"/>
      <c r="F347" s="140"/>
      <c r="G347" s="81"/>
      <c r="H347" s="81"/>
      <c r="I347" s="30"/>
    </row>
    <row r="348" spans="1:9" ht="15" hidden="1">
      <c r="A348" s="94"/>
      <c r="B348" s="138"/>
      <c r="C348" s="142"/>
      <c r="D348" s="142"/>
      <c r="E348" s="148"/>
      <c r="F348" s="140"/>
      <c r="G348" s="81"/>
      <c r="H348" s="81"/>
      <c r="I348" s="30"/>
    </row>
    <row r="349" spans="1:9" ht="15" hidden="1">
      <c r="A349" s="94"/>
      <c r="B349" s="138"/>
      <c r="C349" s="142"/>
      <c r="D349" s="142"/>
      <c r="E349" s="148"/>
      <c r="F349" s="140"/>
      <c r="G349" s="81"/>
      <c r="H349" s="81"/>
      <c r="I349" s="30"/>
    </row>
    <row r="350" spans="1:9" ht="15" hidden="1">
      <c r="A350" s="94"/>
      <c r="B350" s="138"/>
      <c r="C350" s="142"/>
      <c r="D350" s="142"/>
      <c r="E350" s="148"/>
      <c r="F350" s="140"/>
      <c r="G350" s="81"/>
      <c r="H350" s="81"/>
      <c r="I350" s="30"/>
    </row>
    <row r="351" spans="1:9" ht="15" hidden="1">
      <c r="A351" s="94"/>
      <c r="B351" s="138"/>
      <c r="C351" s="142"/>
      <c r="D351" s="142"/>
      <c r="E351" s="148"/>
      <c r="F351" s="140"/>
      <c r="G351" s="81"/>
      <c r="H351" s="81"/>
      <c r="I351" s="30"/>
    </row>
    <row r="352" spans="1:9" ht="18.75" customHeight="1">
      <c r="A352" s="95" t="s">
        <v>190</v>
      </c>
      <c r="B352" s="138"/>
      <c r="C352" s="138" t="s">
        <v>191</v>
      </c>
      <c r="D352" s="138"/>
      <c r="E352" s="138"/>
      <c r="F352" s="139"/>
      <c r="G352" s="81">
        <f>SUM(G353+G375)+G362</f>
        <v>404620</v>
      </c>
      <c r="H352" s="81">
        <f>SUM(H353+H375)+H362</f>
        <v>404425</v>
      </c>
      <c r="I352" s="30">
        <f t="shared" si="11"/>
        <v>99.951806633384408</v>
      </c>
    </row>
    <row r="353" spans="1:11" ht="15">
      <c r="A353" s="95" t="s">
        <v>192</v>
      </c>
      <c r="B353" s="138"/>
      <c r="C353" s="138" t="s">
        <v>191</v>
      </c>
      <c r="D353" s="138" t="s">
        <v>193</v>
      </c>
      <c r="E353" s="138"/>
      <c r="F353" s="139"/>
      <c r="G353" s="81">
        <f>SUM(G357)+G354</f>
        <v>103521.60000000001</v>
      </c>
      <c r="H353" s="81">
        <f>SUM(H357)+H354</f>
        <v>103521.60000000001</v>
      </c>
      <c r="I353" s="30">
        <f t="shared" si="11"/>
        <v>100</v>
      </c>
    </row>
    <row r="354" spans="1:11" ht="15">
      <c r="A354" s="95" t="s">
        <v>941</v>
      </c>
      <c r="B354" s="138"/>
      <c r="C354" s="138" t="s">
        <v>191</v>
      </c>
      <c r="D354" s="138" t="s">
        <v>193</v>
      </c>
      <c r="E354" s="142" t="s">
        <v>942</v>
      </c>
      <c r="F354" s="140"/>
      <c r="G354" s="81">
        <f>SUM(G355)+G356</f>
        <v>35505.300000000003</v>
      </c>
      <c r="H354" s="81">
        <f>SUM(H355)+H356</f>
        <v>35505.300000000003</v>
      </c>
      <c r="I354" s="30">
        <f t="shared" si="11"/>
        <v>100</v>
      </c>
    </row>
    <row r="355" spans="1:11" ht="18.75" customHeight="1">
      <c r="A355" s="95" t="s">
        <v>943</v>
      </c>
      <c r="B355" s="138"/>
      <c r="C355" s="138" t="s">
        <v>191</v>
      </c>
      <c r="D355" s="138" t="s">
        <v>193</v>
      </c>
      <c r="E355" s="142" t="s">
        <v>942</v>
      </c>
      <c r="F355" s="139" t="s">
        <v>944</v>
      </c>
      <c r="G355" s="81">
        <v>35505.300000000003</v>
      </c>
      <c r="H355" s="81">
        <v>35505.300000000003</v>
      </c>
      <c r="I355" s="30">
        <f t="shared" si="11"/>
        <v>100</v>
      </c>
    </row>
    <row r="356" spans="1:11" ht="19.5" hidden="1" customHeight="1">
      <c r="A356" s="95" t="s">
        <v>164</v>
      </c>
      <c r="B356" s="138"/>
      <c r="C356" s="138" t="s">
        <v>191</v>
      </c>
      <c r="D356" s="138" t="s">
        <v>193</v>
      </c>
      <c r="E356" s="142" t="s">
        <v>942</v>
      </c>
      <c r="F356" s="139" t="s">
        <v>165</v>
      </c>
      <c r="G356" s="81"/>
      <c r="H356" s="81"/>
      <c r="I356" s="30" t="e">
        <f t="shared" si="11"/>
        <v>#DIV/0!</v>
      </c>
    </row>
    <row r="357" spans="1:11" ht="19.5" customHeight="1">
      <c r="A357" s="95" t="s">
        <v>194</v>
      </c>
      <c r="B357" s="138"/>
      <c r="C357" s="138" t="s">
        <v>191</v>
      </c>
      <c r="D357" s="138" t="s">
        <v>193</v>
      </c>
      <c r="E357" s="138" t="s">
        <v>762</v>
      </c>
      <c r="F357" s="139"/>
      <c r="G357" s="81">
        <f t="shared" ref="G357:H359" si="13">SUM(G358)</f>
        <v>68016.3</v>
      </c>
      <c r="H357" s="81">
        <f t="shared" si="13"/>
        <v>68016.3</v>
      </c>
      <c r="I357" s="30">
        <f t="shared" si="11"/>
        <v>100</v>
      </c>
    </row>
    <row r="358" spans="1:11" s="25" customFormat="1" ht="19.5" customHeight="1">
      <c r="A358" s="95" t="s">
        <v>953</v>
      </c>
      <c r="B358" s="138"/>
      <c r="C358" s="138" t="s">
        <v>191</v>
      </c>
      <c r="D358" s="138" t="s">
        <v>193</v>
      </c>
      <c r="E358" s="138" t="s">
        <v>117</v>
      </c>
      <c r="F358" s="139"/>
      <c r="G358" s="30">
        <f t="shared" si="13"/>
        <v>68016.3</v>
      </c>
      <c r="H358" s="30">
        <f t="shared" si="13"/>
        <v>68016.3</v>
      </c>
      <c r="I358" s="30">
        <f t="shared" si="11"/>
        <v>100</v>
      </c>
    </row>
    <row r="359" spans="1:11" ht="39" customHeight="1">
      <c r="A359" s="95" t="s">
        <v>374</v>
      </c>
      <c r="B359" s="138"/>
      <c r="C359" s="138" t="s">
        <v>191</v>
      </c>
      <c r="D359" s="138" t="s">
        <v>193</v>
      </c>
      <c r="E359" s="138" t="s">
        <v>118</v>
      </c>
      <c r="F359" s="139"/>
      <c r="G359" s="30">
        <f t="shared" si="13"/>
        <v>68016.3</v>
      </c>
      <c r="H359" s="30">
        <f t="shared" si="13"/>
        <v>68016.3</v>
      </c>
      <c r="I359" s="30">
        <f t="shared" si="11"/>
        <v>100</v>
      </c>
    </row>
    <row r="360" spans="1:11" ht="42" customHeight="1">
      <c r="A360" s="99" t="s">
        <v>954</v>
      </c>
      <c r="B360" s="154"/>
      <c r="C360" s="154" t="s">
        <v>191</v>
      </c>
      <c r="D360" s="154" t="s">
        <v>193</v>
      </c>
      <c r="E360" s="154" t="s">
        <v>118</v>
      </c>
      <c r="F360" s="144" t="s">
        <v>51</v>
      </c>
      <c r="G360" s="204">
        <v>68016.3</v>
      </c>
      <c r="H360" s="204">
        <v>68016.3</v>
      </c>
      <c r="I360" s="30">
        <f t="shared" ref="I360:I423" si="14">SUM(H360/G360*100)</f>
        <v>100</v>
      </c>
      <c r="K360" s="84">
        <f>SUM([2]ведомствен.2013!$G$360-G360)</f>
        <v>-5924.7000000000044</v>
      </c>
    </row>
    <row r="361" spans="1:11" ht="19.5" hidden="1" customHeight="1">
      <c r="A361" s="95" t="s">
        <v>943</v>
      </c>
      <c r="B361" s="138"/>
      <c r="C361" s="138" t="s">
        <v>191</v>
      </c>
      <c r="D361" s="138" t="s">
        <v>193</v>
      </c>
      <c r="E361" s="138" t="s">
        <v>790</v>
      </c>
      <c r="F361" s="139" t="s">
        <v>944</v>
      </c>
      <c r="G361" s="81"/>
      <c r="H361" s="81"/>
      <c r="I361" s="30" t="e">
        <f t="shared" si="14"/>
        <v>#DIV/0!</v>
      </c>
    </row>
    <row r="362" spans="1:11" ht="19.5" customHeight="1">
      <c r="A362" s="94" t="s">
        <v>235</v>
      </c>
      <c r="B362" s="142"/>
      <c r="C362" s="142" t="s">
        <v>191</v>
      </c>
      <c r="D362" s="142" t="s">
        <v>603</v>
      </c>
      <c r="E362" s="142"/>
      <c r="F362" s="140"/>
      <c r="G362" s="81">
        <f>SUM(G367+G370)+G363+G365</f>
        <v>278775</v>
      </c>
      <c r="H362" s="81">
        <f>SUM(H367+H370)+H363+H365</f>
        <v>278775</v>
      </c>
      <c r="I362" s="30">
        <f t="shared" si="14"/>
        <v>100</v>
      </c>
    </row>
    <row r="363" spans="1:11" ht="29.25" customHeight="1">
      <c r="A363" s="94" t="s">
        <v>260</v>
      </c>
      <c r="B363" s="142"/>
      <c r="C363" s="142" t="s">
        <v>191</v>
      </c>
      <c r="D363" s="142" t="s">
        <v>603</v>
      </c>
      <c r="E363" s="142" t="s">
        <v>1024</v>
      </c>
      <c r="F363" s="140"/>
      <c r="G363" s="81">
        <f>SUM(G364)</f>
        <v>194355.20000000001</v>
      </c>
      <c r="H363" s="81">
        <f>SUM(H364)</f>
        <v>194355.20000000001</v>
      </c>
      <c r="I363" s="30">
        <f t="shared" si="14"/>
        <v>100</v>
      </c>
    </row>
    <row r="364" spans="1:11" ht="19.5" customHeight="1">
      <c r="A364" s="95" t="s">
        <v>164</v>
      </c>
      <c r="B364" s="142"/>
      <c r="C364" s="142" t="s">
        <v>191</v>
      </c>
      <c r="D364" s="142" t="s">
        <v>603</v>
      </c>
      <c r="E364" s="142" t="s">
        <v>1024</v>
      </c>
      <c r="F364" s="140" t="s">
        <v>165</v>
      </c>
      <c r="G364" s="81">
        <v>194355.20000000001</v>
      </c>
      <c r="H364" s="81">
        <v>194355.20000000001</v>
      </c>
      <c r="I364" s="30">
        <f t="shared" si="14"/>
        <v>100</v>
      </c>
    </row>
    <row r="365" spans="1:11" ht="0.75" hidden="1" customHeight="1">
      <c r="A365" s="94" t="s">
        <v>1025</v>
      </c>
      <c r="B365" s="142"/>
      <c r="C365" s="142" t="s">
        <v>191</v>
      </c>
      <c r="D365" s="142" t="s">
        <v>603</v>
      </c>
      <c r="E365" s="142" t="s">
        <v>1026</v>
      </c>
      <c r="F365" s="140"/>
      <c r="G365" s="81">
        <f>SUM(G366)</f>
        <v>0</v>
      </c>
      <c r="H365" s="81">
        <f>SUM(H366)</f>
        <v>0</v>
      </c>
      <c r="I365" s="30" t="e">
        <f t="shared" si="14"/>
        <v>#DIV/0!</v>
      </c>
    </row>
    <row r="366" spans="1:11" ht="19.5" hidden="1" customHeight="1">
      <c r="A366" s="95" t="s">
        <v>164</v>
      </c>
      <c r="B366" s="142"/>
      <c r="C366" s="142" t="s">
        <v>191</v>
      </c>
      <c r="D366" s="142" t="s">
        <v>603</v>
      </c>
      <c r="E366" s="142" t="s">
        <v>1026</v>
      </c>
      <c r="F366" s="140" t="s">
        <v>165</v>
      </c>
      <c r="G366" s="81"/>
      <c r="H366" s="81"/>
      <c r="I366" s="30" t="e">
        <f t="shared" si="14"/>
        <v>#DIV/0!</v>
      </c>
    </row>
    <row r="367" spans="1:11" s="111" customFormat="1" ht="43.5" customHeight="1">
      <c r="A367" s="98" t="s">
        <v>4</v>
      </c>
      <c r="B367" s="148"/>
      <c r="C367" s="142" t="s">
        <v>191</v>
      </c>
      <c r="D367" s="142" t="s">
        <v>603</v>
      </c>
      <c r="E367" s="148" t="s">
        <v>5</v>
      </c>
      <c r="F367" s="149"/>
      <c r="G367" s="81">
        <f>SUM(G368:G369)</f>
        <v>83632.099999999991</v>
      </c>
      <c r="H367" s="81">
        <f>SUM(H368:H369)</f>
        <v>83632.099999999991</v>
      </c>
      <c r="I367" s="30">
        <f t="shared" si="14"/>
        <v>100</v>
      </c>
    </row>
    <row r="368" spans="1:11" s="111" customFormat="1" ht="21" customHeight="1">
      <c r="A368" s="95" t="s">
        <v>207</v>
      </c>
      <c r="B368" s="148"/>
      <c r="C368" s="142" t="s">
        <v>191</v>
      </c>
      <c r="D368" s="142" t="s">
        <v>603</v>
      </c>
      <c r="E368" s="148" t="s">
        <v>5</v>
      </c>
      <c r="F368" s="149" t="s">
        <v>208</v>
      </c>
      <c r="G368" s="81">
        <v>400.9</v>
      </c>
      <c r="H368" s="81">
        <v>400.9</v>
      </c>
      <c r="I368" s="30">
        <f t="shared" si="14"/>
        <v>100</v>
      </c>
    </row>
    <row r="369" spans="1:9" ht="19.5" customHeight="1">
      <c r="A369" s="95" t="s">
        <v>164</v>
      </c>
      <c r="B369" s="148"/>
      <c r="C369" s="142" t="s">
        <v>191</v>
      </c>
      <c r="D369" s="142" t="s">
        <v>603</v>
      </c>
      <c r="E369" s="148" t="s">
        <v>5</v>
      </c>
      <c r="F369" s="149" t="s">
        <v>165</v>
      </c>
      <c r="G369" s="81">
        <v>83231.199999999997</v>
      </c>
      <c r="H369" s="81">
        <v>83231.199999999997</v>
      </c>
      <c r="I369" s="30">
        <f t="shared" si="14"/>
        <v>100</v>
      </c>
    </row>
    <row r="370" spans="1:9" ht="19.5" customHeight="1">
      <c r="A370" s="95" t="s">
        <v>200</v>
      </c>
      <c r="B370" s="138"/>
      <c r="C370" s="142" t="s">
        <v>191</v>
      </c>
      <c r="D370" s="142" t="s">
        <v>603</v>
      </c>
      <c r="E370" s="138" t="s">
        <v>201</v>
      </c>
      <c r="F370" s="140"/>
      <c r="G370" s="81">
        <f>SUM(G373)+G371</f>
        <v>787.7</v>
      </c>
      <c r="H370" s="81">
        <f>SUM(H373)+H371</f>
        <v>787.7</v>
      </c>
      <c r="I370" s="30">
        <f t="shared" si="14"/>
        <v>100</v>
      </c>
    </row>
    <row r="371" spans="1:9" ht="44.25" customHeight="1">
      <c r="A371" s="95" t="s">
        <v>857</v>
      </c>
      <c r="B371" s="138"/>
      <c r="C371" s="142" t="s">
        <v>191</v>
      </c>
      <c r="D371" s="142" t="s">
        <v>603</v>
      </c>
      <c r="E371" s="138" t="s">
        <v>859</v>
      </c>
      <c r="F371" s="140"/>
      <c r="G371" s="81">
        <f>SUM(G372)</f>
        <v>395.2</v>
      </c>
      <c r="H371" s="81">
        <f>SUM(H372)</f>
        <v>395.2</v>
      </c>
      <c r="I371" s="30">
        <f t="shared" si="14"/>
        <v>100</v>
      </c>
    </row>
    <row r="372" spans="1:9" ht="19.5" customHeight="1">
      <c r="A372" s="95" t="s">
        <v>164</v>
      </c>
      <c r="B372" s="138"/>
      <c r="C372" s="142" t="s">
        <v>191</v>
      </c>
      <c r="D372" s="142" t="s">
        <v>603</v>
      </c>
      <c r="E372" s="138" t="s">
        <v>859</v>
      </c>
      <c r="F372" s="140" t="s">
        <v>165</v>
      </c>
      <c r="G372" s="81">
        <v>395.2</v>
      </c>
      <c r="H372" s="81">
        <v>395.2</v>
      </c>
      <c r="I372" s="30">
        <f t="shared" si="14"/>
        <v>100</v>
      </c>
    </row>
    <row r="373" spans="1:9" ht="34.5" customHeight="1">
      <c r="A373" s="95" t="s">
        <v>858</v>
      </c>
      <c r="B373" s="138"/>
      <c r="C373" s="142" t="s">
        <v>191</v>
      </c>
      <c r="D373" s="142" t="s">
        <v>603</v>
      </c>
      <c r="E373" s="138" t="s">
        <v>236</v>
      </c>
      <c r="F373" s="140"/>
      <c r="G373" s="81">
        <f>SUM(G374)</f>
        <v>392.5</v>
      </c>
      <c r="H373" s="81">
        <f>SUM(H374)</f>
        <v>392.5</v>
      </c>
      <c r="I373" s="30">
        <f t="shared" si="14"/>
        <v>100</v>
      </c>
    </row>
    <row r="374" spans="1:9" ht="24.75" customHeight="1">
      <c r="A374" s="95" t="s">
        <v>164</v>
      </c>
      <c r="B374" s="142"/>
      <c r="C374" s="142" t="s">
        <v>191</v>
      </c>
      <c r="D374" s="142" t="s">
        <v>603</v>
      </c>
      <c r="E374" s="138" t="s">
        <v>236</v>
      </c>
      <c r="F374" s="140" t="s">
        <v>165</v>
      </c>
      <c r="G374" s="82">
        <v>392.5</v>
      </c>
      <c r="H374" s="82">
        <v>392.5</v>
      </c>
      <c r="I374" s="30">
        <f t="shared" si="14"/>
        <v>100</v>
      </c>
    </row>
    <row r="375" spans="1:9" ht="20.25" customHeight="1">
      <c r="A375" s="94" t="s">
        <v>765</v>
      </c>
      <c r="B375" s="142"/>
      <c r="C375" s="142" t="s">
        <v>191</v>
      </c>
      <c r="D375" s="142" t="s">
        <v>749</v>
      </c>
      <c r="E375" s="142"/>
      <c r="F375" s="140"/>
      <c r="G375" s="81">
        <f>SUM(G376+G379+G396)+G384+G392+G390</f>
        <v>22323.4</v>
      </c>
      <c r="H375" s="81">
        <f>SUM(H376+H379+H396)+H384+H392+H390</f>
        <v>22128.400000000001</v>
      </c>
      <c r="I375" s="30">
        <f t="shared" si="14"/>
        <v>99.126477149538147</v>
      </c>
    </row>
    <row r="376" spans="1:9" s="25" customFormat="1" ht="34.5" customHeight="1">
      <c r="A376" s="95" t="s">
        <v>175</v>
      </c>
      <c r="B376" s="142"/>
      <c r="C376" s="142" t="s">
        <v>191</v>
      </c>
      <c r="D376" s="142" t="s">
        <v>749</v>
      </c>
      <c r="E376" s="138" t="s">
        <v>176</v>
      </c>
      <c r="F376" s="140"/>
      <c r="G376" s="81">
        <f>SUM(G378)</f>
        <v>1776.7</v>
      </c>
      <c r="H376" s="81">
        <f>SUM(H378)</f>
        <v>1776.7</v>
      </c>
      <c r="I376" s="30">
        <f t="shared" si="14"/>
        <v>100</v>
      </c>
    </row>
    <row r="377" spans="1:9" s="25" customFormat="1" ht="31.5" customHeight="1">
      <c r="A377" s="95" t="s">
        <v>1020</v>
      </c>
      <c r="B377" s="142"/>
      <c r="C377" s="142" t="s">
        <v>191</v>
      </c>
      <c r="D377" s="142" t="s">
        <v>749</v>
      </c>
      <c r="E377" s="138" t="s">
        <v>1021</v>
      </c>
      <c r="F377" s="140"/>
      <c r="G377" s="81">
        <f>SUM(G378)</f>
        <v>1776.7</v>
      </c>
      <c r="H377" s="81">
        <f>SUM(H378)</f>
        <v>1776.7</v>
      </c>
      <c r="I377" s="30">
        <f t="shared" si="14"/>
        <v>100</v>
      </c>
    </row>
    <row r="378" spans="1:9" s="29" customFormat="1" ht="18.75" customHeight="1">
      <c r="A378" s="95" t="s">
        <v>164</v>
      </c>
      <c r="B378" s="142"/>
      <c r="C378" s="142" t="s">
        <v>191</v>
      </c>
      <c r="D378" s="142" t="s">
        <v>749</v>
      </c>
      <c r="E378" s="138" t="s">
        <v>1021</v>
      </c>
      <c r="F378" s="140" t="s">
        <v>165</v>
      </c>
      <c r="G378" s="81">
        <v>1776.7</v>
      </c>
      <c r="H378" s="81">
        <v>1776.7</v>
      </c>
      <c r="I378" s="30">
        <f t="shared" si="14"/>
        <v>100</v>
      </c>
    </row>
    <row r="379" spans="1:9" s="28" customFormat="1" ht="27.75" hidden="1" customHeight="1">
      <c r="A379" s="118" t="s">
        <v>791</v>
      </c>
      <c r="B379" s="142"/>
      <c r="C379" s="142" t="s">
        <v>191</v>
      </c>
      <c r="D379" s="142" t="s">
        <v>749</v>
      </c>
      <c r="E379" s="142" t="s">
        <v>792</v>
      </c>
      <c r="F379" s="140"/>
      <c r="G379" s="81">
        <f>SUM(G380,G383)</f>
        <v>0</v>
      </c>
      <c r="H379" s="81">
        <f>SUM(H380,H383)</f>
        <v>0</v>
      </c>
      <c r="I379" s="30" t="e">
        <f t="shared" si="14"/>
        <v>#DIV/0!</v>
      </c>
    </row>
    <row r="380" spans="1:9" s="28" customFormat="1" ht="15" hidden="1">
      <c r="A380" s="95" t="s">
        <v>164</v>
      </c>
      <c r="B380" s="142"/>
      <c r="C380" s="142" t="s">
        <v>191</v>
      </c>
      <c r="D380" s="142" t="s">
        <v>749</v>
      </c>
      <c r="E380" s="142" t="s">
        <v>792</v>
      </c>
      <c r="F380" s="140" t="s">
        <v>165</v>
      </c>
      <c r="G380" s="81"/>
      <c r="H380" s="81"/>
      <c r="I380" s="30" t="e">
        <f t="shared" si="14"/>
        <v>#DIV/0!</v>
      </c>
    </row>
    <row r="381" spans="1:9" s="28" customFormat="1" ht="15" hidden="1">
      <c r="A381" s="95" t="s">
        <v>47</v>
      </c>
      <c r="B381" s="138"/>
      <c r="C381" s="142" t="s">
        <v>191</v>
      </c>
      <c r="D381" s="142" t="s">
        <v>749</v>
      </c>
      <c r="E381" s="138" t="s">
        <v>951</v>
      </c>
      <c r="F381" s="140"/>
      <c r="G381" s="81">
        <f>SUM(G382)</f>
        <v>0</v>
      </c>
      <c r="H381" s="81">
        <f>SUM(H382)</f>
        <v>0</v>
      </c>
      <c r="I381" s="30" t="e">
        <f t="shared" si="14"/>
        <v>#DIV/0!</v>
      </c>
    </row>
    <row r="382" spans="1:9" s="28" customFormat="1" ht="40.5" hidden="1" customHeight="1">
      <c r="A382" s="95" t="s">
        <v>374</v>
      </c>
      <c r="B382" s="138"/>
      <c r="C382" s="142" t="s">
        <v>191</v>
      </c>
      <c r="D382" s="142" t="s">
        <v>749</v>
      </c>
      <c r="E382" s="138" t="s">
        <v>952</v>
      </c>
      <c r="F382" s="140"/>
      <c r="G382" s="81">
        <f>SUM(G383)</f>
        <v>0</v>
      </c>
      <c r="H382" s="81">
        <f>SUM(H383)</f>
        <v>0</v>
      </c>
      <c r="I382" s="30" t="e">
        <f t="shared" si="14"/>
        <v>#DIV/0!</v>
      </c>
    </row>
    <row r="383" spans="1:9" s="28" customFormat="1" ht="51" hidden="1" customHeight="1">
      <c r="A383" s="95" t="s">
        <v>954</v>
      </c>
      <c r="B383" s="138"/>
      <c r="C383" s="142" t="s">
        <v>191</v>
      </c>
      <c r="D383" s="142" t="s">
        <v>749</v>
      </c>
      <c r="E383" s="138" t="s">
        <v>952</v>
      </c>
      <c r="F383" s="140" t="s">
        <v>51</v>
      </c>
      <c r="G383" s="81"/>
      <c r="H383" s="81"/>
      <c r="I383" s="30" t="e">
        <f t="shared" si="14"/>
        <v>#DIV/0!</v>
      </c>
    </row>
    <row r="384" spans="1:9" s="28" customFormat="1" ht="20.25" customHeight="1">
      <c r="A384" s="95" t="s">
        <v>767</v>
      </c>
      <c r="B384" s="138"/>
      <c r="C384" s="142" t="s">
        <v>191</v>
      </c>
      <c r="D384" s="142" t="s">
        <v>749</v>
      </c>
      <c r="E384" s="138" t="s">
        <v>768</v>
      </c>
      <c r="F384" s="140"/>
      <c r="G384" s="30">
        <f>SUM(G385)+G387</f>
        <v>9548.2999999999993</v>
      </c>
      <c r="H384" s="30">
        <f>SUM(H385)+H387</f>
        <v>9548.2999999999993</v>
      </c>
      <c r="I384" s="30">
        <f t="shared" si="14"/>
        <v>100</v>
      </c>
    </row>
    <row r="385" spans="1:9" s="28" customFormat="1" ht="19.5" customHeight="1">
      <c r="A385" s="95" t="s">
        <v>793</v>
      </c>
      <c r="B385" s="138"/>
      <c r="C385" s="142" t="s">
        <v>191</v>
      </c>
      <c r="D385" s="142" t="s">
        <v>749</v>
      </c>
      <c r="E385" s="138" t="s">
        <v>794</v>
      </c>
      <c r="F385" s="140"/>
      <c r="G385" s="30">
        <f>SUM(G386)</f>
        <v>2868.9</v>
      </c>
      <c r="H385" s="30">
        <f>SUM(H386)</f>
        <v>2868.9</v>
      </c>
      <c r="I385" s="30">
        <f t="shared" si="14"/>
        <v>100</v>
      </c>
    </row>
    <row r="386" spans="1:9" s="74" customFormat="1" ht="18" customHeight="1">
      <c r="A386" s="95" t="s">
        <v>164</v>
      </c>
      <c r="B386" s="138"/>
      <c r="C386" s="142" t="s">
        <v>191</v>
      </c>
      <c r="D386" s="142" t="s">
        <v>749</v>
      </c>
      <c r="E386" s="138" t="s">
        <v>794</v>
      </c>
      <c r="F386" s="140" t="s">
        <v>165</v>
      </c>
      <c r="G386" s="30">
        <v>2868.9</v>
      </c>
      <c r="H386" s="30">
        <v>2868.9</v>
      </c>
      <c r="I386" s="30">
        <f t="shared" si="14"/>
        <v>100</v>
      </c>
    </row>
    <row r="387" spans="1:9" s="28" customFormat="1" ht="16.5" customHeight="1">
      <c r="A387" s="95" t="s">
        <v>47</v>
      </c>
      <c r="B387" s="138"/>
      <c r="C387" s="142" t="s">
        <v>191</v>
      </c>
      <c r="D387" s="142" t="s">
        <v>749</v>
      </c>
      <c r="E387" s="138" t="s">
        <v>981</v>
      </c>
      <c r="F387" s="140"/>
      <c r="G387" s="81">
        <f>SUM(G388)</f>
        <v>6679.4</v>
      </c>
      <c r="H387" s="81">
        <f>SUM(H388)</f>
        <v>6679.4</v>
      </c>
      <c r="I387" s="30">
        <f t="shared" si="14"/>
        <v>100</v>
      </c>
    </row>
    <row r="388" spans="1:9" s="28" customFormat="1" ht="33" customHeight="1">
      <c r="A388" s="95" t="s">
        <v>374</v>
      </c>
      <c r="B388" s="138"/>
      <c r="C388" s="142" t="s">
        <v>191</v>
      </c>
      <c r="D388" s="142" t="s">
        <v>749</v>
      </c>
      <c r="E388" s="138" t="s">
        <v>982</v>
      </c>
      <c r="F388" s="140"/>
      <c r="G388" s="81">
        <f>SUM(G389)</f>
        <v>6679.4</v>
      </c>
      <c r="H388" s="81">
        <f>SUM(H389)</f>
        <v>6679.4</v>
      </c>
      <c r="I388" s="30">
        <f t="shared" si="14"/>
        <v>100</v>
      </c>
    </row>
    <row r="389" spans="1:9" s="28" customFormat="1" ht="48" customHeight="1">
      <c r="A389" s="95" t="s">
        <v>954</v>
      </c>
      <c r="B389" s="138"/>
      <c r="C389" s="142" t="s">
        <v>191</v>
      </c>
      <c r="D389" s="142" t="s">
        <v>749</v>
      </c>
      <c r="E389" s="138" t="s">
        <v>982</v>
      </c>
      <c r="F389" s="140" t="s">
        <v>51</v>
      </c>
      <c r="G389" s="81">
        <f>3879.4+2800</f>
        <v>6679.4</v>
      </c>
      <c r="H389" s="81">
        <f>3879.4+2800</f>
        <v>6679.4</v>
      </c>
      <c r="I389" s="30">
        <f t="shared" si="14"/>
        <v>100</v>
      </c>
    </row>
    <row r="390" spans="1:9" s="28" customFormat="1" ht="28.5">
      <c r="A390" s="95" t="s">
        <v>1120</v>
      </c>
      <c r="B390" s="138"/>
      <c r="C390" s="142" t="s">
        <v>191</v>
      </c>
      <c r="D390" s="142" t="s">
        <v>749</v>
      </c>
      <c r="E390" s="138" t="s">
        <v>1119</v>
      </c>
      <c r="F390" s="140"/>
      <c r="G390" s="81">
        <f>SUM(G391)</f>
        <v>3000</v>
      </c>
      <c r="H390" s="81">
        <f>SUM(H391)</f>
        <v>3000</v>
      </c>
      <c r="I390" s="30">
        <f t="shared" si="14"/>
        <v>100</v>
      </c>
    </row>
    <row r="391" spans="1:9" s="28" customFormat="1" ht="15">
      <c r="A391" s="95" t="s">
        <v>164</v>
      </c>
      <c r="B391" s="138"/>
      <c r="C391" s="142" t="s">
        <v>191</v>
      </c>
      <c r="D391" s="142" t="s">
        <v>749</v>
      </c>
      <c r="E391" s="138" t="s">
        <v>1119</v>
      </c>
      <c r="F391" s="140" t="s">
        <v>165</v>
      </c>
      <c r="G391" s="81">
        <v>3000</v>
      </c>
      <c r="H391" s="81">
        <v>3000</v>
      </c>
      <c r="I391" s="30">
        <f t="shared" si="14"/>
        <v>100</v>
      </c>
    </row>
    <row r="392" spans="1:9" s="74" customFormat="1" ht="13.5" customHeight="1">
      <c r="A392" s="99" t="s">
        <v>932</v>
      </c>
      <c r="B392" s="155"/>
      <c r="C392" s="142" t="s">
        <v>191</v>
      </c>
      <c r="D392" s="142" t="s">
        <v>749</v>
      </c>
      <c r="E392" s="155" t="s">
        <v>933</v>
      </c>
      <c r="F392" s="140"/>
      <c r="G392" s="30">
        <f t="shared" ref="G392:H394" si="15">SUM(G393)</f>
        <v>1100</v>
      </c>
      <c r="H392" s="30">
        <f t="shared" si="15"/>
        <v>910</v>
      </c>
      <c r="I392" s="30">
        <f t="shared" si="14"/>
        <v>82.727272727272734</v>
      </c>
    </row>
    <row r="393" spans="1:9" s="74" customFormat="1" ht="50.25" customHeight="1">
      <c r="A393" s="94" t="s">
        <v>1062</v>
      </c>
      <c r="B393" s="155"/>
      <c r="C393" s="142" t="s">
        <v>191</v>
      </c>
      <c r="D393" s="142" t="s">
        <v>749</v>
      </c>
      <c r="E393" s="155" t="s">
        <v>826</v>
      </c>
      <c r="F393" s="140"/>
      <c r="G393" s="30">
        <f t="shared" si="15"/>
        <v>1100</v>
      </c>
      <c r="H393" s="30">
        <f t="shared" si="15"/>
        <v>910</v>
      </c>
      <c r="I393" s="30">
        <f t="shared" si="14"/>
        <v>82.727272727272734</v>
      </c>
    </row>
    <row r="394" spans="1:9" s="28" customFormat="1" ht="42.75">
      <c r="A394" s="99" t="s">
        <v>405</v>
      </c>
      <c r="B394" s="142"/>
      <c r="C394" s="142" t="s">
        <v>191</v>
      </c>
      <c r="D394" s="142" t="s">
        <v>749</v>
      </c>
      <c r="E394" s="155" t="s">
        <v>75</v>
      </c>
      <c r="F394" s="140"/>
      <c r="G394" s="30">
        <f t="shared" si="15"/>
        <v>1100</v>
      </c>
      <c r="H394" s="30">
        <f t="shared" si="15"/>
        <v>910</v>
      </c>
      <c r="I394" s="30">
        <f t="shared" si="14"/>
        <v>82.727272727272734</v>
      </c>
    </row>
    <row r="395" spans="1:9" s="28" customFormat="1" ht="24" customHeight="1">
      <c r="A395" s="95" t="s">
        <v>164</v>
      </c>
      <c r="B395" s="142"/>
      <c r="C395" s="142" t="s">
        <v>191</v>
      </c>
      <c r="D395" s="142" t="s">
        <v>749</v>
      </c>
      <c r="E395" s="155" t="s">
        <v>75</v>
      </c>
      <c r="F395" s="140" t="s">
        <v>165</v>
      </c>
      <c r="G395" s="81">
        <v>1100</v>
      </c>
      <c r="H395" s="81">
        <v>910</v>
      </c>
      <c r="I395" s="30">
        <f t="shared" si="14"/>
        <v>82.727272727272734</v>
      </c>
    </row>
    <row r="396" spans="1:9" s="28" customFormat="1" ht="30.75" customHeight="1">
      <c r="A396" s="95" t="s">
        <v>200</v>
      </c>
      <c r="B396" s="138"/>
      <c r="C396" s="142" t="s">
        <v>191</v>
      </c>
      <c r="D396" s="142" t="s">
        <v>749</v>
      </c>
      <c r="E396" s="138" t="s">
        <v>201</v>
      </c>
      <c r="F396" s="140"/>
      <c r="G396" s="81">
        <f>SUM(G397)+G404+G399+G401</f>
        <v>6898.4</v>
      </c>
      <c r="H396" s="81">
        <f>SUM(H397)+H404+H399+H401</f>
        <v>6893.4</v>
      </c>
      <c r="I396" s="30">
        <f t="shared" si="14"/>
        <v>99.927519424794156</v>
      </c>
    </row>
    <row r="397" spans="1:9" s="28" customFormat="1" ht="34.5" customHeight="1">
      <c r="A397" s="113" t="s">
        <v>898</v>
      </c>
      <c r="B397" s="138"/>
      <c r="C397" s="142" t="s">
        <v>191</v>
      </c>
      <c r="D397" s="142" t="s">
        <v>749</v>
      </c>
      <c r="E397" s="138" t="s">
        <v>795</v>
      </c>
      <c r="F397" s="140"/>
      <c r="G397" s="81">
        <f>SUM(G398)</f>
        <v>1000</v>
      </c>
      <c r="H397" s="81">
        <f>SUM(H398)</f>
        <v>1000</v>
      </c>
      <c r="I397" s="30">
        <f t="shared" si="14"/>
        <v>100</v>
      </c>
    </row>
    <row r="398" spans="1:9" s="28" customFormat="1" ht="31.5" customHeight="1">
      <c r="A398" s="95" t="s">
        <v>164</v>
      </c>
      <c r="B398" s="142"/>
      <c r="C398" s="142" t="s">
        <v>191</v>
      </c>
      <c r="D398" s="142" t="s">
        <v>749</v>
      </c>
      <c r="E398" s="138" t="s">
        <v>795</v>
      </c>
      <c r="F398" s="140" t="s">
        <v>165</v>
      </c>
      <c r="G398" s="82">
        <v>1000</v>
      </c>
      <c r="H398" s="82">
        <v>1000</v>
      </c>
      <c r="I398" s="30">
        <f t="shared" si="14"/>
        <v>100</v>
      </c>
    </row>
    <row r="399" spans="1:9" s="28" customFormat="1" ht="33.75" customHeight="1">
      <c r="A399" s="95" t="s">
        <v>1044</v>
      </c>
      <c r="B399" s="142"/>
      <c r="C399" s="142" t="s">
        <v>191</v>
      </c>
      <c r="D399" s="142" t="s">
        <v>749</v>
      </c>
      <c r="E399" s="138" t="s">
        <v>226</v>
      </c>
      <c r="F399" s="140"/>
      <c r="G399" s="82">
        <f>SUM(G400)</f>
        <v>185</v>
      </c>
      <c r="H399" s="82">
        <f>SUM(H400)</f>
        <v>185</v>
      </c>
      <c r="I399" s="30">
        <f t="shared" si="14"/>
        <v>100</v>
      </c>
    </row>
    <row r="400" spans="1:9" s="28" customFormat="1" ht="20.25" customHeight="1">
      <c r="A400" s="95" t="s">
        <v>207</v>
      </c>
      <c r="B400" s="142"/>
      <c r="C400" s="142" t="s">
        <v>191</v>
      </c>
      <c r="D400" s="142" t="s">
        <v>749</v>
      </c>
      <c r="E400" s="138" t="s">
        <v>226</v>
      </c>
      <c r="F400" s="140" t="s">
        <v>208</v>
      </c>
      <c r="G400" s="82">
        <v>185</v>
      </c>
      <c r="H400" s="82">
        <v>185</v>
      </c>
      <c r="I400" s="30">
        <f t="shared" si="14"/>
        <v>100</v>
      </c>
    </row>
    <row r="401" spans="1:9" s="28" customFormat="1" ht="28.5">
      <c r="A401" s="94" t="s">
        <v>1027</v>
      </c>
      <c r="B401" s="142"/>
      <c r="C401" s="142" t="s">
        <v>191</v>
      </c>
      <c r="D401" s="142" t="s">
        <v>749</v>
      </c>
      <c r="E401" s="138" t="s">
        <v>28</v>
      </c>
      <c r="F401" s="140"/>
      <c r="G401" s="82">
        <f>SUM(G402)</f>
        <v>5</v>
      </c>
      <c r="H401" s="82">
        <f>SUM(H402)</f>
        <v>0</v>
      </c>
      <c r="I401" s="30">
        <f t="shared" si="14"/>
        <v>0</v>
      </c>
    </row>
    <row r="402" spans="1:9" s="29" customFormat="1" ht="36.75" customHeight="1">
      <c r="A402" s="113" t="s">
        <v>74</v>
      </c>
      <c r="B402" s="142"/>
      <c r="C402" s="142" t="s">
        <v>191</v>
      </c>
      <c r="D402" s="142" t="s">
        <v>749</v>
      </c>
      <c r="E402" s="138" t="s">
        <v>796</v>
      </c>
      <c r="F402" s="140"/>
      <c r="G402" s="82">
        <v>5</v>
      </c>
      <c r="H402" s="82"/>
      <c r="I402" s="30">
        <f t="shared" si="14"/>
        <v>0</v>
      </c>
    </row>
    <row r="403" spans="1:9" s="28" customFormat="1" ht="18" customHeight="1">
      <c r="A403" s="95" t="s">
        <v>164</v>
      </c>
      <c r="B403" s="142"/>
      <c r="C403" s="142" t="s">
        <v>191</v>
      </c>
      <c r="D403" s="142" t="s">
        <v>749</v>
      </c>
      <c r="E403" s="138" t="s">
        <v>796</v>
      </c>
      <c r="F403" s="140" t="s">
        <v>165</v>
      </c>
      <c r="G403" s="82">
        <v>5</v>
      </c>
      <c r="H403" s="82"/>
      <c r="I403" s="30">
        <f t="shared" si="14"/>
        <v>0</v>
      </c>
    </row>
    <row r="404" spans="1:9" s="28" customFormat="1" ht="36" customHeight="1">
      <c r="A404" s="95" t="s">
        <v>629</v>
      </c>
      <c r="B404" s="142"/>
      <c r="C404" s="142" t="s">
        <v>191</v>
      </c>
      <c r="D404" s="142" t="s">
        <v>749</v>
      </c>
      <c r="E404" s="138" t="s">
        <v>41</v>
      </c>
      <c r="F404" s="140"/>
      <c r="G404" s="81">
        <f>SUM(G405)</f>
        <v>5708.4</v>
      </c>
      <c r="H404" s="81">
        <f>SUM(H405)</f>
        <v>5708.4</v>
      </c>
      <c r="I404" s="30">
        <f t="shared" si="14"/>
        <v>100</v>
      </c>
    </row>
    <row r="405" spans="1:9" s="25" customFormat="1" ht="48" customHeight="1">
      <c r="A405" s="95" t="s">
        <v>954</v>
      </c>
      <c r="B405" s="142"/>
      <c r="C405" s="142" t="s">
        <v>191</v>
      </c>
      <c r="D405" s="142" t="s">
        <v>749</v>
      </c>
      <c r="E405" s="138" t="s">
        <v>41</v>
      </c>
      <c r="F405" s="140" t="s">
        <v>51</v>
      </c>
      <c r="G405" s="81">
        <v>5708.4</v>
      </c>
      <c r="H405" s="81">
        <v>5708.4</v>
      </c>
      <c r="I405" s="30">
        <f t="shared" si="14"/>
        <v>100</v>
      </c>
    </row>
    <row r="406" spans="1:9" s="25" customFormat="1" ht="27" customHeight="1">
      <c r="A406" s="94" t="s">
        <v>797</v>
      </c>
      <c r="B406" s="142"/>
      <c r="C406" s="142" t="s">
        <v>204</v>
      </c>
      <c r="D406" s="142"/>
      <c r="E406" s="142"/>
      <c r="F406" s="141"/>
      <c r="G406" s="184">
        <f>SUM(G407+G460+G495+G528+G522)</f>
        <v>228968.59999999998</v>
      </c>
      <c r="H406" s="184">
        <f>SUM(H407+H460+H495+H528+H522)</f>
        <v>234288.7</v>
      </c>
      <c r="I406" s="30">
        <f t="shared" si="14"/>
        <v>102.32350636724863</v>
      </c>
    </row>
    <row r="407" spans="1:9" s="25" customFormat="1" ht="21" customHeight="1">
      <c r="A407" s="95" t="s">
        <v>798</v>
      </c>
      <c r="B407" s="138"/>
      <c r="C407" s="138" t="s">
        <v>204</v>
      </c>
      <c r="D407" s="138" t="s">
        <v>836</v>
      </c>
      <c r="E407" s="138"/>
      <c r="F407" s="139"/>
      <c r="G407" s="81">
        <f>SUM(G428+G450+G420+G433+G408+G447)</f>
        <v>24519</v>
      </c>
      <c r="H407" s="81">
        <f>SUM(H428+H450+H420+H433+H408+H447)</f>
        <v>24507.3</v>
      </c>
      <c r="I407" s="30">
        <f t="shared" si="14"/>
        <v>99.952281903829672</v>
      </c>
    </row>
    <row r="408" spans="1:9" s="25" customFormat="1" ht="36" customHeight="1">
      <c r="A408" s="113" t="s">
        <v>799</v>
      </c>
      <c r="B408" s="150"/>
      <c r="C408" s="138" t="s">
        <v>204</v>
      </c>
      <c r="D408" s="138" t="s">
        <v>836</v>
      </c>
      <c r="E408" s="138" t="s">
        <v>800</v>
      </c>
      <c r="F408" s="139"/>
      <c r="G408" s="81">
        <f>SUM(G409+G416)</f>
        <v>23969.599999999999</v>
      </c>
      <c r="H408" s="81">
        <f>SUM(H409+H416)</f>
        <v>23969.599999999999</v>
      </c>
      <c r="I408" s="30">
        <f t="shared" si="14"/>
        <v>100</v>
      </c>
    </row>
    <row r="409" spans="1:9" s="25" customFormat="1" ht="57">
      <c r="A409" s="113" t="s">
        <v>801</v>
      </c>
      <c r="B409" s="150"/>
      <c r="C409" s="138" t="s">
        <v>204</v>
      </c>
      <c r="D409" s="138" t="s">
        <v>836</v>
      </c>
      <c r="E409" s="138" t="s">
        <v>802</v>
      </c>
      <c r="F409" s="139"/>
      <c r="G409" s="81">
        <f>SUM(G410+G412+G414)</f>
        <v>11498</v>
      </c>
      <c r="H409" s="81">
        <f>SUM(H410+H412+H414)</f>
        <v>11498</v>
      </c>
      <c r="I409" s="30">
        <f t="shared" si="14"/>
        <v>100</v>
      </c>
    </row>
    <row r="410" spans="1:9" s="25" customFormat="1" ht="42.75">
      <c r="A410" s="113" t="s">
        <v>977</v>
      </c>
      <c r="B410" s="150"/>
      <c r="C410" s="138" t="s">
        <v>204</v>
      </c>
      <c r="D410" s="138" t="s">
        <v>836</v>
      </c>
      <c r="E410" s="138" t="s">
        <v>978</v>
      </c>
      <c r="F410" s="139"/>
      <c r="G410" s="81">
        <f>SUM(G411)</f>
        <v>11498</v>
      </c>
      <c r="H410" s="81">
        <f>SUM(H411)</f>
        <v>11498</v>
      </c>
      <c r="I410" s="30">
        <f t="shared" si="14"/>
        <v>100</v>
      </c>
    </row>
    <row r="411" spans="1:9" s="25" customFormat="1" ht="24.75" customHeight="1">
      <c r="A411" s="95" t="s">
        <v>943</v>
      </c>
      <c r="B411" s="138"/>
      <c r="C411" s="138" t="s">
        <v>204</v>
      </c>
      <c r="D411" s="138" t="s">
        <v>836</v>
      </c>
      <c r="E411" s="138" t="s">
        <v>978</v>
      </c>
      <c r="F411" s="139" t="s">
        <v>944</v>
      </c>
      <c r="G411" s="81">
        <v>11498</v>
      </c>
      <c r="H411" s="81">
        <v>11498</v>
      </c>
      <c r="I411" s="30">
        <f t="shared" si="14"/>
        <v>100</v>
      </c>
    </row>
    <row r="412" spans="1:9" s="25" customFormat="1" ht="57" hidden="1">
      <c r="A412" s="113" t="s">
        <v>0</v>
      </c>
      <c r="B412" s="150"/>
      <c r="C412" s="138" t="s">
        <v>204</v>
      </c>
      <c r="D412" s="138" t="s">
        <v>836</v>
      </c>
      <c r="E412" s="138" t="s">
        <v>1</v>
      </c>
      <c r="F412" s="139"/>
      <c r="G412" s="81">
        <f>SUM(G413)</f>
        <v>0</v>
      </c>
      <c r="H412" s="81">
        <f>SUM(H413)</f>
        <v>0</v>
      </c>
      <c r="I412" s="30" t="e">
        <f t="shared" si="14"/>
        <v>#DIV/0!</v>
      </c>
    </row>
    <row r="413" spans="1:9" s="25" customFormat="1" ht="25.5" hidden="1" customHeight="1">
      <c r="A413" s="98" t="s">
        <v>207</v>
      </c>
      <c r="B413" s="150"/>
      <c r="C413" s="138" t="s">
        <v>204</v>
      </c>
      <c r="D413" s="138" t="s">
        <v>836</v>
      </c>
      <c r="E413" s="138" t="s">
        <v>1</v>
      </c>
      <c r="F413" s="139" t="s">
        <v>208</v>
      </c>
      <c r="G413" s="81"/>
      <c r="H413" s="81"/>
      <c r="I413" s="30" t="e">
        <f t="shared" si="14"/>
        <v>#DIV/0!</v>
      </c>
    </row>
    <row r="414" spans="1:9" s="25" customFormat="1" ht="32.25" hidden="1" customHeight="1">
      <c r="A414" s="113" t="s">
        <v>912</v>
      </c>
      <c r="B414" s="150"/>
      <c r="C414" s="138" t="s">
        <v>204</v>
      </c>
      <c r="D414" s="138" t="s">
        <v>836</v>
      </c>
      <c r="E414" s="138" t="s">
        <v>217</v>
      </c>
      <c r="F414" s="139"/>
      <c r="G414" s="81">
        <f>SUM(G415)</f>
        <v>0</v>
      </c>
      <c r="H414" s="81">
        <f>SUM(H415)</f>
        <v>0</v>
      </c>
      <c r="I414" s="30" t="e">
        <f t="shared" si="14"/>
        <v>#DIV/0!</v>
      </c>
    </row>
    <row r="415" spans="1:9" s="25" customFormat="1" ht="18.75" hidden="1" customHeight="1">
      <c r="A415" s="98" t="s">
        <v>207</v>
      </c>
      <c r="B415" s="150"/>
      <c r="C415" s="138" t="s">
        <v>204</v>
      </c>
      <c r="D415" s="138" t="s">
        <v>836</v>
      </c>
      <c r="E415" s="138" t="s">
        <v>217</v>
      </c>
      <c r="F415" s="139" t="s">
        <v>208</v>
      </c>
      <c r="G415" s="81"/>
      <c r="H415" s="81"/>
      <c r="I415" s="30" t="e">
        <f t="shared" si="14"/>
        <v>#DIV/0!</v>
      </c>
    </row>
    <row r="416" spans="1:9" s="25" customFormat="1" ht="44.25" customHeight="1">
      <c r="A416" s="94" t="s">
        <v>803</v>
      </c>
      <c r="B416" s="150"/>
      <c r="C416" s="138" t="s">
        <v>204</v>
      </c>
      <c r="D416" s="138" t="s">
        <v>836</v>
      </c>
      <c r="E416" s="138" t="s">
        <v>804</v>
      </c>
      <c r="F416" s="139"/>
      <c r="G416" s="81">
        <f>SUM(G417)+G423+G426</f>
        <v>12471.599999999999</v>
      </c>
      <c r="H416" s="81">
        <f>SUM(H417)+H423+H426</f>
        <v>12471.599999999999</v>
      </c>
      <c r="I416" s="30">
        <f t="shared" si="14"/>
        <v>100</v>
      </c>
    </row>
    <row r="417" spans="1:9" s="25" customFormat="1" ht="31.5" customHeight="1">
      <c r="A417" s="94" t="s">
        <v>805</v>
      </c>
      <c r="B417" s="150"/>
      <c r="C417" s="138" t="s">
        <v>204</v>
      </c>
      <c r="D417" s="138" t="s">
        <v>836</v>
      </c>
      <c r="E417" s="138" t="s">
        <v>806</v>
      </c>
      <c r="F417" s="139"/>
      <c r="G417" s="81">
        <f>SUM(G418+G419)</f>
        <v>9495.2999999999993</v>
      </c>
      <c r="H417" s="81">
        <f>SUM(H418+H419)</f>
        <v>9495.2999999999993</v>
      </c>
      <c r="I417" s="30">
        <f t="shared" si="14"/>
        <v>100</v>
      </c>
    </row>
    <row r="418" spans="1:9" s="25" customFormat="1" ht="19.5" customHeight="1">
      <c r="A418" s="124" t="s">
        <v>943</v>
      </c>
      <c r="B418" s="150"/>
      <c r="C418" s="138" t="s">
        <v>204</v>
      </c>
      <c r="D418" s="138" t="s">
        <v>836</v>
      </c>
      <c r="E418" s="138" t="s">
        <v>806</v>
      </c>
      <c r="F418" s="139" t="s">
        <v>944</v>
      </c>
      <c r="G418" s="81">
        <v>9495.2999999999993</v>
      </c>
      <c r="H418" s="81">
        <v>9495.2999999999993</v>
      </c>
      <c r="I418" s="30">
        <f t="shared" si="14"/>
        <v>100</v>
      </c>
    </row>
    <row r="419" spans="1:9" s="25" customFormat="1" ht="33" hidden="1" customHeight="1">
      <c r="A419" s="124" t="s">
        <v>807</v>
      </c>
      <c r="B419" s="150"/>
      <c r="C419" s="138" t="s">
        <v>204</v>
      </c>
      <c r="D419" s="138" t="s">
        <v>836</v>
      </c>
      <c r="E419" s="138" t="s">
        <v>806</v>
      </c>
      <c r="F419" s="139" t="s">
        <v>808</v>
      </c>
      <c r="G419" s="81"/>
      <c r="H419" s="81"/>
      <c r="I419" s="30" t="e">
        <f t="shared" si="14"/>
        <v>#DIV/0!</v>
      </c>
    </row>
    <row r="420" spans="1:9" s="25" customFormat="1" ht="36" hidden="1" customHeight="1">
      <c r="A420" s="94" t="s">
        <v>502</v>
      </c>
      <c r="B420" s="138"/>
      <c r="C420" s="138" t="s">
        <v>204</v>
      </c>
      <c r="D420" s="138" t="s">
        <v>836</v>
      </c>
      <c r="E420" s="138" t="s">
        <v>783</v>
      </c>
      <c r="F420" s="139"/>
      <c r="G420" s="81">
        <f>SUM(G421)</f>
        <v>0</v>
      </c>
      <c r="H420" s="81">
        <f>SUM(H421)</f>
        <v>0</v>
      </c>
      <c r="I420" s="30" t="e">
        <f t="shared" si="14"/>
        <v>#DIV/0!</v>
      </c>
    </row>
    <row r="421" spans="1:9" s="25" customFormat="1" ht="18.75" hidden="1" customHeight="1">
      <c r="A421" s="94" t="s">
        <v>205</v>
      </c>
      <c r="B421" s="138"/>
      <c r="C421" s="138" t="s">
        <v>204</v>
      </c>
      <c r="D421" s="138" t="s">
        <v>836</v>
      </c>
      <c r="E421" s="138" t="s">
        <v>206</v>
      </c>
      <c r="F421" s="139"/>
      <c r="G421" s="81">
        <f>SUM(G422)</f>
        <v>0</v>
      </c>
      <c r="H421" s="81">
        <f>SUM(H422)</f>
        <v>0</v>
      </c>
      <c r="I421" s="30" t="e">
        <f t="shared" si="14"/>
        <v>#DIV/0!</v>
      </c>
    </row>
    <row r="422" spans="1:9" s="25" customFormat="1" ht="19.5" hidden="1" customHeight="1">
      <c r="A422" s="94" t="s">
        <v>207</v>
      </c>
      <c r="B422" s="138"/>
      <c r="C422" s="138" t="s">
        <v>204</v>
      </c>
      <c r="D422" s="138" t="s">
        <v>836</v>
      </c>
      <c r="E422" s="138" t="s">
        <v>206</v>
      </c>
      <c r="F422" s="139" t="s">
        <v>208</v>
      </c>
      <c r="G422" s="81"/>
      <c r="H422" s="81"/>
      <c r="I422" s="30" t="e">
        <f t="shared" si="14"/>
        <v>#DIV/0!</v>
      </c>
    </row>
    <row r="423" spans="1:9" s="25" customFormat="1" ht="33.75" customHeight="1">
      <c r="A423" s="94" t="s">
        <v>809</v>
      </c>
      <c r="B423" s="138"/>
      <c r="C423" s="138" t="s">
        <v>204</v>
      </c>
      <c r="D423" s="138" t="s">
        <v>836</v>
      </c>
      <c r="E423" s="138" t="s">
        <v>810</v>
      </c>
      <c r="F423" s="139"/>
      <c r="G423" s="81">
        <f>SUM(G424+G425)</f>
        <v>2976.3</v>
      </c>
      <c r="H423" s="81">
        <f>SUM(H424+H425)</f>
        <v>2976.3</v>
      </c>
      <c r="I423" s="30">
        <f t="shared" si="14"/>
        <v>100</v>
      </c>
    </row>
    <row r="424" spans="1:9" s="25" customFormat="1" ht="19.5" hidden="1" customHeight="1">
      <c r="A424" s="95" t="s">
        <v>954</v>
      </c>
      <c r="B424" s="138"/>
      <c r="C424" s="138" t="s">
        <v>204</v>
      </c>
      <c r="D424" s="138" t="s">
        <v>836</v>
      </c>
      <c r="E424" s="138" t="s">
        <v>810</v>
      </c>
      <c r="F424" s="139" t="s">
        <v>51</v>
      </c>
      <c r="G424" s="81"/>
      <c r="H424" s="81"/>
      <c r="I424" s="30" t="e">
        <f t="shared" ref="I424:I487" si="16">SUM(H424/G424*100)</f>
        <v>#DIV/0!</v>
      </c>
    </row>
    <row r="425" spans="1:9" s="25" customFormat="1" ht="19.5" customHeight="1">
      <c r="A425" s="98" t="s">
        <v>207</v>
      </c>
      <c r="B425" s="138"/>
      <c r="C425" s="138" t="s">
        <v>204</v>
      </c>
      <c r="D425" s="138" t="s">
        <v>836</v>
      </c>
      <c r="E425" s="138" t="s">
        <v>810</v>
      </c>
      <c r="F425" s="139" t="s">
        <v>208</v>
      </c>
      <c r="G425" s="81">
        <v>2976.3</v>
      </c>
      <c r="H425" s="81">
        <v>2976.3</v>
      </c>
      <c r="I425" s="30">
        <f t="shared" si="16"/>
        <v>100</v>
      </c>
    </row>
    <row r="426" spans="1:9" s="25" customFormat="1" ht="19.5" hidden="1" customHeight="1">
      <c r="A426" s="94" t="s">
        <v>815</v>
      </c>
      <c r="B426" s="138"/>
      <c r="C426" s="138" t="s">
        <v>204</v>
      </c>
      <c r="D426" s="138" t="s">
        <v>836</v>
      </c>
      <c r="E426" s="138" t="s">
        <v>816</v>
      </c>
      <c r="F426" s="139"/>
      <c r="G426" s="81">
        <f>SUM(G427)</f>
        <v>0</v>
      </c>
      <c r="H426" s="81">
        <f>SUM(H427)</f>
        <v>0</v>
      </c>
      <c r="I426" s="30" t="e">
        <f t="shared" si="16"/>
        <v>#DIV/0!</v>
      </c>
    </row>
    <row r="427" spans="1:9" s="25" customFormat="1" ht="19.5" hidden="1" customHeight="1">
      <c r="A427" s="98" t="s">
        <v>207</v>
      </c>
      <c r="B427" s="138"/>
      <c r="C427" s="138" t="s">
        <v>204</v>
      </c>
      <c r="D427" s="138" t="s">
        <v>836</v>
      </c>
      <c r="E427" s="138" t="s">
        <v>816</v>
      </c>
      <c r="F427" s="139" t="s">
        <v>208</v>
      </c>
      <c r="G427" s="81"/>
      <c r="H427" s="81"/>
      <c r="I427" s="30" t="e">
        <f t="shared" si="16"/>
        <v>#DIV/0!</v>
      </c>
    </row>
    <row r="428" spans="1:9" s="25" customFormat="1" ht="19.5" hidden="1" customHeight="1">
      <c r="A428" s="95" t="s">
        <v>817</v>
      </c>
      <c r="B428" s="138"/>
      <c r="C428" s="138" t="s">
        <v>204</v>
      </c>
      <c r="D428" s="138" t="s">
        <v>836</v>
      </c>
      <c r="E428" s="138" t="s">
        <v>818</v>
      </c>
      <c r="F428" s="139"/>
      <c r="G428" s="81">
        <f>SUM(G429+G431)</f>
        <v>0</v>
      </c>
      <c r="H428" s="81">
        <f>SUM(H429+H431)</f>
        <v>0</v>
      </c>
      <c r="I428" s="30" t="e">
        <f t="shared" si="16"/>
        <v>#DIV/0!</v>
      </c>
    </row>
    <row r="429" spans="1:9" s="25" customFormat="1" ht="19.5" hidden="1" customHeight="1">
      <c r="A429" s="119" t="s">
        <v>819</v>
      </c>
      <c r="B429" s="138"/>
      <c r="C429" s="138" t="s">
        <v>204</v>
      </c>
      <c r="D429" s="138" t="s">
        <v>836</v>
      </c>
      <c r="E429" s="138" t="s">
        <v>820</v>
      </c>
      <c r="F429" s="139"/>
      <c r="G429" s="81">
        <f>SUM(G430)</f>
        <v>0</v>
      </c>
      <c r="H429" s="81">
        <f>SUM(H430)</f>
        <v>0</v>
      </c>
      <c r="I429" s="30" t="e">
        <f t="shared" si="16"/>
        <v>#DIV/0!</v>
      </c>
    </row>
    <row r="430" spans="1:9" s="25" customFormat="1" ht="19.5" hidden="1" customHeight="1">
      <c r="A430" s="95" t="s">
        <v>943</v>
      </c>
      <c r="B430" s="138"/>
      <c r="C430" s="138" t="s">
        <v>204</v>
      </c>
      <c r="D430" s="138" t="s">
        <v>836</v>
      </c>
      <c r="E430" s="138" t="s">
        <v>820</v>
      </c>
      <c r="F430" s="139" t="s">
        <v>944</v>
      </c>
      <c r="G430" s="81"/>
      <c r="H430" s="81"/>
      <c r="I430" s="30" t="e">
        <f t="shared" si="16"/>
        <v>#DIV/0!</v>
      </c>
    </row>
    <row r="431" spans="1:9" s="25" customFormat="1" ht="19.5" hidden="1" customHeight="1">
      <c r="A431" s="119" t="s">
        <v>821</v>
      </c>
      <c r="B431" s="142"/>
      <c r="C431" s="138" t="s">
        <v>204</v>
      </c>
      <c r="D431" s="138" t="s">
        <v>836</v>
      </c>
      <c r="E431" s="138" t="s">
        <v>822</v>
      </c>
      <c r="F431" s="140"/>
      <c r="G431" s="81">
        <f>SUM(G432)</f>
        <v>0</v>
      </c>
      <c r="H431" s="81">
        <f>SUM(H432)</f>
        <v>0</v>
      </c>
      <c r="I431" s="30" t="e">
        <f t="shared" si="16"/>
        <v>#DIV/0!</v>
      </c>
    </row>
    <row r="432" spans="1:9" s="25" customFormat="1" ht="19.5" hidden="1" customHeight="1">
      <c r="A432" s="95" t="s">
        <v>164</v>
      </c>
      <c r="B432" s="151"/>
      <c r="C432" s="138" t="s">
        <v>204</v>
      </c>
      <c r="D432" s="138" t="s">
        <v>836</v>
      </c>
      <c r="E432" s="138" t="s">
        <v>822</v>
      </c>
      <c r="F432" s="149" t="s">
        <v>165</v>
      </c>
      <c r="G432" s="82"/>
      <c r="H432" s="82"/>
      <c r="I432" s="30" t="e">
        <f t="shared" si="16"/>
        <v>#DIV/0!</v>
      </c>
    </row>
    <row r="433" spans="1:9" s="25" customFormat="1" ht="18" hidden="1" customHeight="1">
      <c r="A433" s="119" t="s">
        <v>932</v>
      </c>
      <c r="B433" s="148"/>
      <c r="C433" s="148" t="s">
        <v>204</v>
      </c>
      <c r="D433" s="148" t="s">
        <v>836</v>
      </c>
      <c r="E433" s="148" t="s">
        <v>933</v>
      </c>
      <c r="F433" s="149"/>
      <c r="G433" s="81">
        <f>SUM(G437)+G442+G434</f>
        <v>0</v>
      </c>
      <c r="H433" s="81">
        <f>SUM(H437)+H442+H434</f>
        <v>0</v>
      </c>
      <c r="I433" s="30" t="e">
        <f t="shared" si="16"/>
        <v>#DIV/0!</v>
      </c>
    </row>
    <row r="434" spans="1:9" s="25" customFormat="1" ht="19.5" hidden="1" customHeight="1">
      <c r="A434" s="119" t="s">
        <v>823</v>
      </c>
      <c r="B434" s="148"/>
      <c r="C434" s="148" t="s">
        <v>204</v>
      </c>
      <c r="D434" s="148" t="s">
        <v>836</v>
      </c>
      <c r="E434" s="148" t="s">
        <v>824</v>
      </c>
      <c r="F434" s="149"/>
      <c r="G434" s="81">
        <f>SUM(G435)</f>
        <v>0</v>
      </c>
      <c r="H434" s="81">
        <f>SUM(H435)</f>
        <v>0</v>
      </c>
      <c r="I434" s="30" t="e">
        <f t="shared" si="16"/>
        <v>#DIV/0!</v>
      </c>
    </row>
    <row r="435" spans="1:9" s="25" customFormat="1" ht="15" hidden="1">
      <c r="A435" s="119" t="s">
        <v>207</v>
      </c>
      <c r="B435" s="148"/>
      <c r="C435" s="148" t="s">
        <v>204</v>
      </c>
      <c r="D435" s="148" t="s">
        <v>836</v>
      </c>
      <c r="E435" s="148" t="s">
        <v>824</v>
      </c>
      <c r="F435" s="149" t="s">
        <v>208</v>
      </c>
      <c r="G435" s="81"/>
      <c r="H435" s="81"/>
      <c r="I435" s="30" t="e">
        <f t="shared" si="16"/>
        <v>#DIV/0!</v>
      </c>
    </row>
    <row r="436" spans="1:9" s="25" customFormat="1" ht="15" hidden="1">
      <c r="A436" s="119"/>
      <c r="B436" s="148"/>
      <c r="C436" s="148"/>
      <c r="D436" s="148"/>
      <c r="E436" s="148"/>
      <c r="F436" s="149"/>
      <c r="G436" s="81"/>
      <c r="H436" s="81"/>
      <c r="I436" s="30" t="e">
        <f t="shared" si="16"/>
        <v>#DIV/0!</v>
      </c>
    </row>
    <row r="437" spans="1:9" s="25" customFormat="1" ht="28.5" hidden="1">
      <c r="A437" s="95" t="s">
        <v>825</v>
      </c>
      <c r="B437" s="148"/>
      <c r="C437" s="148" t="s">
        <v>204</v>
      </c>
      <c r="D437" s="148" t="s">
        <v>836</v>
      </c>
      <c r="E437" s="148" t="s">
        <v>826</v>
      </c>
      <c r="F437" s="149"/>
      <c r="G437" s="81">
        <f>SUM(G438+G440)</f>
        <v>0</v>
      </c>
      <c r="H437" s="81">
        <f>SUM(H438+H440)</f>
        <v>0</v>
      </c>
      <c r="I437" s="30" t="e">
        <f t="shared" si="16"/>
        <v>#DIV/0!</v>
      </c>
    </row>
    <row r="438" spans="1:9" s="25" customFormat="1" ht="28.5" hidden="1">
      <c r="A438" s="119" t="s">
        <v>827</v>
      </c>
      <c r="B438" s="152"/>
      <c r="C438" s="148" t="s">
        <v>204</v>
      </c>
      <c r="D438" s="148" t="s">
        <v>836</v>
      </c>
      <c r="E438" s="148" t="s">
        <v>828</v>
      </c>
      <c r="F438" s="149"/>
      <c r="G438" s="81">
        <f>SUM(G439)</f>
        <v>0</v>
      </c>
      <c r="H438" s="81">
        <f>SUM(H439)</f>
        <v>0</v>
      </c>
      <c r="I438" s="30" t="e">
        <f t="shared" si="16"/>
        <v>#DIV/0!</v>
      </c>
    </row>
    <row r="439" spans="1:9" s="25" customFormat="1" ht="15" hidden="1">
      <c r="A439" s="94" t="s">
        <v>207</v>
      </c>
      <c r="B439" s="148"/>
      <c r="C439" s="148" t="s">
        <v>204</v>
      </c>
      <c r="D439" s="148" t="s">
        <v>836</v>
      </c>
      <c r="E439" s="148" t="s">
        <v>828</v>
      </c>
      <c r="F439" s="149" t="s">
        <v>208</v>
      </c>
      <c r="G439" s="81"/>
      <c r="H439" s="81"/>
      <c r="I439" s="30" t="e">
        <f t="shared" si="16"/>
        <v>#DIV/0!</v>
      </c>
    </row>
    <row r="440" spans="1:9" s="25" customFormat="1" ht="15" hidden="1">
      <c r="A440" s="94" t="s">
        <v>829</v>
      </c>
      <c r="B440" s="148"/>
      <c r="C440" s="148" t="s">
        <v>204</v>
      </c>
      <c r="D440" s="148" t="s">
        <v>836</v>
      </c>
      <c r="E440" s="148" t="s">
        <v>830</v>
      </c>
      <c r="F440" s="149"/>
      <c r="G440" s="81">
        <f>SUM(G441)</f>
        <v>0</v>
      </c>
      <c r="H440" s="81">
        <f>SUM(H441)</f>
        <v>0</v>
      </c>
      <c r="I440" s="30" t="e">
        <f t="shared" si="16"/>
        <v>#DIV/0!</v>
      </c>
    </row>
    <row r="441" spans="1:9" s="25" customFormat="1" ht="15" hidden="1">
      <c r="A441" s="95" t="s">
        <v>164</v>
      </c>
      <c r="B441" s="151"/>
      <c r="C441" s="138" t="s">
        <v>204</v>
      </c>
      <c r="D441" s="138" t="s">
        <v>836</v>
      </c>
      <c r="E441" s="148" t="s">
        <v>830</v>
      </c>
      <c r="F441" s="149" t="s">
        <v>165</v>
      </c>
      <c r="G441" s="81"/>
      <c r="H441" s="81"/>
      <c r="I441" s="30" t="e">
        <f t="shared" si="16"/>
        <v>#DIV/0!</v>
      </c>
    </row>
    <row r="442" spans="1:9" s="25" customFormat="1" ht="28.5" hidden="1">
      <c r="A442" s="95" t="s">
        <v>831</v>
      </c>
      <c r="B442" s="151"/>
      <c r="C442" s="138" t="s">
        <v>204</v>
      </c>
      <c r="D442" s="138" t="s">
        <v>836</v>
      </c>
      <c r="E442" s="148" t="s">
        <v>832</v>
      </c>
      <c r="F442" s="149"/>
      <c r="G442" s="81"/>
      <c r="H442" s="81"/>
      <c r="I442" s="30" t="e">
        <f t="shared" si="16"/>
        <v>#DIV/0!</v>
      </c>
    </row>
    <row r="443" spans="1:9" s="25" customFormat="1" ht="19.5" hidden="1" customHeight="1">
      <c r="A443" s="95" t="s">
        <v>31</v>
      </c>
      <c r="B443" s="151"/>
      <c r="C443" s="138" t="s">
        <v>204</v>
      </c>
      <c r="D443" s="138" t="s">
        <v>836</v>
      </c>
      <c r="E443" s="148" t="s">
        <v>32</v>
      </c>
      <c r="F443" s="149"/>
      <c r="G443" s="81">
        <f>SUM(G444)</f>
        <v>0</v>
      </c>
      <c r="H443" s="81">
        <f>SUM(H444)</f>
        <v>0</v>
      </c>
      <c r="I443" s="30" t="e">
        <f t="shared" si="16"/>
        <v>#DIV/0!</v>
      </c>
    </row>
    <row r="444" spans="1:9" s="25" customFormat="1" ht="19.5" hidden="1" customHeight="1">
      <c r="A444" s="95" t="s">
        <v>943</v>
      </c>
      <c r="B444" s="151"/>
      <c r="C444" s="138" t="s">
        <v>204</v>
      </c>
      <c r="D444" s="138" t="s">
        <v>836</v>
      </c>
      <c r="E444" s="148" t="s">
        <v>32</v>
      </c>
      <c r="F444" s="149" t="s">
        <v>944</v>
      </c>
      <c r="G444" s="81"/>
      <c r="H444" s="81"/>
      <c r="I444" s="30" t="e">
        <f t="shared" si="16"/>
        <v>#DIV/0!</v>
      </c>
    </row>
    <row r="445" spans="1:9" s="25" customFormat="1" ht="19.5" hidden="1" customHeight="1">
      <c r="A445" s="95" t="s">
        <v>33</v>
      </c>
      <c r="B445" s="151"/>
      <c r="C445" s="138" t="s">
        <v>204</v>
      </c>
      <c r="D445" s="138" t="s">
        <v>836</v>
      </c>
      <c r="E445" s="148" t="s">
        <v>34</v>
      </c>
      <c r="F445" s="149"/>
      <c r="G445" s="81">
        <f>SUM(G446)</f>
        <v>0</v>
      </c>
      <c r="H445" s="81">
        <f>SUM(H446)</f>
        <v>0</v>
      </c>
      <c r="I445" s="30" t="e">
        <f t="shared" si="16"/>
        <v>#DIV/0!</v>
      </c>
    </row>
    <row r="446" spans="1:9" s="25" customFormat="1" ht="19.5" hidden="1" customHeight="1">
      <c r="A446" s="95" t="s">
        <v>943</v>
      </c>
      <c r="B446" s="151"/>
      <c r="C446" s="138" t="s">
        <v>204</v>
      </c>
      <c r="D446" s="138" t="s">
        <v>836</v>
      </c>
      <c r="E446" s="148" t="s">
        <v>34</v>
      </c>
      <c r="F446" s="149" t="s">
        <v>944</v>
      </c>
      <c r="G446" s="81"/>
      <c r="H446" s="81"/>
      <c r="I446" s="30" t="e">
        <f t="shared" si="16"/>
        <v>#DIV/0!</v>
      </c>
    </row>
    <row r="447" spans="1:9" s="25" customFormat="1" ht="18.75" hidden="1" customHeight="1">
      <c r="A447" s="95" t="s">
        <v>817</v>
      </c>
      <c r="B447" s="151"/>
      <c r="C447" s="138" t="s">
        <v>204</v>
      </c>
      <c r="D447" s="138" t="s">
        <v>836</v>
      </c>
      <c r="E447" s="148" t="s">
        <v>818</v>
      </c>
      <c r="F447" s="149"/>
      <c r="G447" s="81">
        <f>SUM(G448)</f>
        <v>0</v>
      </c>
      <c r="H447" s="81">
        <f>SUM(H448)</f>
        <v>0</v>
      </c>
      <c r="I447" s="30" t="e">
        <f t="shared" si="16"/>
        <v>#DIV/0!</v>
      </c>
    </row>
    <row r="448" spans="1:9" s="25" customFormat="1" ht="47.25" hidden="1" customHeight="1">
      <c r="A448" s="95" t="s">
        <v>554</v>
      </c>
      <c r="B448" s="151"/>
      <c r="C448" s="138" t="s">
        <v>204</v>
      </c>
      <c r="D448" s="138" t="s">
        <v>836</v>
      </c>
      <c r="E448" s="148" t="s">
        <v>822</v>
      </c>
      <c r="F448" s="149"/>
      <c r="G448" s="81">
        <f>SUM(G449)</f>
        <v>0</v>
      </c>
      <c r="H448" s="81">
        <f>SUM(H449)</f>
        <v>0</v>
      </c>
      <c r="I448" s="30" t="e">
        <f t="shared" si="16"/>
        <v>#DIV/0!</v>
      </c>
    </row>
    <row r="449" spans="1:9" s="25" customFormat="1" ht="18" hidden="1" customHeight="1">
      <c r="A449" s="95" t="s">
        <v>164</v>
      </c>
      <c r="B449" s="151"/>
      <c r="C449" s="138" t="s">
        <v>204</v>
      </c>
      <c r="D449" s="138" t="s">
        <v>836</v>
      </c>
      <c r="E449" s="148" t="s">
        <v>822</v>
      </c>
      <c r="F449" s="149" t="s">
        <v>165</v>
      </c>
      <c r="G449" s="81"/>
      <c r="H449" s="81"/>
      <c r="I449" s="30" t="e">
        <f t="shared" si="16"/>
        <v>#DIV/0!</v>
      </c>
    </row>
    <row r="450" spans="1:9" s="29" customFormat="1" ht="19.5" customHeight="1">
      <c r="A450" s="98" t="s">
        <v>200</v>
      </c>
      <c r="B450" s="148"/>
      <c r="C450" s="148" t="s">
        <v>204</v>
      </c>
      <c r="D450" s="148" t="s">
        <v>836</v>
      </c>
      <c r="E450" s="148" t="s">
        <v>201</v>
      </c>
      <c r="F450" s="149"/>
      <c r="G450" s="81">
        <f>SUM(G451+G454)+G458</f>
        <v>549.40000000000009</v>
      </c>
      <c r="H450" s="81">
        <f>SUM(H451+H454)+H458</f>
        <v>537.70000000000005</v>
      </c>
      <c r="I450" s="30">
        <f t="shared" si="16"/>
        <v>97.870404077175095</v>
      </c>
    </row>
    <row r="451" spans="1:9" s="29" customFormat="1" ht="42.75">
      <c r="A451" s="98" t="s">
        <v>910</v>
      </c>
      <c r="B451" s="148"/>
      <c r="C451" s="148" t="s">
        <v>204</v>
      </c>
      <c r="D451" s="148" t="s">
        <v>836</v>
      </c>
      <c r="E451" s="148" t="s">
        <v>597</v>
      </c>
      <c r="F451" s="149"/>
      <c r="G451" s="205">
        <f>SUM(G452)</f>
        <v>12.6</v>
      </c>
      <c r="H451" s="205">
        <f>SUM(H452)</f>
        <v>12.6</v>
      </c>
      <c r="I451" s="30">
        <f t="shared" si="16"/>
        <v>100</v>
      </c>
    </row>
    <row r="452" spans="1:9" ht="23.25" customHeight="1">
      <c r="A452" s="124" t="s">
        <v>943</v>
      </c>
      <c r="B452" s="148"/>
      <c r="C452" s="148" t="s">
        <v>204</v>
      </c>
      <c r="D452" s="148" t="s">
        <v>836</v>
      </c>
      <c r="E452" s="148" t="s">
        <v>597</v>
      </c>
      <c r="F452" s="149" t="s">
        <v>944</v>
      </c>
      <c r="G452" s="205">
        <v>12.6</v>
      </c>
      <c r="H452" s="205">
        <v>12.6</v>
      </c>
      <c r="I452" s="30">
        <f t="shared" si="16"/>
        <v>100</v>
      </c>
    </row>
    <row r="453" spans="1:9" ht="19.5" hidden="1" customHeight="1">
      <c r="A453" s="98" t="s">
        <v>35</v>
      </c>
      <c r="B453" s="148"/>
      <c r="C453" s="148" t="s">
        <v>204</v>
      </c>
      <c r="D453" s="148" t="s">
        <v>836</v>
      </c>
      <c r="E453" s="148" t="s">
        <v>36</v>
      </c>
      <c r="F453" s="149" t="s">
        <v>165</v>
      </c>
      <c r="G453" s="185"/>
      <c r="H453" s="185"/>
      <c r="I453" s="30" t="e">
        <f t="shared" si="16"/>
        <v>#DIV/0!</v>
      </c>
    </row>
    <row r="454" spans="1:9" s="25" customFormat="1" ht="35.25" customHeight="1">
      <c r="A454" s="94" t="s">
        <v>1027</v>
      </c>
      <c r="B454" s="148"/>
      <c r="C454" s="148" t="s">
        <v>204</v>
      </c>
      <c r="D454" s="148" t="s">
        <v>836</v>
      </c>
      <c r="E454" s="148" t="s">
        <v>38</v>
      </c>
      <c r="F454" s="149"/>
      <c r="G454" s="82">
        <f>SUM(G455)</f>
        <v>451.8</v>
      </c>
      <c r="H454" s="82">
        <f>SUM(H455)</f>
        <v>451.8</v>
      </c>
      <c r="I454" s="30">
        <f t="shared" si="16"/>
        <v>100</v>
      </c>
    </row>
    <row r="455" spans="1:9" s="25" customFormat="1" ht="30.75" customHeight="1">
      <c r="A455" s="119" t="s">
        <v>827</v>
      </c>
      <c r="B455" s="148"/>
      <c r="C455" s="148" t="s">
        <v>204</v>
      </c>
      <c r="D455" s="148" t="s">
        <v>836</v>
      </c>
      <c r="E455" s="148" t="s">
        <v>39</v>
      </c>
      <c r="F455" s="149"/>
      <c r="G455" s="81">
        <f>SUM(G457)</f>
        <v>451.8</v>
      </c>
      <c r="H455" s="81">
        <f>SUM(H457)</f>
        <v>451.8</v>
      </c>
      <c r="I455" s="30">
        <f t="shared" si="16"/>
        <v>100</v>
      </c>
    </row>
    <row r="456" spans="1:9" s="25" customFormat="1" ht="19.5" hidden="1" customHeight="1">
      <c r="A456" s="119" t="s">
        <v>827</v>
      </c>
      <c r="B456" s="148"/>
      <c r="C456" s="148"/>
      <c r="D456" s="148"/>
      <c r="E456" s="148"/>
      <c r="F456" s="149"/>
      <c r="G456" s="81"/>
      <c r="H456" s="81"/>
      <c r="I456" s="30" t="e">
        <f t="shared" si="16"/>
        <v>#DIV/0!</v>
      </c>
    </row>
    <row r="457" spans="1:9" ht="24" customHeight="1">
      <c r="A457" s="98" t="s">
        <v>207</v>
      </c>
      <c r="B457" s="148"/>
      <c r="C457" s="148" t="s">
        <v>204</v>
      </c>
      <c r="D457" s="148" t="s">
        <v>836</v>
      </c>
      <c r="E457" s="148" t="s">
        <v>39</v>
      </c>
      <c r="F457" s="149" t="s">
        <v>208</v>
      </c>
      <c r="G457" s="81">
        <v>451.8</v>
      </c>
      <c r="H457" s="81">
        <v>451.8</v>
      </c>
      <c r="I457" s="30">
        <f t="shared" si="16"/>
        <v>100</v>
      </c>
    </row>
    <row r="458" spans="1:9" ht="33.75" customHeight="1">
      <c r="A458" s="114" t="s">
        <v>1123</v>
      </c>
      <c r="B458" s="148"/>
      <c r="C458" s="148" t="s">
        <v>204</v>
      </c>
      <c r="D458" s="148" t="s">
        <v>836</v>
      </c>
      <c r="E458" s="148" t="s">
        <v>1121</v>
      </c>
      <c r="F458" s="149"/>
      <c r="G458" s="81">
        <f>SUM(G459)</f>
        <v>85</v>
      </c>
      <c r="H458" s="81">
        <f>SUM(H459)</f>
        <v>73.3</v>
      </c>
      <c r="I458" s="30">
        <f t="shared" si="16"/>
        <v>86.235294117647058</v>
      </c>
    </row>
    <row r="459" spans="1:9" ht="19.5" customHeight="1">
      <c r="A459" s="95" t="s">
        <v>164</v>
      </c>
      <c r="B459" s="148"/>
      <c r="C459" s="148" t="s">
        <v>204</v>
      </c>
      <c r="D459" s="148" t="s">
        <v>836</v>
      </c>
      <c r="E459" s="148" t="s">
        <v>1121</v>
      </c>
      <c r="F459" s="149" t="s">
        <v>165</v>
      </c>
      <c r="G459" s="81">
        <v>85</v>
      </c>
      <c r="H459" s="81">
        <v>73.3</v>
      </c>
      <c r="I459" s="30">
        <f t="shared" si="16"/>
        <v>86.235294117647058</v>
      </c>
    </row>
    <row r="460" spans="1:9" ht="19.5" customHeight="1">
      <c r="A460" s="94" t="s">
        <v>42</v>
      </c>
      <c r="B460" s="142"/>
      <c r="C460" s="142" t="s">
        <v>204</v>
      </c>
      <c r="D460" s="142" t="s">
        <v>838</v>
      </c>
      <c r="E460" s="142"/>
      <c r="F460" s="140"/>
      <c r="G460" s="81">
        <f>SUM(G467)+G485+G481</f>
        <v>121466</v>
      </c>
      <c r="H460" s="81">
        <f>SUM(H467)+H485+H481</f>
        <v>128317.2</v>
      </c>
      <c r="I460" s="30">
        <f t="shared" si="16"/>
        <v>105.64042612747599</v>
      </c>
    </row>
    <row r="461" spans="1:9" ht="19.5" hidden="1" customHeight="1">
      <c r="A461" s="95" t="s">
        <v>748</v>
      </c>
      <c r="B461" s="138"/>
      <c r="C461" s="142" t="s">
        <v>204</v>
      </c>
      <c r="D461" s="142" t="s">
        <v>838</v>
      </c>
      <c r="E461" s="142" t="s">
        <v>750</v>
      </c>
      <c r="F461" s="140"/>
      <c r="G461" s="81">
        <f>SUM(G462)</f>
        <v>0</v>
      </c>
      <c r="H461" s="81">
        <f>SUM(H462)</f>
        <v>0</v>
      </c>
      <c r="I461" s="30" t="e">
        <f t="shared" si="16"/>
        <v>#DIV/0!</v>
      </c>
    </row>
    <row r="462" spans="1:9" ht="19.5" hidden="1" customHeight="1">
      <c r="A462" s="95" t="s">
        <v>728</v>
      </c>
      <c r="B462" s="138"/>
      <c r="C462" s="142" t="s">
        <v>204</v>
      </c>
      <c r="D462" s="142" t="s">
        <v>838</v>
      </c>
      <c r="E462" s="142" t="s">
        <v>729</v>
      </c>
      <c r="F462" s="139"/>
      <c r="G462" s="81">
        <f>SUM(G463)</f>
        <v>0</v>
      </c>
      <c r="H462" s="81">
        <f>SUM(H463)</f>
        <v>0</v>
      </c>
      <c r="I462" s="30" t="e">
        <f t="shared" si="16"/>
        <v>#DIV/0!</v>
      </c>
    </row>
    <row r="463" spans="1:9" ht="19.5" hidden="1" customHeight="1">
      <c r="A463" s="95" t="s">
        <v>164</v>
      </c>
      <c r="B463" s="138"/>
      <c r="C463" s="142" t="s">
        <v>204</v>
      </c>
      <c r="D463" s="142" t="s">
        <v>838</v>
      </c>
      <c r="E463" s="142" t="s">
        <v>729</v>
      </c>
      <c r="F463" s="139" t="s">
        <v>165</v>
      </c>
      <c r="G463" s="81"/>
      <c r="H463" s="81"/>
      <c r="I463" s="30" t="e">
        <f t="shared" si="16"/>
        <v>#DIV/0!</v>
      </c>
    </row>
    <row r="464" spans="1:9" ht="36.75" hidden="1" customHeight="1">
      <c r="A464" s="95" t="s">
        <v>574</v>
      </c>
      <c r="B464" s="138"/>
      <c r="C464" s="142" t="s">
        <v>204</v>
      </c>
      <c r="D464" s="142" t="s">
        <v>838</v>
      </c>
      <c r="E464" s="142" t="s">
        <v>575</v>
      </c>
      <c r="F464" s="139"/>
      <c r="G464" s="81">
        <f>SUM(G465)</f>
        <v>0</v>
      </c>
      <c r="H464" s="81">
        <f>SUM(H465)</f>
        <v>0</v>
      </c>
      <c r="I464" s="30" t="e">
        <f t="shared" si="16"/>
        <v>#DIV/0!</v>
      </c>
    </row>
    <row r="465" spans="1:9" ht="42.75" hidden="1">
      <c r="A465" s="95" t="s">
        <v>576</v>
      </c>
      <c r="B465" s="138"/>
      <c r="C465" s="142" t="s">
        <v>204</v>
      </c>
      <c r="D465" s="142" t="s">
        <v>838</v>
      </c>
      <c r="E465" s="142" t="s">
        <v>577</v>
      </c>
      <c r="F465" s="139"/>
      <c r="G465" s="81">
        <f>SUM(G466)</f>
        <v>0</v>
      </c>
      <c r="H465" s="81">
        <f>SUM(H466)</f>
        <v>0</v>
      </c>
      <c r="I465" s="30" t="e">
        <f t="shared" si="16"/>
        <v>#DIV/0!</v>
      </c>
    </row>
    <row r="466" spans="1:9" s="31" customFormat="1" ht="15" hidden="1">
      <c r="A466" s="95" t="s">
        <v>943</v>
      </c>
      <c r="B466" s="138"/>
      <c r="C466" s="142" t="s">
        <v>204</v>
      </c>
      <c r="D466" s="142" t="s">
        <v>838</v>
      </c>
      <c r="E466" s="142" t="s">
        <v>577</v>
      </c>
      <c r="F466" s="139" t="s">
        <v>944</v>
      </c>
      <c r="G466" s="81"/>
      <c r="H466" s="81"/>
      <c r="I466" s="30" t="e">
        <f t="shared" si="16"/>
        <v>#DIV/0!</v>
      </c>
    </row>
    <row r="467" spans="1:9" ht="15">
      <c r="A467" s="118" t="s">
        <v>578</v>
      </c>
      <c r="B467" s="142"/>
      <c r="C467" s="142" t="s">
        <v>204</v>
      </c>
      <c r="D467" s="142" t="s">
        <v>838</v>
      </c>
      <c r="E467" s="142" t="s">
        <v>44</v>
      </c>
      <c r="F467" s="140"/>
      <c r="G467" s="81">
        <f>SUM(G472+G475)</f>
        <v>22163.599999999999</v>
      </c>
      <c r="H467" s="81">
        <f>SUM(H472+H475)</f>
        <v>22037.5</v>
      </c>
      <c r="I467" s="30">
        <f t="shared" si="16"/>
        <v>99.431049107545704</v>
      </c>
    </row>
    <row r="468" spans="1:9" s="31" customFormat="1" ht="19.5" hidden="1" customHeight="1">
      <c r="A468" s="98" t="s">
        <v>579</v>
      </c>
      <c r="B468" s="142"/>
      <c r="C468" s="142" t="s">
        <v>204</v>
      </c>
      <c r="D468" s="142" t="s">
        <v>838</v>
      </c>
      <c r="E468" s="142" t="s">
        <v>580</v>
      </c>
      <c r="F468" s="140"/>
      <c r="G468" s="81">
        <f>SUM(G469)</f>
        <v>0</v>
      </c>
      <c r="H468" s="81">
        <f>SUM(H469)</f>
        <v>0</v>
      </c>
      <c r="I468" s="30" t="e">
        <f t="shared" si="16"/>
        <v>#DIV/0!</v>
      </c>
    </row>
    <row r="469" spans="1:9" ht="19.5" hidden="1" customHeight="1">
      <c r="A469" s="95" t="s">
        <v>943</v>
      </c>
      <c r="B469" s="138"/>
      <c r="C469" s="138" t="s">
        <v>204</v>
      </c>
      <c r="D469" s="142" t="s">
        <v>838</v>
      </c>
      <c r="E469" s="142" t="s">
        <v>580</v>
      </c>
      <c r="F469" s="139" t="s">
        <v>944</v>
      </c>
      <c r="G469" s="81"/>
      <c r="H469" s="81"/>
      <c r="I469" s="30" t="e">
        <f t="shared" si="16"/>
        <v>#DIV/0!</v>
      </c>
    </row>
    <row r="470" spans="1:9" ht="19.5" hidden="1" customHeight="1">
      <c r="A470" s="98" t="s">
        <v>15</v>
      </c>
      <c r="B470" s="138"/>
      <c r="C470" s="142" t="s">
        <v>204</v>
      </c>
      <c r="D470" s="142" t="s">
        <v>838</v>
      </c>
      <c r="E470" s="142" t="s">
        <v>16</v>
      </c>
      <c r="F470" s="139"/>
      <c r="G470" s="81">
        <f>SUM(G471)</f>
        <v>0</v>
      </c>
      <c r="H470" s="81">
        <f>SUM(H471)</f>
        <v>0</v>
      </c>
      <c r="I470" s="30" t="e">
        <f t="shared" si="16"/>
        <v>#DIV/0!</v>
      </c>
    </row>
    <row r="471" spans="1:9" ht="19.5" hidden="1" customHeight="1">
      <c r="A471" s="95" t="s">
        <v>943</v>
      </c>
      <c r="B471" s="138"/>
      <c r="C471" s="142" t="s">
        <v>204</v>
      </c>
      <c r="D471" s="142" t="s">
        <v>838</v>
      </c>
      <c r="E471" s="142" t="s">
        <v>16</v>
      </c>
      <c r="F471" s="139" t="s">
        <v>944</v>
      </c>
      <c r="G471" s="81"/>
      <c r="H471" s="81"/>
      <c r="I471" s="30" t="e">
        <f t="shared" si="16"/>
        <v>#DIV/0!</v>
      </c>
    </row>
    <row r="472" spans="1:9" ht="17.25" customHeight="1">
      <c r="A472" s="119" t="s">
        <v>17</v>
      </c>
      <c r="B472" s="142"/>
      <c r="C472" s="142" t="s">
        <v>204</v>
      </c>
      <c r="D472" s="142" t="s">
        <v>838</v>
      </c>
      <c r="E472" s="142" t="s">
        <v>18</v>
      </c>
      <c r="F472" s="140"/>
      <c r="G472" s="81">
        <f>SUM(G473:G474)</f>
        <v>20604.3</v>
      </c>
      <c r="H472" s="81">
        <f>SUM(H473:H474)</f>
        <v>20478.2</v>
      </c>
      <c r="I472" s="30">
        <f t="shared" si="16"/>
        <v>99.387991826948749</v>
      </c>
    </row>
    <row r="473" spans="1:9" ht="21.75" hidden="1" customHeight="1">
      <c r="A473" s="95" t="s">
        <v>943</v>
      </c>
      <c r="B473" s="142"/>
      <c r="C473" s="142" t="s">
        <v>204</v>
      </c>
      <c r="D473" s="142" t="s">
        <v>838</v>
      </c>
      <c r="E473" s="142" t="s">
        <v>18</v>
      </c>
      <c r="F473" s="139" t="s">
        <v>944</v>
      </c>
      <c r="G473" s="82"/>
      <c r="H473" s="82"/>
      <c r="I473" s="30" t="e">
        <f t="shared" si="16"/>
        <v>#DIV/0!</v>
      </c>
    </row>
    <row r="474" spans="1:9" ht="21.75" customHeight="1">
      <c r="A474" s="95" t="s">
        <v>164</v>
      </c>
      <c r="B474" s="142"/>
      <c r="C474" s="142" t="s">
        <v>204</v>
      </c>
      <c r="D474" s="142" t="s">
        <v>838</v>
      </c>
      <c r="E474" s="142" t="s">
        <v>18</v>
      </c>
      <c r="F474" s="139" t="s">
        <v>165</v>
      </c>
      <c r="G474" s="82">
        <f>17343.4+3269.3-1.9-6.5</f>
        <v>20604.3</v>
      </c>
      <c r="H474" s="82">
        <v>20478.2</v>
      </c>
      <c r="I474" s="30">
        <f t="shared" si="16"/>
        <v>99.387991826948749</v>
      </c>
    </row>
    <row r="475" spans="1:9" ht="21.75" customHeight="1">
      <c r="A475" s="95" t="s">
        <v>953</v>
      </c>
      <c r="B475" s="142"/>
      <c r="C475" s="142" t="s">
        <v>204</v>
      </c>
      <c r="D475" s="142" t="s">
        <v>838</v>
      </c>
      <c r="E475" s="142" t="s">
        <v>237</v>
      </c>
      <c r="F475" s="139"/>
      <c r="G475" s="204">
        <f>SUM(G476)+G478</f>
        <v>1559.3</v>
      </c>
      <c r="H475" s="204">
        <f>SUM(H476)+H478</f>
        <v>1559.3</v>
      </c>
      <c r="I475" s="30">
        <f t="shared" si="16"/>
        <v>100</v>
      </c>
    </row>
    <row r="476" spans="1:9" ht="32.25" customHeight="1">
      <c r="A476" s="95" t="s">
        <v>374</v>
      </c>
      <c r="B476" s="142"/>
      <c r="C476" s="142" t="s">
        <v>204</v>
      </c>
      <c r="D476" s="142" t="s">
        <v>838</v>
      </c>
      <c r="E476" s="142" t="s">
        <v>238</v>
      </c>
      <c r="F476" s="139"/>
      <c r="G476" s="204">
        <f>SUM(G477)</f>
        <v>258</v>
      </c>
      <c r="H476" s="204">
        <f>SUM(H477)</f>
        <v>258</v>
      </c>
      <c r="I476" s="30">
        <f t="shared" si="16"/>
        <v>100</v>
      </c>
    </row>
    <row r="477" spans="1:9" ht="33" customHeight="1">
      <c r="A477" s="95" t="s">
        <v>256</v>
      </c>
      <c r="B477" s="142"/>
      <c r="C477" s="142" t="s">
        <v>204</v>
      </c>
      <c r="D477" s="142" t="s">
        <v>838</v>
      </c>
      <c r="E477" s="142" t="s">
        <v>238</v>
      </c>
      <c r="F477" s="139" t="s">
        <v>51</v>
      </c>
      <c r="G477" s="204">
        <v>258</v>
      </c>
      <c r="H477" s="204">
        <v>258</v>
      </c>
      <c r="I477" s="30">
        <f t="shared" si="16"/>
        <v>100</v>
      </c>
    </row>
    <row r="478" spans="1:9" ht="33" customHeight="1">
      <c r="A478" s="95" t="s">
        <v>263</v>
      </c>
      <c r="B478" s="142"/>
      <c r="C478" s="142" t="s">
        <v>204</v>
      </c>
      <c r="D478" s="142" t="s">
        <v>838</v>
      </c>
      <c r="E478" s="142" t="s">
        <v>269</v>
      </c>
      <c r="F478" s="139"/>
      <c r="G478" s="204">
        <f>SUM(G479)</f>
        <v>1301.3</v>
      </c>
      <c r="H478" s="204">
        <f>SUM(H479)</f>
        <v>1301.3</v>
      </c>
      <c r="I478" s="30">
        <f t="shared" si="16"/>
        <v>100</v>
      </c>
    </row>
    <row r="479" spans="1:9" ht="23.25" customHeight="1">
      <c r="A479" s="95" t="s">
        <v>403</v>
      </c>
      <c r="B479" s="142"/>
      <c r="C479" s="142" t="s">
        <v>204</v>
      </c>
      <c r="D479" s="142" t="s">
        <v>838</v>
      </c>
      <c r="E479" s="142" t="s">
        <v>1028</v>
      </c>
      <c r="F479" s="139"/>
      <c r="G479" s="204">
        <f>SUM(G480)</f>
        <v>1301.3</v>
      </c>
      <c r="H479" s="204">
        <f>SUM(H480)</f>
        <v>1301.3</v>
      </c>
      <c r="I479" s="30">
        <f t="shared" si="16"/>
        <v>100</v>
      </c>
    </row>
    <row r="480" spans="1:9" ht="21.75" customHeight="1">
      <c r="A480" s="95" t="s">
        <v>276</v>
      </c>
      <c r="B480" s="142"/>
      <c r="C480" s="142" t="s">
        <v>204</v>
      </c>
      <c r="D480" s="142" t="s">
        <v>838</v>
      </c>
      <c r="E480" s="142" t="s">
        <v>1028</v>
      </c>
      <c r="F480" s="139" t="s">
        <v>132</v>
      </c>
      <c r="G480" s="204">
        <f>541.9+759.4</f>
        <v>1301.3</v>
      </c>
      <c r="H480" s="204">
        <f>541.9+759.4</f>
        <v>1301.3</v>
      </c>
      <c r="I480" s="30">
        <f t="shared" si="16"/>
        <v>100</v>
      </c>
    </row>
    <row r="481" spans="1:9" ht="21.75" customHeight="1">
      <c r="A481" s="95" t="s">
        <v>932</v>
      </c>
      <c r="B481" s="142"/>
      <c r="C481" s="142" t="s">
        <v>204</v>
      </c>
      <c r="D481" s="142" t="s">
        <v>838</v>
      </c>
      <c r="E481" s="142" t="s">
        <v>933</v>
      </c>
      <c r="F481" s="139"/>
      <c r="G481" s="204">
        <f t="shared" ref="G481:H483" si="17">SUM(G482)</f>
        <v>25000</v>
      </c>
      <c r="H481" s="204">
        <f t="shared" si="17"/>
        <v>32000</v>
      </c>
      <c r="I481" s="30">
        <f t="shared" si="16"/>
        <v>128</v>
      </c>
    </row>
    <row r="482" spans="1:9" ht="50.25" customHeight="1">
      <c r="A482" s="245" t="s">
        <v>1063</v>
      </c>
      <c r="B482" s="142"/>
      <c r="C482" s="142" t="s">
        <v>204</v>
      </c>
      <c r="D482" s="142" t="s">
        <v>838</v>
      </c>
      <c r="E482" s="142" t="s">
        <v>826</v>
      </c>
      <c r="F482" s="139"/>
      <c r="G482" s="204">
        <f t="shared" si="17"/>
        <v>25000</v>
      </c>
      <c r="H482" s="204">
        <f t="shared" si="17"/>
        <v>32000</v>
      </c>
      <c r="I482" s="30">
        <f t="shared" si="16"/>
        <v>128</v>
      </c>
    </row>
    <row r="483" spans="1:9" ht="28.5" customHeight="1">
      <c r="A483" s="124" t="s">
        <v>19</v>
      </c>
      <c r="B483" s="142"/>
      <c r="C483" s="142" t="s">
        <v>204</v>
      </c>
      <c r="D483" s="142" t="s">
        <v>838</v>
      </c>
      <c r="E483" s="142" t="s">
        <v>20</v>
      </c>
      <c r="F483" s="139"/>
      <c r="G483" s="204">
        <f t="shared" si="17"/>
        <v>25000</v>
      </c>
      <c r="H483" s="204">
        <f t="shared" si="17"/>
        <v>32000</v>
      </c>
      <c r="I483" s="30">
        <f t="shared" si="16"/>
        <v>128</v>
      </c>
    </row>
    <row r="484" spans="1:9" ht="20.25" customHeight="1">
      <c r="A484" s="245" t="s">
        <v>207</v>
      </c>
      <c r="B484" s="142"/>
      <c r="C484" s="142" t="s">
        <v>204</v>
      </c>
      <c r="D484" s="142" t="s">
        <v>838</v>
      </c>
      <c r="E484" s="142" t="s">
        <v>20</v>
      </c>
      <c r="F484" s="139" t="s">
        <v>208</v>
      </c>
      <c r="G484" s="204">
        <v>25000</v>
      </c>
      <c r="H484" s="204">
        <v>32000</v>
      </c>
      <c r="I484" s="30">
        <f t="shared" si="16"/>
        <v>128</v>
      </c>
    </row>
    <row r="485" spans="1:9" ht="23.25" customHeight="1">
      <c r="A485" s="98" t="s">
        <v>200</v>
      </c>
      <c r="B485" s="214"/>
      <c r="C485" s="215" t="s">
        <v>204</v>
      </c>
      <c r="D485" s="215" t="s">
        <v>838</v>
      </c>
      <c r="E485" s="215" t="s">
        <v>201</v>
      </c>
      <c r="F485" s="216"/>
      <c r="G485" s="27">
        <f>SUM(G486+G488)+G491</f>
        <v>74302.399999999994</v>
      </c>
      <c r="H485" s="27">
        <f>SUM(H486+H488)+H491</f>
        <v>74279.7</v>
      </c>
      <c r="I485" s="30">
        <f t="shared" si="16"/>
        <v>99.969449169878771</v>
      </c>
    </row>
    <row r="486" spans="1:9" ht="51" customHeight="1">
      <c r="A486" s="217" t="s">
        <v>1064</v>
      </c>
      <c r="B486" s="213"/>
      <c r="C486" s="215" t="s">
        <v>204</v>
      </c>
      <c r="D486" s="215" t="s">
        <v>838</v>
      </c>
      <c r="E486" s="215" t="s">
        <v>842</v>
      </c>
      <c r="F486" s="219"/>
      <c r="G486" s="27">
        <f>SUM(G487)</f>
        <v>1182</v>
      </c>
      <c r="H486" s="27">
        <f>SUM(H487)</f>
        <v>1182</v>
      </c>
      <c r="I486" s="30">
        <f t="shared" si="16"/>
        <v>100</v>
      </c>
    </row>
    <row r="487" spans="1:9" ht="20.25" customHeight="1">
      <c r="A487" s="217" t="s">
        <v>164</v>
      </c>
      <c r="B487" s="213"/>
      <c r="C487" s="215" t="s">
        <v>204</v>
      </c>
      <c r="D487" s="215" t="s">
        <v>838</v>
      </c>
      <c r="E487" s="215" t="s">
        <v>842</v>
      </c>
      <c r="F487" s="219" t="s">
        <v>165</v>
      </c>
      <c r="G487" s="27">
        <v>1182</v>
      </c>
      <c r="H487" s="27">
        <v>1182</v>
      </c>
      <c r="I487" s="30">
        <f t="shared" si="16"/>
        <v>100</v>
      </c>
    </row>
    <row r="488" spans="1:9" s="75" customFormat="1" ht="51.75" customHeight="1">
      <c r="A488" s="217" t="s">
        <v>1045</v>
      </c>
      <c r="B488" s="213"/>
      <c r="C488" s="215" t="s">
        <v>204</v>
      </c>
      <c r="D488" s="215" t="s">
        <v>838</v>
      </c>
      <c r="E488" s="215" t="s">
        <v>913</v>
      </c>
      <c r="F488" s="219"/>
      <c r="G488" s="27">
        <f>SUM(G489:G490)</f>
        <v>71926.399999999994</v>
      </c>
      <c r="H488" s="27">
        <f>SUM(H489:H490)</f>
        <v>71903.7</v>
      </c>
      <c r="I488" s="30">
        <f t="shared" ref="I488:I551" si="18">SUM(H488/G488*100)</f>
        <v>99.968439960848883</v>
      </c>
    </row>
    <row r="489" spans="1:9" s="33" customFormat="1" ht="20.25" customHeight="1">
      <c r="A489" s="217" t="s">
        <v>943</v>
      </c>
      <c r="B489" s="213"/>
      <c r="C489" s="215" t="s">
        <v>204</v>
      </c>
      <c r="D489" s="215" t="s">
        <v>838</v>
      </c>
      <c r="E489" s="215" t="s">
        <v>913</v>
      </c>
      <c r="F489" s="219" t="s">
        <v>944</v>
      </c>
      <c r="G489" s="27">
        <v>62705.4</v>
      </c>
      <c r="H489" s="27">
        <v>62705.4</v>
      </c>
      <c r="I489" s="30">
        <f t="shared" si="18"/>
        <v>100</v>
      </c>
    </row>
    <row r="490" spans="1:9" s="33" customFormat="1" ht="19.5" customHeight="1">
      <c r="A490" s="217" t="s">
        <v>164</v>
      </c>
      <c r="B490" s="213"/>
      <c r="C490" s="215" t="s">
        <v>204</v>
      </c>
      <c r="D490" s="215" t="s">
        <v>838</v>
      </c>
      <c r="E490" s="215" t="s">
        <v>913</v>
      </c>
      <c r="F490" s="219" t="s">
        <v>165</v>
      </c>
      <c r="G490" s="27">
        <v>9221</v>
      </c>
      <c r="H490" s="27">
        <v>9198.2999999999993</v>
      </c>
      <c r="I490" s="30">
        <f t="shared" si="18"/>
        <v>99.753822795792203</v>
      </c>
    </row>
    <row r="491" spans="1:9" s="33" customFormat="1" ht="35.25" customHeight="1">
      <c r="A491" s="94" t="s">
        <v>1065</v>
      </c>
      <c r="B491" s="142"/>
      <c r="C491" s="215" t="s">
        <v>204</v>
      </c>
      <c r="D491" s="215" t="s">
        <v>838</v>
      </c>
      <c r="E491" s="251" t="s">
        <v>28</v>
      </c>
      <c r="F491" s="140"/>
      <c r="G491" s="27">
        <f>SUM(G492)</f>
        <v>1194</v>
      </c>
      <c r="H491" s="27">
        <f>SUM(H492)</f>
        <v>1194</v>
      </c>
      <c r="I491" s="30">
        <f t="shared" si="18"/>
        <v>100</v>
      </c>
    </row>
    <row r="492" spans="1:9" s="33" customFormat="1" ht="19.5" customHeight="1">
      <c r="A492" s="124" t="s">
        <v>19</v>
      </c>
      <c r="B492" s="155"/>
      <c r="C492" s="215" t="s">
        <v>204</v>
      </c>
      <c r="D492" s="215" t="s">
        <v>838</v>
      </c>
      <c r="E492" s="251" t="s">
        <v>29</v>
      </c>
      <c r="F492" s="140"/>
      <c r="G492" s="27">
        <f>SUM(G493)</f>
        <v>1194</v>
      </c>
      <c r="H492" s="27">
        <f>SUM(H493)</f>
        <v>1194</v>
      </c>
      <c r="I492" s="30">
        <f t="shared" si="18"/>
        <v>100</v>
      </c>
    </row>
    <row r="493" spans="1:9" s="33" customFormat="1" ht="19.5" customHeight="1">
      <c r="A493" s="98" t="s">
        <v>207</v>
      </c>
      <c r="B493" s="142"/>
      <c r="C493" s="215" t="s">
        <v>204</v>
      </c>
      <c r="D493" s="215" t="s">
        <v>838</v>
      </c>
      <c r="E493" s="251" t="s">
        <v>29</v>
      </c>
      <c r="F493" s="140" t="s">
        <v>208</v>
      </c>
      <c r="G493" s="27">
        <v>1194</v>
      </c>
      <c r="H493" s="27">
        <v>1194</v>
      </c>
      <c r="I493" s="30">
        <f t="shared" si="18"/>
        <v>100</v>
      </c>
    </row>
    <row r="494" spans="1:9" s="33" customFormat="1" ht="19.5" hidden="1" customHeight="1">
      <c r="A494" s="217"/>
      <c r="B494" s="213"/>
      <c r="C494" s="215"/>
      <c r="D494" s="215"/>
      <c r="E494" s="215"/>
      <c r="F494" s="219"/>
      <c r="G494" s="27"/>
      <c r="H494" s="27"/>
      <c r="I494" s="30" t="e">
        <f t="shared" si="18"/>
        <v>#DIV/0!</v>
      </c>
    </row>
    <row r="495" spans="1:9" s="33" customFormat="1" ht="19.5" customHeight="1">
      <c r="A495" s="94" t="s">
        <v>30</v>
      </c>
      <c r="B495" s="142"/>
      <c r="C495" s="142" t="s">
        <v>204</v>
      </c>
      <c r="D495" s="142" t="s">
        <v>167</v>
      </c>
      <c r="E495" s="142"/>
      <c r="F495" s="140"/>
      <c r="G495" s="81">
        <f>SUM(G498+G515)+G496</f>
        <v>64754.399999999994</v>
      </c>
      <c r="H495" s="81">
        <f>SUM(H498+H515)+H496</f>
        <v>64138</v>
      </c>
      <c r="I495" s="30">
        <f t="shared" si="18"/>
        <v>99.048095573428213</v>
      </c>
    </row>
    <row r="496" spans="1:9" s="33" customFormat="1" ht="48.75" customHeight="1">
      <c r="A496" s="94" t="s">
        <v>1029</v>
      </c>
      <c r="B496" s="142"/>
      <c r="C496" s="142" t="s">
        <v>204</v>
      </c>
      <c r="D496" s="142" t="s">
        <v>167</v>
      </c>
      <c r="E496" s="142" t="s">
        <v>1030</v>
      </c>
      <c r="F496" s="140"/>
      <c r="G496" s="81">
        <f>SUM(G497)</f>
        <v>187.2</v>
      </c>
      <c r="H496" s="81">
        <f>SUM(H497)</f>
        <v>187</v>
      </c>
      <c r="I496" s="30">
        <f t="shared" si="18"/>
        <v>99.893162393162399</v>
      </c>
    </row>
    <row r="497" spans="1:11" s="33" customFormat="1" ht="19.5" customHeight="1">
      <c r="A497" s="217" t="s">
        <v>164</v>
      </c>
      <c r="B497" s="142"/>
      <c r="C497" s="142" t="s">
        <v>204</v>
      </c>
      <c r="D497" s="142" t="s">
        <v>167</v>
      </c>
      <c r="E497" s="142" t="s">
        <v>1030</v>
      </c>
      <c r="F497" s="140" t="s">
        <v>165</v>
      </c>
      <c r="G497" s="81">
        <v>187.2</v>
      </c>
      <c r="H497" s="81">
        <v>187</v>
      </c>
      <c r="I497" s="30">
        <f t="shared" si="18"/>
        <v>99.893162393162399</v>
      </c>
    </row>
    <row r="498" spans="1:11" s="33" customFormat="1" ht="16.5" customHeight="1">
      <c r="A498" s="94" t="s">
        <v>30</v>
      </c>
      <c r="B498" s="148"/>
      <c r="C498" s="142" t="s">
        <v>204</v>
      </c>
      <c r="D498" s="142" t="s">
        <v>167</v>
      </c>
      <c r="E498" s="148" t="s">
        <v>107</v>
      </c>
      <c r="F498" s="149"/>
      <c r="G498" s="81">
        <f>SUM(G499+G504+G509+G512)+G507</f>
        <v>63834.5</v>
      </c>
      <c r="H498" s="81">
        <f>SUM(H499+H504+H509+H512)+H507</f>
        <v>63218.3</v>
      </c>
      <c r="I498" s="30">
        <f t="shared" si="18"/>
        <v>99.034691271961094</v>
      </c>
    </row>
    <row r="499" spans="1:11" s="33" customFormat="1" ht="19.5" customHeight="1">
      <c r="A499" s="98" t="s">
        <v>108</v>
      </c>
      <c r="B499" s="148"/>
      <c r="C499" s="142" t="s">
        <v>204</v>
      </c>
      <c r="D499" s="142" t="s">
        <v>167</v>
      </c>
      <c r="E499" s="148" t="s">
        <v>109</v>
      </c>
      <c r="F499" s="149"/>
      <c r="G499" s="81">
        <f>SUM(G500:G502)</f>
        <v>45379.9</v>
      </c>
      <c r="H499" s="81">
        <f>SUM(H500:H502)</f>
        <v>45305.3</v>
      </c>
      <c r="I499" s="30">
        <f t="shared" si="18"/>
        <v>99.83561003880574</v>
      </c>
    </row>
    <row r="500" spans="1:11" s="33" customFormat="1" ht="15" hidden="1">
      <c r="A500" s="95" t="s">
        <v>943</v>
      </c>
      <c r="B500" s="148"/>
      <c r="C500" s="142" t="s">
        <v>204</v>
      </c>
      <c r="D500" s="142" t="s">
        <v>167</v>
      </c>
      <c r="E500" s="148" t="s">
        <v>109</v>
      </c>
      <c r="F500" s="149" t="s">
        <v>944</v>
      </c>
      <c r="G500" s="81"/>
      <c r="H500" s="81"/>
      <c r="I500" s="30" t="e">
        <f t="shared" si="18"/>
        <v>#DIV/0!</v>
      </c>
    </row>
    <row r="501" spans="1:11" s="33" customFormat="1" ht="19.5" customHeight="1">
      <c r="A501" s="95" t="s">
        <v>164</v>
      </c>
      <c r="B501" s="148"/>
      <c r="C501" s="142" t="s">
        <v>204</v>
      </c>
      <c r="D501" s="142" t="s">
        <v>167</v>
      </c>
      <c r="E501" s="148" t="s">
        <v>109</v>
      </c>
      <c r="F501" s="149" t="s">
        <v>165</v>
      </c>
      <c r="G501" s="81">
        <f>45339.4+540.5-500</f>
        <v>45379.9</v>
      </c>
      <c r="H501" s="81">
        <v>45305.3</v>
      </c>
      <c r="I501" s="30">
        <f t="shared" si="18"/>
        <v>99.83561003880574</v>
      </c>
      <c r="K501" s="132"/>
    </row>
    <row r="502" spans="1:11" s="25" customFormat="1" ht="42.75" hidden="1">
      <c r="A502" s="95" t="s">
        <v>1002</v>
      </c>
      <c r="B502" s="148"/>
      <c r="C502" s="142" t="s">
        <v>204</v>
      </c>
      <c r="D502" s="142" t="s">
        <v>167</v>
      </c>
      <c r="E502" s="148" t="s">
        <v>110</v>
      </c>
      <c r="F502" s="149"/>
      <c r="G502" s="81">
        <f>SUM(G503)</f>
        <v>0</v>
      </c>
      <c r="H502" s="81">
        <f>SUM(H503)</f>
        <v>0</v>
      </c>
      <c r="I502" s="30" t="e">
        <f t="shared" si="18"/>
        <v>#DIV/0!</v>
      </c>
    </row>
    <row r="503" spans="1:11" s="33" customFormat="1" ht="19.5" hidden="1" customHeight="1">
      <c r="A503" s="95" t="s">
        <v>164</v>
      </c>
      <c r="B503" s="148"/>
      <c r="C503" s="142" t="s">
        <v>204</v>
      </c>
      <c r="D503" s="142" t="s">
        <v>167</v>
      </c>
      <c r="E503" s="148" t="s">
        <v>110</v>
      </c>
      <c r="F503" s="149" t="s">
        <v>165</v>
      </c>
      <c r="G503" s="81"/>
      <c r="H503" s="81"/>
      <c r="I503" s="30" t="e">
        <f t="shared" si="18"/>
        <v>#DIV/0!</v>
      </c>
    </row>
    <row r="504" spans="1:11" ht="28.5" hidden="1">
      <c r="A504" s="98" t="s">
        <v>4</v>
      </c>
      <c r="B504" s="148"/>
      <c r="C504" s="142" t="s">
        <v>204</v>
      </c>
      <c r="D504" s="142" t="s">
        <v>167</v>
      </c>
      <c r="E504" s="148" t="s">
        <v>5</v>
      </c>
      <c r="F504" s="149"/>
      <c r="G504" s="81">
        <f>SUM(G506+G505)</f>
        <v>0</v>
      </c>
      <c r="H504" s="81">
        <f>SUM(H506+H505)</f>
        <v>0</v>
      </c>
      <c r="I504" s="30" t="e">
        <f t="shared" si="18"/>
        <v>#DIV/0!</v>
      </c>
    </row>
    <row r="505" spans="1:11" ht="19.5" hidden="1" customHeight="1">
      <c r="A505" s="95" t="s">
        <v>943</v>
      </c>
      <c r="B505" s="148"/>
      <c r="C505" s="142" t="s">
        <v>204</v>
      </c>
      <c r="D505" s="142" t="s">
        <v>167</v>
      </c>
      <c r="E505" s="148" t="s">
        <v>5</v>
      </c>
      <c r="F505" s="149" t="s">
        <v>944</v>
      </c>
      <c r="G505" s="81"/>
      <c r="H505" s="81"/>
      <c r="I505" s="30" t="e">
        <f t="shared" si="18"/>
        <v>#DIV/0!</v>
      </c>
    </row>
    <row r="506" spans="1:11" ht="19.5" hidden="1" customHeight="1">
      <c r="A506" s="95" t="s">
        <v>164</v>
      </c>
      <c r="B506" s="148"/>
      <c r="C506" s="142" t="s">
        <v>204</v>
      </c>
      <c r="D506" s="142" t="s">
        <v>167</v>
      </c>
      <c r="E506" s="148" t="s">
        <v>5</v>
      </c>
      <c r="F506" s="149" t="s">
        <v>165</v>
      </c>
      <c r="G506" s="81"/>
      <c r="H506" s="81"/>
      <c r="I506" s="30" t="e">
        <f t="shared" si="18"/>
        <v>#DIV/0!</v>
      </c>
    </row>
    <row r="507" spans="1:11" ht="19.5" hidden="1" customHeight="1">
      <c r="A507" s="95" t="s">
        <v>6</v>
      </c>
      <c r="B507" s="148"/>
      <c r="C507" s="142" t="s">
        <v>204</v>
      </c>
      <c r="D507" s="142" t="s">
        <v>167</v>
      </c>
      <c r="E507" s="148" t="s">
        <v>7</v>
      </c>
      <c r="F507" s="149"/>
      <c r="G507" s="81">
        <f>SUM(G508)</f>
        <v>0</v>
      </c>
      <c r="H507" s="81">
        <f>SUM(H508)</f>
        <v>0</v>
      </c>
      <c r="I507" s="30" t="e">
        <f t="shared" si="18"/>
        <v>#DIV/0!</v>
      </c>
    </row>
    <row r="508" spans="1:11" s="75" customFormat="1" ht="19.5" hidden="1" customHeight="1">
      <c r="A508" s="95" t="s">
        <v>164</v>
      </c>
      <c r="B508" s="148"/>
      <c r="C508" s="142" t="s">
        <v>204</v>
      </c>
      <c r="D508" s="142" t="s">
        <v>167</v>
      </c>
      <c r="E508" s="148" t="s">
        <v>7</v>
      </c>
      <c r="F508" s="149" t="s">
        <v>165</v>
      </c>
      <c r="G508" s="81"/>
      <c r="H508" s="81"/>
      <c r="I508" s="30" t="e">
        <f t="shared" si="18"/>
        <v>#DIV/0!</v>
      </c>
    </row>
    <row r="509" spans="1:11" s="75" customFormat="1" ht="18" customHeight="1">
      <c r="A509" s="98" t="s">
        <v>8</v>
      </c>
      <c r="B509" s="148"/>
      <c r="C509" s="142" t="s">
        <v>204</v>
      </c>
      <c r="D509" s="142" t="s">
        <v>167</v>
      </c>
      <c r="E509" s="148" t="s">
        <v>9</v>
      </c>
      <c r="F509" s="149"/>
      <c r="G509" s="81">
        <f>SUM(G511+G510)</f>
        <v>1700.7</v>
      </c>
      <c r="H509" s="81">
        <f>SUM(H511+H510)</f>
        <v>1700.7</v>
      </c>
      <c r="I509" s="30">
        <f t="shared" si="18"/>
        <v>100</v>
      </c>
    </row>
    <row r="510" spans="1:11" s="75" customFormat="1" ht="15" hidden="1">
      <c r="A510" s="95" t="s">
        <v>943</v>
      </c>
      <c r="B510" s="148"/>
      <c r="C510" s="142" t="s">
        <v>204</v>
      </c>
      <c r="D510" s="142" t="s">
        <v>167</v>
      </c>
      <c r="E510" s="148" t="s">
        <v>9</v>
      </c>
      <c r="F510" s="149" t="s">
        <v>944</v>
      </c>
      <c r="G510" s="81"/>
      <c r="H510" s="81"/>
      <c r="I510" s="30" t="e">
        <f t="shared" si="18"/>
        <v>#DIV/0!</v>
      </c>
    </row>
    <row r="511" spans="1:11" s="75" customFormat="1" ht="21.75" customHeight="1">
      <c r="A511" s="95" t="s">
        <v>164</v>
      </c>
      <c r="B511" s="148"/>
      <c r="C511" s="142" t="s">
        <v>204</v>
      </c>
      <c r="D511" s="142" t="s">
        <v>167</v>
      </c>
      <c r="E511" s="148" t="s">
        <v>9</v>
      </c>
      <c r="F511" s="149" t="s">
        <v>165</v>
      </c>
      <c r="G511" s="81">
        <v>1700.7</v>
      </c>
      <c r="H511" s="81">
        <v>1700.7</v>
      </c>
      <c r="I511" s="30">
        <f t="shared" si="18"/>
        <v>100</v>
      </c>
    </row>
    <row r="512" spans="1:11" s="75" customFormat="1" ht="15">
      <c r="A512" s="98" t="s">
        <v>10</v>
      </c>
      <c r="B512" s="148"/>
      <c r="C512" s="142" t="s">
        <v>204</v>
      </c>
      <c r="D512" s="142" t="s">
        <v>167</v>
      </c>
      <c r="E512" s="148" t="s">
        <v>11</v>
      </c>
      <c r="F512" s="149"/>
      <c r="G512" s="81">
        <f>SUM(G514+G513)</f>
        <v>16753.900000000001</v>
      </c>
      <c r="H512" s="81">
        <f>SUM(H514+H513)</f>
        <v>16212.3</v>
      </c>
      <c r="I512" s="30">
        <f t="shared" si="18"/>
        <v>96.767319847915999</v>
      </c>
    </row>
    <row r="513" spans="1:9" s="75" customFormat="1" ht="15" hidden="1">
      <c r="A513" s="95" t="s">
        <v>943</v>
      </c>
      <c r="B513" s="148"/>
      <c r="C513" s="142" t="s">
        <v>204</v>
      </c>
      <c r="D513" s="142" t="s">
        <v>167</v>
      </c>
      <c r="E513" s="148" t="s">
        <v>11</v>
      </c>
      <c r="F513" s="149" t="s">
        <v>944</v>
      </c>
      <c r="G513" s="81"/>
      <c r="H513" s="81"/>
      <c r="I513" s="30" t="e">
        <f t="shared" si="18"/>
        <v>#DIV/0!</v>
      </c>
    </row>
    <row r="514" spans="1:9" s="75" customFormat="1" ht="19.5" customHeight="1">
      <c r="A514" s="95" t="s">
        <v>164</v>
      </c>
      <c r="B514" s="148"/>
      <c r="C514" s="142" t="s">
        <v>204</v>
      </c>
      <c r="D514" s="142" t="s">
        <v>167</v>
      </c>
      <c r="E514" s="148" t="s">
        <v>11</v>
      </c>
      <c r="F514" s="149" t="s">
        <v>165</v>
      </c>
      <c r="G514" s="81">
        <v>16753.900000000001</v>
      </c>
      <c r="H514" s="81">
        <v>16212.3</v>
      </c>
      <c r="I514" s="30">
        <f t="shared" si="18"/>
        <v>96.767319847915999</v>
      </c>
    </row>
    <row r="515" spans="1:9" s="75" customFormat="1" ht="19.5" customHeight="1">
      <c r="A515" s="98" t="s">
        <v>200</v>
      </c>
      <c r="B515" s="148"/>
      <c r="C515" s="142" t="s">
        <v>204</v>
      </c>
      <c r="D515" s="142" t="s">
        <v>167</v>
      </c>
      <c r="E515" s="148" t="s">
        <v>201</v>
      </c>
      <c r="F515" s="149"/>
      <c r="G515" s="81">
        <f>SUM(G516,G520)</f>
        <v>732.7</v>
      </c>
      <c r="H515" s="81">
        <f>SUM(H516,H520)</f>
        <v>732.7</v>
      </c>
      <c r="I515" s="30">
        <f t="shared" si="18"/>
        <v>100</v>
      </c>
    </row>
    <row r="516" spans="1:9" s="75" customFormat="1" ht="19.5" hidden="1" customHeight="1">
      <c r="A516" s="95" t="s">
        <v>14</v>
      </c>
      <c r="B516" s="148"/>
      <c r="C516" s="142" t="s">
        <v>204</v>
      </c>
      <c r="D516" s="142" t="s">
        <v>167</v>
      </c>
      <c r="E516" s="148" t="s">
        <v>22</v>
      </c>
      <c r="F516" s="149"/>
      <c r="G516" s="81">
        <f>SUM(G518)+G517</f>
        <v>0</v>
      </c>
      <c r="H516" s="81">
        <f>SUM(H518)+H517</f>
        <v>0</v>
      </c>
      <c r="I516" s="30" t="e">
        <f t="shared" si="18"/>
        <v>#DIV/0!</v>
      </c>
    </row>
    <row r="517" spans="1:9" ht="15" hidden="1">
      <c r="A517" s="95" t="s">
        <v>164</v>
      </c>
      <c r="B517" s="148"/>
      <c r="C517" s="142" t="s">
        <v>204</v>
      </c>
      <c r="D517" s="142" t="s">
        <v>167</v>
      </c>
      <c r="E517" s="148" t="s">
        <v>22</v>
      </c>
      <c r="F517" s="139" t="s">
        <v>165</v>
      </c>
      <c r="G517" s="82"/>
      <c r="H517" s="82"/>
      <c r="I517" s="30" t="e">
        <f t="shared" si="18"/>
        <v>#DIV/0!</v>
      </c>
    </row>
    <row r="518" spans="1:9" ht="18.75" hidden="1" customHeight="1">
      <c r="A518" s="98" t="s">
        <v>12</v>
      </c>
      <c r="B518" s="153"/>
      <c r="C518" s="142" t="s">
        <v>204</v>
      </c>
      <c r="D518" s="142" t="s">
        <v>167</v>
      </c>
      <c r="E518" s="148" t="s">
        <v>13</v>
      </c>
      <c r="F518" s="149" t="s">
        <v>165</v>
      </c>
      <c r="G518" s="82"/>
      <c r="H518" s="82"/>
      <c r="I518" s="30" t="e">
        <f t="shared" si="18"/>
        <v>#DIV/0!</v>
      </c>
    </row>
    <row r="519" spans="1:9" ht="21" hidden="1" customHeight="1">
      <c r="A519" s="114" t="s">
        <v>64</v>
      </c>
      <c r="B519" s="153"/>
      <c r="C519" s="142" t="s">
        <v>204</v>
      </c>
      <c r="D519" s="142" t="s">
        <v>167</v>
      </c>
      <c r="E519" s="148" t="s">
        <v>65</v>
      </c>
      <c r="F519" s="149" t="s">
        <v>165</v>
      </c>
      <c r="G519" s="82"/>
      <c r="H519" s="82"/>
      <c r="I519" s="30" t="e">
        <f t="shared" si="18"/>
        <v>#DIV/0!</v>
      </c>
    </row>
    <row r="520" spans="1:9" ht="44.25" customHeight="1">
      <c r="A520" s="94" t="s">
        <v>239</v>
      </c>
      <c r="B520" s="138"/>
      <c r="C520" s="154" t="s">
        <v>204</v>
      </c>
      <c r="D520" s="154" t="s">
        <v>167</v>
      </c>
      <c r="E520" s="148" t="s">
        <v>240</v>
      </c>
      <c r="F520" s="140"/>
      <c r="G520" s="204">
        <f>SUM(G521)</f>
        <v>732.7</v>
      </c>
      <c r="H520" s="204">
        <f>SUM(H521)</f>
        <v>732.7</v>
      </c>
      <c r="I520" s="30">
        <f t="shared" si="18"/>
        <v>100</v>
      </c>
    </row>
    <row r="521" spans="1:9" s="25" customFormat="1" ht="25.5" customHeight="1">
      <c r="A521" s="95" t="s">
        <v>164</v>
      </c>
      <c r="B521" s="138"/>
      <c r="C521" s="154" t="s">
        <v>204</v>
      </c>
      <c r="D521" s="154" t="s">
        <v>167</v>
      </c>
      <c r="E521" s="148" t="s">
        <v>240</v>
      </c>
      <c r="F521" s="140" t="s">
        <v>165</v>
      </c>
      <c r="G521" s="204">
        <v>732.7</v>
      </c>
      <c r="H521" s="204">
        <v>732.7</v>
      </c>
      <c r="I521" s="30">
        <f t="shared" si="18"/>
        <v>100</v>
      </c>
    </row>
    <row r="522" spans="1:9" s="25" customFormat="1" ht="31.5" hidden="1" customHeight="1">
      <c r="A522" s="94" t="s">
        <v>42</v>
      </c>
      <c r="B522" s="142"/>
      <c r="C522" s="142" t="s">
        <v>204</v>
      </c>
      <c r="D522" s="142" t="s">
        <v>838</v>
      </c>
      <c r="E522" s="142"/>
      <c r="F522" s="140"/>
      <c r="G522" s="81">
        <f t="shared" ref="G522:H526" si="19">SUM(G523)</f>
        <v>0</v>
      </c>
      <c r="H522" s="81">
        <f t="shared" si="19"/>
        <v>0</v>
      </c>
      <c r="I522" s="30" t="e">
        <f t="shared" si="18"/>
        <v>#DIV/0!</v>
      </c>
    </row>
    <row r="523" spans="1:9" s="25" customFormat="1" ht="33" hidden="1" customHeight="1">
      <c r="A523" s="118" t="s">
        <v>578</v>
      </c>
      <c r="B523" s="142"/>
      <c r="C523" s="142" t="s">
        <v>204</v>
      </c>
      <c r="D523" s="142" t="s">
        <v>838</v>
      </c>
      <c r="E523" s="142" t="s">
        <v>44</v>
      </c>
      <c r="F523" s="140"/>
      <c r="G523" s="81">
        <f t="shared" si="19"/>
        <v>0</v>
      </c>
      <c r="H523" s="81">
        <f t="shared" si="19"/>
        <v>0</v>
      </c>
      <c r="I523" s="30" t="e">
        <f t="shared" si="18"/>
        <v>#DIV/0!</v>
      </c>
    </row>
    <row r="524" spans="1:9" s="25" customFormat="1" ht="15" hidden="1">
      <c r="A524" s="95" t="s">
        <v>953</v>
      </c>
      <c r="B524" s="142"/>
      <c r="C524" s="142" t="s">
        <v>204</v>
      </c>
      <c r="D524" s="142" t="s">
        <v>838</v>
      </c>
      <c r="E524" s="142" t="s">
        <v>237</v>
      </c>
      <c r="F524" s="140"/>
      <c r="G524" s="81">
        <f t="shared" si="19"/>
        <v>0</v>
      </c>
      <c r="H524" s="81">
        <f t="shared" si="19"/>
        <v>0</v>
      </c>
      <c r="I524" s="30" t="e">
        <f t="shared" si="18"/>
        <v>#DIV/0!</v>
      </c>
    </row>
    <row r="525" spans="1:9" s="25" customFormat="1" ht="14.25" hidden="1" customHeight="1">
      <c r="A525" s="95" t="s">
        <v>263</v>
      </c>
      <c r="B525" s="142"/>
      <c r="C525" s="142" t="s">
        <v>204</v>
      </c>
      <c r="D525" s="142" t="s">
        <v>838</v>
      </c>
      <c r="E525" s="142" t="s">
        <v>269</v>
      </c>
      <c r="F525" s="140"/>
      <c r="G525" s="81">
        <f t="shared" si="19"/>
        <v>0</v>
      </c>
      <c r="H525" s="81">
        <f t="shared" si="19"/>
        <v>0</v>
      </c>
      <c r="I525" s="30" t="e">
        <f t="shared" si="18"/>
        <v>#DIV/0!</v>
      </c>
    </row>
    <row r="526" spans="1:9" s="25" customFormat="1" ht="28.5" hidden="1">
      <c r="A526" s="94" t="s">
        <v>264</v>
      </c>
      <c r="B526" s="142"/>
      <c r="C526" s="142" t="s">
        <v>204</v>
      </c>
      <c r="D526" s="142" t="s">
        <v>838</v>
      </c>
      <c r="E526" s="142" t="s">
        <v>265</v>
      </c>
      <c r="F526" s="140"/>
      <c r="G526" s="81">
        <f t="shared" si="19"/>
        <v>0</v>
      </c>
      <c r="H526" s="81">
        <f t="shared" si="19"/>
        <v>0</v>
      </c>
      <c r="I526" s="30" t="e">
        <f t="shared" si="18"/>
        <v>#DIV/0!</v>
      </c>
    </row>
    <row r="527" spans="1:9" s="25" customFormat="1" ht="15" hidden="1">
      <c r="A527" s="94" t="s">
        <v>276</v>
      </c>
      <c r="B527" s="142"/>
      <c r="C527" s="142" t="s">
        <v>204</v>
      </c>
      <c r="D527" s="142" t="s">
        <v>838</v>
      </c>
      <c r="E527" s="142" t="s">
        <v>265</v>
      </c>
      <c r="F527" s="140" t="s">
        <v>132</v>
      </c>
      <c r="G527" s="81"/>
      <c r="H527" s="81"/>
      <c r="I527" s="30" t="e">
        <f t="shared" si="18"/>
        <v>#DIV/0!</v>
      </c>
    </row>
    <row r="528" spans="1:9" s="25" customFormat="1" ht="18" customHeight="1">
      <c r="A528" s="161" t="s">
        <v>66</v>
      </c>
      <c r="B528" s="142"/>
      <c r="C528" s="142" t="s">
        <v>204</v>
      </c>
      <c r="D528" s="142" t="s">
        <v>204</v>
      </c>
      <c r="E528" s="142"/>
      <c r="F528" s="140"/>
      <c r="G528" s="81">
        <f>SUM(G529+G532+G553+G541)+G549+G536</f>
        <v>18229.199999999997</v>
      </c>
      <c r="H528" s="81">
        <f>SUM(H529+H532+H553+H541)+H549+H536</f>
        <v>17326.2</v>
      </c>
      <c r="I528" s="30">
        <f t="shared" si="18"/>
        <v>95.046409057994879</v>
      </c>
    </row>
    <row r="529" spans="1:9" s="25" customFormat="1" ht="28.5" hidden="1" customHeight="1">
      <c r="A529" s="94" t="s">
        <v>502</v>
      </c>
      <c r="B529" s="142"/>
      <c r="C529" s="142" t="s">
        <v>204</v>
      </c>
      <c r="D529" s="142" t="s">
        <v>204</v>
      </c>
      <c r="E529" s="142" t="s">
        <v>783</v>
      </c>
      <c r="F529" s="140"/>
      <c r="G529" s="81">
        <f>SUM(G530+G533)</f>
        <v>0</v>
      </c>
      <c r="H529" s="81">
        <f>SUM(H530+H533)</f>
        <v>0</v>
      </c>
      <c r="I529" s="30" t="e">
        <f t="shared" si="18"/>
        <v>#DIV/0!</v>
      </c>
    </row>
    <row r="530" spans="1:9" s="25" customFormat="1" ht="28.5" hidden="1" customHeight="1">
      <c r="A530" s="94" t="s">
        <v>459</v>
      </c>
      <c r="B530" s="142"/>
      <c r="C530" s="142" t="s">
        <v>204</v>
      </c>
      <c r="D530" s="142" t="s">
        <v>204</v>
      </c>
      <c r="E530" s="142" t="s">
        <v>206</v>
      </c>
      <c r="F530" s="140"/>
      <c r="G530" s="81">
        <f>SUM(G531)</f>
        <v>0</v>
      </c>
      <c r="H530" s="81">
        <f>SUM(H531)</f>
        <v>0</v>
      </c>
      <c r="I530" s="30" t="e">
        <f t="shared" si="18"/>
        <v>#DIV/0!</v>
      </c>
    </row>
    <row r="531" spans="1:9" s="25" customFormat="1" ht="27" hidden="1" customHeight="1">
      <c r="A531" s="94" t="s">
        <v>70</v>
      </c>
      <c r="B531" s="142"/>
      <c r="C531" s="142" t="s">
        <v>204</v>
      </c>
      <c r="D531" s="142" t="s">
        <v>204</v>
      </c>
      <c r="E531" s="142" t="s">
        <v>206</v>
      </c>
      <c r="F531" s="140" t="s">
        <v>208</v>
      </c>
      <c r="G531" s="81"/>
      <c r="H531" s="81"/>
      <c r="I531" s="30" t="e">
        <f t="shared" si="18"/>
        <v>#DIV/0!</v>
      </c>
    </row>
    <row r="532" spans="1:9" s="25" customFormat="1" ht="15" hidden="1" customHeight="1">
      <c r="A532" s="99" t="s">
        <v>71</v>
      </c>
      <c r="B532" s="142"/>
      <c r="C532" s="142" t="s">
        <v>204</v>
      </c>
      <c r="D532" s="142" t="s">
        <v>204</v>
      </c>
      <c r="E532" s="142" t="s">
        <v>72</v>
      </c>
      <c r="F532" s="140"/>
      <c r="G532" s="81"/>
      <c r="H532" s="81"/>
      <c r="I532" s="30" t="e">
        <f t="shared" si="18"/>
        <v>#DIV/0!</v>
      </c>
    </row>
    <row r="533" spans="1:9" s="25" customFormat="1" ht="15" hidden="1" customHeight="1">
      <c r="A533" s="99" t="s">
        <v>784</v>
      </c>
      <c r="B533" s="142"/>
      <c r="C533" s="142" t="s">
        <v>204</v>
      </c>
      <c r="D533" s="142" t="s">
        <v>204</v>
      </c>
      <c r="E533" s="142" t="s">
        <v>67</v>
      </c>
      <c r="F533" s="140"/>
      <c r="G533" s="81">
        <f>SUM(G535)</f>
        <v>0</v>
      </c>
      <c r="H533" s="81">
        <f>SUM(H535)</f>
        <v>0</v>
      </c>
      <c r="I533" s="30" t="e">
        <f t="shared" si="18"/>
        <v>#DIV/0!</v>
      </c>
    </row>
    <row r="534" spans="1:9" s="25" customFormat="1" ht="33" hidden="1" customHeight="1">
      <c r="A534" s="99" t="s">
        <v>68</v>
      </c>
      <c r="B534" s="142"/>
      <c r="C534" s="142" t="s">
        <v>204</v>
      </c>
      <c r="D534" s="142" t="s">
        <v>204</v>
      </c>
      <c r="E534" s="142" t="s">
        <v>69</v>
      </c>
      <c r="F534" s="140"/>
      <c r="G534" s="81">
        <f>SUM(G535)</f>
        <v>0</v>
      </c>
      <c r="H534" s="81">
        <f>SUM(H535)</f>
        <v>0</v>
      </c>
      <c r="I534" s="30" t="e">
        <f t="shared" si="18"/>
        <v>#DIV/0!</v>
      </c>
    </row>
    <row r="535" spans="1:9" s="25" customFormat="1" ht="23.25" hidden="1" customHeight="1">
      <c r="A535" s="94" t="s">
        <v>70</v>
      </c>
      <c r="B535" s="142"/>
      <c r="C535" s="142" t="s">
        <v>204</v>
      </c>
      <c r="D535" s="142" t="s">
        <v>204</v>
      </c>
      <c r="E535" s="142" t="s">
        <v>69</v>
      </c>
      <c r="F535" s="140" t="s">
        <v>208</v>
      </c>
      <c r="G535" s="82"/>
      <c r="H535" s="82"/>
      <c r="I535" s="30" t="e">
        <f t="shared" si="18"/>
        <v>#DIV/0!</v>
      </c>
    </row>
    <row r="536" spans="1:9" s="25" customFormat="1" ht="23.25" customHeight="1">
      <c r="A536" s="118" t="s">
        <v>578</v>
      </c>
      <c r="B536" s="142"/>
      <c r="C536" s="142" t="s">
        <v>204</v>
      </c>
      <c r="D536" s="142" t="s">
        <v>204</v>
      </c>
      <c r="E536" s="142" t="s">
        <v>44</v>
      </c>
      <c r="F536" s="140"/>
      <c r="G536" s="82">
        <f t="shared" ref="G536:H539" si="20">SUM(G537)</f>
        <v>100</v>
      </c>
      <c r="H536" s="82">
        <f t="shared" si="20"/>
        <v>100</v>
      </c>
      <c r="I536" s="30">
        <f t="shared" si="18"/>
        <v>100</v>
      </c>
    </row>
    <row r="537" spans="1:9" s="25" customFormat="1" ht="23.25" customHeight="1">
      <c r="A537" s="95" t="s">
        <v>953</v>
      </c>
      <c r="B537" s="142"/>
      <c r="C537" s="142" t="s">
        <v>204</v>
      </c>
      <c r="D537" s="142" t="s">
        <v>204</v>
      </c>
      <c r="E537" s="142" t="s">
        <v>237</v>
      </c>
      <c r="F537" s="140"/>
      <c r="G537" s="82">
        <f t="shared" si="20"/>
        <v>100</v>
      </c>
      <c r="H537" s="82">
        <f t="shared" si="20"/>
        <v>100</v>
      </c>
      <c r="I537" s="30">
        <f t="shared" si="18"/>
        <v>100</v>
      </c>
    </row>
    <row r="538" spans="1:9" s="25" customFormat="1" ht="39" customHeight="1">
      <c r="A538" s="95" t="s">
        <v>263</v>
      </c>
      <c r="B538" s="142"/>
      <c r="C538" s="142" t="s">
        <v>204</v>
      </c>
      <c r="D538" s="142" t="s">
        <v>204</v>
      </c>
      <c r="E538" s="142" t="s">
        <v>269</v>
      </c>
      <c r="F538" s="139"/>
      <c r="G538" s="82">
        <f t="shared" si="20"/>
        <v>100</v>
      </c>
      <c r="H538" s="82">
        <f t="shared" si="20"/>
        <v>100</v>
      </c>
      <c r="I538" s="30">
        <f t="shared" si="18"/>
        <v>100</v>
      </c>
    </row>
    <row r="539" spans="1:9" s="25" customFormat="1" ht="23.25" customHeight="1">
      <c r="A539" s="95" t="s">
        <v>403</v>
      </c>
      <c r="B539" s="142"/>
      <c r="C539" s="142" t="s">
        <v>204</v>
      </c>
      <c r="D539" s="142" t="s">
        <v>204</v>
      </c>
      <c r="E539" s="142" t="s">
        <v>1028</v>
      </c>
      <c r="F539" s="139"/>
      <c r="G539" s="82">
        <f t="shared" si="20"/>
        <v>100</v>
      </c>
      <c r="H539" s="82">
        <f t="shared" si="20"/>
        <v>100</v>
      </c>
      <c r="I539" s="30">
        <f t="shared" si="18"/>
        <v>100</v>
      </c>
    </row>
    <row r="540" spans="1:9" s="25" customFormat="1" ht="23.25" customHeight="1">
      <c r="A540" s="95" t="s">
        <v>276</v>
      </c>
      <c r="B540" s="142"/>
      <c r="C540" s="142" t="s">
        <v>204</v>
      </c>
      <c r="D540" s="142" t="s">
        <v>204</v>
      </c>
      <c r="E540" s="142" t="s">
        <v>1028</v>
      </c>
      <c r="F540" s="139" t="s">
        <v>132</v>
      </c>
      <c r="G540" s="82">
        <v>100</v>
      </c>
      <c r="H540" s="82">
        <v>100</v>
      </c>
      <c r="I540" s="30">
        <f t="shared" si="18"/>
        <v>100</v>
      </c>
    </row>
    <row r="541" spans="1:9" s="25" customFormat="1" ht="15">
      <c r="A541" s="99" t="s">
        <v>932</v>
      </c>
      <c r="B541" s="155"/>
      <c r="C541" s="142" t="s">
        <v>204</v>
      </c>
      <c r="D541" s="142" t="s">
        <v>204</v>
      </c>
      <c r="E541" s="155" t="s">
        <v>933</v>
      </c>
      <c r="F541" s="140"/>
      <c r="G541" s="82">
        <f>SUM(G542+G547)</f>
        <v>4600</v>
      </c>
      <c r="H541" s="82">
        <f>SUM(H542+H547)</f>
        <v>4346.8</v>
      </c>
      <c r="I541" s="30">
        <f t="shared" si="18"/>
        <v>94.495652173913044</v>
      </c>
    </row>
    <row r="542" spans="1:9" s="25" customFormat="1" ht="42.75">
      <c r="A542" s="94" t="s">
        <v>1062</v>
      </c>
      <c r="B542" s="155"/>
      <c r="C542" s="142" t="s">
        <v>204</v>
      </c>
      <c r="D542" s="142" t="s">
        <v>204</v>
      </c>
      <c r="E542" s="155" t="s">
        <v>826</v>
      </c>
      <c r="F542" s="140"/>
      <c r="G542" s="82">
        <f>SUM(G543+G545)</f>
        <v>4600</v>
      </c>
      <c r="H542" s="82">
        <f>SUM(H543+H545)</f>
        <v>4346.8</v>
      </c>
      <c r="I542" s="30">
        <f t="shared" si="18"/>
        <v>94.495652173913044</v>
      </c>
    </row>
    <row r="543" spans="1:9" s="25" customFormat="1" ht="15">
      <c r="A543" s="99" t="s">
        <v>19</v>
      </c>
      <c r="B543" s="142"/>
      <c r="C543" s="142" t="s">
        <v>204</v>
      </c>
      <c r="D543" s="142" t="s">
        <v>204</v>
      </c>
      <c r="E543" s="155" t="s">
        <v>20</v>
      </c>
      <c r="F543" s="140"/>
      <c r="G543" s="82">
        <f>SUM(G544,G552)</f>
        <v>4600</v>
      </c>
      <c r="H543" s="82">
        <f>SUM(H544,H552)</f>
        <v>4346.8</v>
      </c>
      <c r="I543" s="30">
        <f t="shared" si="18"/>
        <v>94.495652173913044</v>
      </c>
    </row>
    <row r="544" spans="1:9" s="25" customFormat="1" ht="15">
      <c r="A544" s="94" t="s">
        <v>70</v>
      </c>
      <c r="B544" s="142"/>
      <c r="C544" s="142" t="s">
        <v>204</v>
      </c>
      <c r="D544" s="142" t="s">
        <v>204</v>
      </c>
      <c r="E544" s="155" t="s">
        <v>20</v>
      </c>
      <c r="F544" s="140" t="s">
        <v>208</v>
      </c>
      <c r="G544" s="82">
        <v>4600</v>
      </c>
      <c r="H544" s="82">
        <v>4346.8</v>
      </c>
      <c r="I544" s="30">
        <f t="shared" si="18"/>
        <v>94.495652173913044</v>
      </c>
    </row>
    <row r="545" spans="1:9" s="25" customFormat="1" ht="28.5" hidden="1">
      <c r="A545" s="94" t="s">
        <v>74</v>
      </c>
      <c r="B545" s="142"/>
      <c r="C545" s="142" t="s">
        <v>204</v>
      </c>
      <c r="D545" s="142" t="s">
        <v>204</v>
      </c>
      <c r="E545" s="155" t="s">
        <v>75</v>
      </c>
      <c r="F545" s="140"/>
      <c r="G545" s="82">
        <f>SUM(G546)</f>
        <v>0</v>
      </c>
      <c r="H545" s="82">
        <f>SUM(H546)</f>
        <v>0</v>
      </c>
      <c r="I545" s="30" t="e">
        <f t="shared" si="18"/>
        <v>#DIV/0!</v>
      </c>
    </row>
    <row r="546" spans="1:9" s="25" customFormat="1" ht="15" hidden="1">
      <c r="A546" s="94" t="s">
        <v>70</v>
      </c>
      <c r="B546" s="142"/>
      <c r="C546" s="142" t="s">
        <v>204</v>
      </c>
      <c r="D546" s="142" t="s">
        <v>204</v>
      </c>
      <c r="E546" s="155" t="s">
        <v>75</v>
      </c>
      <c r="F546" s="140" t="s">
        <v>208</v>
      </c>
      <c r="G546" s="82"/>
      <c r="H546" s="82"/>
      <c r="I546" s="30" t="e">
        <f t="shared" si="18"/>
        <v>#DIV/0!</v>
      </c>
    </row>
    <row r="547" spans="1:9" s="25" customFormat="1" ht="28.5" hidden="1">
      <c r="A547" s="94" t="s">
        <v>76</v>
      </c>
      <c r="B547" s="142"/>
      <c r="C547" s="142" t="s">
        <v>204</v>
      </c>
      <c r="D547" s="142" t="s">
        <v>204</v>
      </c>
      <c r="E547" s="155" t="s">
        <v>77</v>
      </c>
      <c r="F547" s="140"/>
      <c r="G547" s="82">
        <f>SUM(G548)</f>
        <v>0</v>
      </c>
      <c r="H547" s="82">
        <f>SUM(H548)</f>
        <v>0</v>
      </c>
      <c r="I547" s="30" t="e">
        <f t="shared" si="18"/>
        <v>#DIV/0!</v>
      </c>
    </row>
    <row r="548" spans="1:9" s="25" customFormat="1" ht="15" hidden="1">
      <c r="A548" s="94" t="s">
        <v>70</v>
      </c>
      <c r="B548" s="142"/>
      <c r="C548" s="142" t="s">
        <v>204</v>
      </c>
      <c r="D548" s="142" t="s">
        <v>204</v>
      </c>
      <c r="E548" s="155" t="s">
        <v>77</v>
      </c>
      <c r="F548" s="140" t="s">
        <v>208</v>
      </c>
      <c r="G548" s="82"/>
      <c r="H548" s="82"/>
      <c r="I548" s="30" t="e">
        <f t="shared" si="18"/>
        <v>#DIV/0!</v>
      </c>
    </row>
    <row r="549" spans="1:9" s="25" customFormat="1" ht="28.5" hidden="1">
      <c r="A549" s="94" t="s">
        <v>78</v>
      </c>
      <c r="B549" s="142"/>
      <c r="C549" s="142" t="s">
        <v>204</v>
      </c>
      <c r="D549" s="142" t="s">
        <v>204</v>
      </c>
      <c r="E549" s="155" t="s">
        <v>79</v>
      </c>
      <c r="F549" s="140"/>
      <c r="G549" s="82">
        <f>SUM(G550)</f>
        <v>0</v>
      </c>
      <c r="H549" s="82">
        <f>SUM(H550)</f>
        <v>0</v>
      </c>
      <c r="I549" s="30" t="e">
        <f t="shared" si="18"/>
        <v>#DIV/0!</v>
      </c>
    </row>
    <row r="550" spans="1:9" s="25" customFormat="1" ht="20.25" hidden="1" customHeight="1">
      <c r="A550" s="94" t="s">
        <v>80</v>
      </c>
      <c r="B550" s="142"/>
      <c r="C550" s="142" t="s">
        <v>204</v>
      </c>
      <c r="D550" s="142" t="s">
        <v>204</v>
      </c>
      <c r="E550" s="155" t="s">
        <v>81</v>
      </c>
      <c r="F550" s="140"/>
      <c r="G550" s="82">
        <f>SUM(G551)</f>
        <v>0</v>
      </c>
      <c r="H550" s="82">
        <f>SUM(H551)</f>
        <v>0</v>
      </c>
      <c r="I550" s="30" t="e">
        <f t="shared" si="18"/>
        <v>#DIV/0!</v>
      </c>
    </row>
    <row r="551" spans="1:9" s="25" customFormat="1" ht="34.5" hidden="1" customHeight="1">
      <c r="A551" s="94" t="s">
        <v>70</v>
      </c>
      <c r="B551" s="142"/>
      <c r="C551" s="142" t="s">
        <v>204</v>
      </c>
      <c r="D551" s="142" t="s">
        <v>204</v>
      </c>
      <c r="E551" s="155" t="s">
        <v>81</v>
      </c>
      <c r="F551" s="140" t="s">
        <v>208</v>
      </c>
      <c r="G551" s="82"/>
      <c r="H551" s="82"/>
      <c r="I551" s="30" t="e">
        <f t="shared" si="18"/>
        <v>#DIV/0!</v>
      </c>
    </row>
    <row r="552" spans="1:9" s="25" customFormat="1" ht="19.5" hidden="1" customHeight="1">
      <c r="A552" s="94" t="s">
        <v>164</v>
      </c>
      <c r="B552" s="142"/>
      <c r="C552" s="142" t="s">
        <v>204</v>
      </c>
      <c r="D552" s="142" t="s">
        <v>204</v>
      </c>
      <c r="E552" s="155" t="s">
        <v>20</v>
      </c>
      <c r="F552" s="140" t="s">
        <v>165</v>
      </c>
      <c r="G552" s="82"/>
      <c r="H552" s="82"/>
      <c r="I552" s="30" t="e">
        <f t="shared" ref="I552:I615" si="21">SUM(H552/G552*100)</f>
        <v>#DIV/0!</v>
      </c>
    </row>
    <row r="553" spans="1:9" s="25" customFormat="1" ht="14.25" customHeight="1">
      <c r="A553" s="94" t="s">
        <v>200</v>
      </c>
      <c r="B553" s="142"/>
      <c r="C553" s="142" t="s">
        <v>204</v>
      </c>
      <c r="D553" s="142" t="s">
        <v>204</v>
      </c>
      <c r="E553" s="142" t="s">
        <v>201</v>
      </c>
      <c r="F553" s="140"/>
      <c r="G553" s="81">
        <f>SUM(G554+G557+G563+G569+G560)</f>
        <v>13529.199999999999</v>
      </c>
      <c r="H553" s="81">
        <f>SUM(H554+H557+H563+H569+H560)</f>
        <v>12879.4</v>
      </c>
      <c r="I553" s="30">
        <f t="shared" si="21"/>
        <v>95.197055258256228</v>
      </c>
    </row>
    <row r="554" spans="1:9" s="25" customFormat="1" ht="28.5" hidden="1">
      <c r="A554" s="114" t="s">
        <v>1046</v>
      </c>
      <c r="B554" s="155"/>
      <c r="C554" s="155" t="s">
        <v>204</v>
      </c>
      <c r="D554" s="155" t="s">
        <v>204</v>
      </c>
      <c r="E554" s="155" t="s">
        <v>83</v>
      </c>
      <c r="F554" s="140"/>
      <c r="G554" s="185">
        <f>SUM(G555)</f>
        <v>0</v>
      </c>
      <c r="H554" s="185">
        <f>SUM(H555)</f>
        <v>0</v>
      </c>
      <c r="I554" s="30" t="e">
        <f t="shared" si="21"/>
        <v>#DIV/0!</v>
      </c>
    </row>
    <row r="555" spans="1:9" s="31" customFormat="1" ht="21" hidden="1" customHeight="1">
      <c r="A555" s="98" t="s">
        <v>207</v>
      </c>
      <c r="B555" s="155"/>
      <c r="C555" s="155" t="s">
        <v>204</v>
      </c>
      <c r="D555" s="155" t="s">
        <v>204</v>
      </c>
      <c r="E555" s="155" t="s">
        <v>83</v>
      </c>
      <c r="F555" s="140" t="s">
        <v>208</v>
      </c>
      <c r="G555" s="185"/>
      <c r="H555" s="185"/>
      <c r="I555" s="30" t="e">
        <f t="shared" si="21"/>
        <v>#DIV/0!</v>
      </c>
    </row>
    <row r="556" spans="1:9" s="25" customFormat="1" ht="42.75" hidden="1">
      <c r="A556" s="95" t="s">
        <v>954</v>
      </c>
      <c r="B556" s="155"/>
      <c r="C556" s="155" t="s">
        <v>204</v>
      </c>
      <c r="D556" s="155" t="s">
        <v>204</v>
      </c>
      <c r="E556" s="155" t="s">
        <v>83</v>
      </c>
      <c r="F556" s="162" t="s">
        <v>51</v>
      </c>
      <c r="G556" s="81"/>
      <c r="H556" s="81"/>
      <c r="I556" s="30" t="e">
        <f t="shared" si="21"/>
        <v>#DIV/0!</v>
      </c>
    </row>
    <row r="557" spans="1:9" s="25" customFormat="1" ht="28.5" customHeight="1">
      <c r="A557" s="147" t="s">
        <v>948</v>
      </c>
      <c r="B557" s="155"/>
      <c r="C557" s="155" t="s">
        <v>204</v>
      </c>
      <c r="D557" s="155" t="s">
        <v>204</v>
      </c>
      <c r="E557" s="155" t="s">
        <v>947</v>
      </c>
      <c r="F557" s="140"/>
      <c r="G557" s="82">
        <f>SUM(G558)+G559</f>
        <v>6485.5</v>
      </c>
      <c r="H557" s="82">
        <f>SUM(H558)+H559</f>
        <v>6485.5</v>
      </c>
      <c r="I557" s="30">
        <f t="shared" si="21"/>
        <v>100</v>
      </c>
    </row>
    <row r="558" spans="1:9" s="31" customFormat="1" ht="23.25" customHeight="1">
      <c r="A558" s="98" t="s">
        <v>207</v>
      </c>
      <c r="B558" s="148"/>
      <c r="C558" s="148" t="s">
        <v>204</v>
      </c>
      <c r="D558" s="148" t="s">
        <v>204</v>
      </c>
      <c r="E558" s="148" t="s">
        <v>947</v>
      </c>
      <c r="F558" s="139" t="s">
        <v>208</v>
      </c>
      <c r="G558" s="81">
        <v>2413</v>
      </c>
      <c r="H558" s="81">
        <v>2413</v>
      </c>
      <c r="I558" s="30">
        <f t="shared" si="21"/>
        <v>100</v>
      </c>
    </row>
    <row r="559" spans="1:9" s="25" customFormat="1" ht="21" customHeight="1">
      <c r="A559" s="95" t="s">
        <v>276</v>
      </c>
      <c r="B559" s="142"/>
      <c r="C559" s="142" t="s">
        <v>204</v>
      </c>
      <c r="D559" s="142" t="s">
        <v>204</v>
      </c>
      <c r="E559" s="142" t="s">
        <v>947</v>
      </c>
      <c r="F559" s="140" t="s">
        <v>132</v>
      </c>
      <c r="G559" s="81">
        <v>4072.5</v>
      </c>
      <c r="H559" s="81">
        <v>4072.5</v>
      </c>
      <c r="I559" s="30">
        <f t="shared" si="21"/>
        <v>100</v>
      </c>
    </row>
    <row r="560" spans="1:9" s="25" customFormat="1" ht="42.75">
      <c r="A560" s="147" t="s">
        <v>950</v>
      </c>
      <c r="B560" s="155"/>
      <c r="C560" s="155" t="s">
        <v>204</v>
      </c>
      <c r="D560" s="155" t="s">
        <v>204</v>
      </c>
      <c r="E560" s="155" t="s">
        <v>949</v>
      </c>
      <c r="F560" s="140"/>
      <c r="G560" s="82">
        <f>SUM(G561)</f>
        <v>500</v>
      </c>
      <c r="H560" s="82">
        <f>SUM(H561)</f>
        <v>500</v>
      </c>
      <c r="I560" s="30">
        <f t="shared" si="21"/>
        <v>100</v>
      </c>
    </row>
    <row r="561" spans="1:9" s="25" customFormat="1" ht="17.25" customHeight="1">
      <c r="A561" s="98" t="s">
        <v>207</v>
      </c>
      <c r="B561" s="148"/>
      <c r="C561" s="148" t="s">
        <v>204</v>
      </c>
      <c r="D561" s="148" t="s">
        <v>204</v>
      </c>
      <c r="E561" s="148" t="s">
        <v>949</v>
      </c>
      <c r="F561" s="139" t="s">
        <v>208</v>
      </c>
      <c r="G561" s="81">
        <v>500</v>
      </c>
      <c r="H561" s="81">
        <v>500</v>
      </c>
      <c r="I561" s="30">
        <f t="shared" si="21"/>
        <v>100</v>
      </c>
    </row>
    <row r="562" spans="1:9" s="25" customFormat="1" ht="14.25" hidden="1" customHeight="1">
      <c r="A562" s="95" t="s">
        <v>954</v>
      </c>
      <c r="B562" s="142"/>
      <c r="C562" s="142" t="s">
        <v>204</v>
      </c>
      <c r="D562" s="142" t="s">
        <v>204</v>
      </c>
      <c r="E562" s="142" t="s">
        <v>949</v>
      </c>
      <c r="F562" s="140" t="s">
        <v>51</v>
      </c>
      <c r="G562" s="81"/>
      <c r="H562" s="81"/>
      <c r="I562" s="30" t="e">
        <f t="shared" si="21"/>
        <v>#DIV/0!</v>
      </c>
    </row>
    <row r="563" spans="1:9" ht="28.5">
      <c r="A563" s="94" t="s">
        <v>1066</v>
      </c>
      <c r="B563" s="142"/>
      <c r="C563" s="142" t="s">
        <v>204</v>
      </c>
      <c r="D563" s="142" t="s">
        <v>204</v>
      </c>
      <c r="E563" s="142" t="s">
        <v>28</v>
      </c>
      <c r="F563" s="140"/>
      <c r="G563" s="81">
        <f>SUM(G564+G567)</f>
        <v>3105.8</v>
      </c>
      <c r="H563" s="81">
        <f>SUM(H564+H567)</f>
        <v>2456</v>
      </c>
      <c r="I563" s="30">
        <f t="shared" si="21"/>
        <v>79.077854337046816</v>
      </c>
    </row>
    <row r="564" spans="1:9" ht="15">
      <c r="A564" s="124" t="s">
        <v>19</v>
      </c>
      <c r="B564" s="155"/>
      <c r="C564" s="142" t="s">
        <v>204</v>
      </c>
      <c r="D564" s="142" t="s">
        <v>204</v>
      </c>
      <c r="E564" s="142" t="s">
        <v>29</v>
      </c>
      <c r="F564" s="140"/>
      <c r="G564" s="185">
        <f>SUM(G565)</f>
        <v>3105.8</v>
      </c>
      <c r="H564" s="185">
        <f>SUM(H565)</f>
        <v>2456</v>
      </c>
      <c r="I564" s="30">
        <f t="shared" si="21"/>
        <v>79.077854337046816</v>
      </c>
    </row>
    <row r="565" spans="1:9" ht="15">
      <c r="A565" s="98" t="s">
        <v>207</v>
      </c>
      <c r="B565" s="142"/>
      <c r="C565" s="142" t="s">
        <v>204</v>
      </c>
      <c r="D565" s="142" t="s">
        <v>204</v>
      </c>
      <c r="E565" s="142" t="s">
        <v>29</v>
      </c>
      <c r="F565" s="140" t="s">
        <v>208</v>
      </c>
      <c r="G565" s="82">
        <v>3105.8</v>
      </c>
      <c r="H565" s="82">
        <v>2456</v>
      </c>
      <c r="I565" s="30">
        <f t="shared" si="21"/>
        <v>79.077854337046816</v>
      </c>
    </row>
    <row r="566" spans="1:9" ht="15" hidden="1">
      <c r="A566" s="95" t="s">
        <v>164</v>
      </c>
      <c r="B566" s="148"/>
      <c r="C566" s="142" t="s">
        <v>204</v>
      </c>
      <c r="D566" s="142" t="s">
        <v>204</v>
      </c>
      <c r="E566" s="138" t="s">
        <v>29</v>
      </c>
      <c r="F566" s="149" t="s">
        <v>165</v>
      </c>
      <c r="G566" s="81"/>
      <c r="H566" s="81"/>
      <c r="I566" s="30" t="e">
        <f t="shared" si="21"/>
        <v>#DIV/0!</v>
      </c>
    </row>
    <row r="567" spans="1:9" ht="28.5" hidden="1">
      <c r="A567" s="98" t="s">
        <v>74</v>
      </c>
      <c r="B567" s="138"/>
      <c r="C567" s="142" t="s">
        <v>204</v>
      </c>
      <c r="D567" s="142" t="s">
        <v>204</v>
      </c>
      <c r="E567" s="138" t="s">
        <v>796</v>
      </c>
      <c r="F567" s="141"/>
      <c r="G567" s="81">
        <f>SUM(G568)</f>
        <v>0</v>
      </c>
      <c r="H567" s="81">
        <f>SUM(H568)</f>
        <v>0</v>
      </c>
      <c r="I567" s="30" t="e">
        <f t="shared" si="21"/>
        <v>#DIV/0!</v>
      </c>
    </row>
    <row r="568" spans="1:9" ht="20.25" hidden="1" customHeight="1">
      <c r="A568" s="98" t="s">
        <v>207</v>
      </c>
      <c r="B568" s="138"/>
      <c r="C568" s="142" t="s">
        <v>204</v>
      </c>
      <c r="D568" s="142" t="s">
        <v>204</v>
      </c>
      <c r="E568" s="138" t="s">
        <v>796</v>
      </c>
      <c r="F568" s="140" t="s">
        <v>208</v>
      </c>
      <c r="G568" s="82"/>
      <c r="H568" s="82"/>
      <c r="I568" s="30" t="e">
        <f t="shared" si="21"/>
        <v>#DIV/0!</v>
      </c>
    </row>
    <row r="569" spans="1:9" ht="35.25" customHeight="1">
      <c r="A569" s="98" t="s">
        <v>234</v>
      </c>
      <c r="B569" s="138"/>
      <c r="C569" s="142" t="s">
        <v>204</v>
      </c>
      <c r="D569" s="142" t="s">
        <v>204</v>
      </c>
      <c r="E569" s="148" t="s">
        <v>41</v>
      </c>
      <c r="F569" s="140"/>
      <c r="G569" s="82">
        <f>SUM(G570)</f>
        <v>3437.9</v>
      </c>
      <c r="H569" s="82">
        <f>SUM(H570)</f>
        <v>3437.9</v>
      </c>
      <c r="I569" s="30">
        <f t="shared" si="21"/>
        <v>100</v>
      </c>
    </row>
    <row r="570" spans="1:9" ht="15.75" customHeight="1">
      <c r="A570" s="98" t="s">
        <v>207</v>
      </c>
      <c r="B570" s="138"/>
      <c r="C570" s="142" t="s">
        <v>204</v>
      </c>
      <c r="D570" s="142" t="s">
        <v>204</v>
      </c>
      <c r="E570" s="148" t="s">
        <v>41</v>
      </c>
      <c r="F570" s="140" t="s">
        <v>208</v>
      </c>
      <c r="G570" s="82">
        <v>3437.9</v>
      </c>
      <c r="H570" s="82">
        <v>3437.9</v>
      </c>
      <c r="I570" s="30">
        <f t="shared" si="21"/>
        <v>100</v>
      </c>
    </row>
    <row r="571" spans="1:9" ht="15">
      <c r="A571" s="95" t="s">
        <v>85</v>
      </c>
      <c r="B571" s="138"/>
      <c r="C571" s="138" t="s">
        <v>732</v>
      </c>
      <c r="D571" s="138"/>
      <c r="E571" s="138"/>
      <c r="F571" s="139"/>
      <c r="G571" s="81">
        <f>SUM(G572)+G576</f>
        <v>7960.1999999999989</v>
      </c>
      <c r="H571" s="81">
        <f>SUM(H572)+H576</f>
        <v>7919.2000000000007</v>
      </c>
      <c r="I571" s="30">
        <f t="shared" si="21"/>
        <v>99.484937564382818</v>
      </c>
    </row>
    <row r="572" spans="1:9" ht="21.75" customHeight="1">
      <c r="A572" s="95" t="s">
        <v>86</v>
      </c>
      <c r="B572" s="138"/>
      <c r="C572" s="138" t="s">
        <v>732</v>
      </c>
      <c r="D572" s="138" t="s">
        <v>167</v>
      </c>
      <c r="E572" s="138"/>
      <c r="F572" s="139"/>
      <c r="G572" s="81">
        <f>SUM(G575)</f>
        <v>5292.4</v>
      </c>
      <c r="H572" s="81">
        <f>SUM(H575)</f>
        <v>5257.3</v>
      </c>
      <c r="I572" s="30">
        <f t="shared" si="21"/>
        <v>99.336784823520532</v>
      </c>
    </row>
    <row r="573" spans="1:9" ht="27.75" customHeight="1">
      <c r="A573" s="95" t="s">
        <v>87</v>
      </c>
      <c r="B573" s="138"/>
      <c r="C573" s="138" t="s">
        <v>732</v>
      </c>
      <c r="D573" s="138" t="s">
        <v>167</v>
      </c>
      <c r="E573" s="138" t="s">
        <v>88</v>
      </c>
      <c r="F573" s="139"/>
      <c r="G573" s="81">
        <f>SUM(G574)</f>
        <v>5292.4</v>
      </c>
      <c r="H573" s="81">
        <f>SUM(H574)</f>
        <v>5257.3</v>
      </c>
      <c r="I573" s="30">
        <f t="shared" si="21"/>
        <v>99.336784823520532</v>
      </c>
    </row>
    <row r="574" spans="1:9" ht="30.75" customHeight="1">
      <c r="A574" s="95" t="s">
        <v>48</v>
      </c>
      <c r="B574" s="160"/>
      <c r="C574" s="160" t="s">
        <v>732</v>
      </c>
      <c r="D574" s="160" t="s">
        <v>167</v>
      </c>
      <c r="E574" s="160" t="s">
        <v>89</v>
      </c>
      <c r="F574" s="141"/>
      <c r="G574" s="81">
        <f>SUM(G575)</f>
        <v>5292.4</v>
      </c>
      <c r="H574" s="81">
        <f>SUM(H575)</f>
        <v>5257.3</v>
      </c>
      <c r="I574" s="30">
        <f t="shared" si="21"/>
        <v>99.336784823520532</v>
      </c>
    </row>
    <row r="575" spans="1:9" ht="19.5" customHeight="1">
      <c r="A575" s="97" t="s">
        <v>49</v>
      </c>
      <c r="B575" s="138"/>
      <c r="C575" s="138" t="s">
        <v>732</v>
      </c>
      <c r="D575" s="138" t="s">
        <v>167</v>
      </c>
      <c r="E575" s="160" t="s">
        <v>89</v>
      </c>
      <c r="F575" s="141" t="s">
        <v>498</v>
      </c>
      <c r="G575" s="81">
        <v>5292.4</v>
      </c>
      <c r="H575" s="81">
        <v>5257.3</v>
      </c>
      <c r="I575" s="30">
        <f t="shared" si="21"/>
        <v>99.336784823520532</v>
      </c>
    </row>
    <row r="576" spans="1:9" ht="18.75" customHeight="1">
      <c r="A576" s="115" t="s">
        <v>90</v>
      </c>
      <c r="B576" s="138"/>
      <c r="C576" s="163" t="s">
        <v>732</v>
      </c>
      <c r="D576" s="163" t="s">
        <v>204</v>
      </c>
      <c r="E576" s="163"/>
      <c r="F576" s="164"/>
      <c r="G576" s="82">
        <f>SUM(G577+G580)</f>
        <v>2667.7999999999997</v>
      </c>
      <c r="H576" s="82">
        <f>SUM(H577+H580)</f>
        <v>2661.9</v>
      </c>
      <c r="I576" s="30">
        <f t="shared" si="21"/>
        <v>99.778843991303717</v>
      </c>
    </row>
    <row r="577" spans="1:9" ht="20.25" hidden="1" customHeight="1">
      <c r="A577" s="119" t="s">
        <v>932</v>
      </c>
      <c r="B577" s="138"/>
      <c r="C577" s="163" t="s">
        <v>732</v>
      </c>
      <c r="D577" s="163" t="s">
        <v>204</v>
      </c>
      <c r="E577" s="138" t="s">
        <v>933</v>
      </c>
      <c r="F577" s="164"/>
      <c r="G577" s="82">
        <f>SUM(G578)</f>
        <v>0</v>
      </c>
      <c r="H577" s="82">
        <f>SUM(H578)</f>
        <v>0</v>
      </c>
      <c r="I577" s="30" t="e">
        <f t="shared" si="21"/>
        <v>#DIV/0!</v>
      </c>
    </row>
    <row r="578" spans="1:9" ht="19.5" hidden="1" customHeight="1">
      <c r="A578" s="119" t="s">
        <v>91</v>
      </c>
      <c r="B578" s="138"/>
      <c r="C578" s="163" t="s">
        <v>732</v>
      </c>
      <c r="D578" s="163" t="s">
        <v>204</v>
      </c>
      <c r="E578" s="138" t="s">
        <v>92</v>
      </c>
      <c r="F578" s="141"/>
      <c r="G578" s="82">
        <f>SUM(G579)</f>
        <v>0</v>
      </c>
      <c r="H578" s="82">
        <f>SUM(H579)</f>
        <v>0</v>
      </c>
      <c r="I578" s="30" t="e">
        <f t="shared" si="21"/>
        <v>#DIV/0!</v>
      </c>
    </row>
    <row r="579" spans="1:9" ht="19.5" hidden="1" customHeight="1">
      <c r="A579" s="94" t="s">
        <v>70</v>
      </c>
      <c r="B579" s="138"/>
      <c r="C579" s="163" t="s">
        <v>732</v>
      </c>
      <c r="D579" s="163" t="s">
        <v>204</v>
      </c>
      <c r="E579" s="138" t="s">
        <v>92</v>
      </c>
      <c r="F579" s="141" t="s">
        <v>208</v>
      </c>
      <c r="G579" s="82"/>
      <c r="H579" s="82"/>
      <c r="I579" s="30" t="e">
        <f t="shared" si="21"/>
        <v>#DIV/0!</v>
      </c>
    </row>
    <row r="580" spans="1:9" ht="24.75" customHeight="1">
      <c r="A580" s="95" t="s">
        <v>200</v>
      </c>
      <c r="B580" s="138"/>
      <c r="C580" s="163" t="s">
        <v>732</v>
      </c>
      <c r="D580" s="163" t="s">
        <v>204</v>
      </c>
      <c r="E580" s="138" t="s">
        <v>201</v>
      </c>
      <c r="F580" s="164"/>
      <c r="G580" s="82">
        <f>SUM(G584+G588)</f>
        <v>2667.7999999999997</v>
      </c>
      <c r="H580" s="82">
        <f>SUM(H584+H588)</f>
        <v>2661.9</v>
      </c>
      <c r="I580" s="30">
        <f t="shared" si="21"/>
        <v>99.778843991303717</v>
      </c>
    </row>
    <row r="581" spans="1:9" ht="27.75" hidden="1" customHeight="1">
      <c r="A581" s="119" t="s">
        <v>93</v>
      </c>
      <c r="B581" s="138"/>
      <c r="C581" s="163" t="s">
        <v>732</v>
      </c>
      <c r="D581" s="163" t="s">
        <v>204</v>
      </c>
      <c r="E581" s="138" t="s">
        <v>201</v>
      </c>
      <c r="F581" s="164" t="s">
        <v>94</v>
      </c>
      <c r="G581" s="82"/>
      <c r="H581" s="82"/>
      <c r="I581" s="30" t="e">
        <f t="shared" si="21"/>
        <v>#DIV/0!</v>
      </c>
    </row>
    <row r="582" spans="1:9" ht="15" hidden="1">
      <c r="A582" s="125" t="s">
        <v>95</v>
      </c>
      <c r="B582" s="138"/>
      <c r="C582" s="163" t="s">
        <v>732</v>
      </c>
      <c r="D582" s="163" t="s">
        <v>204</v>
      </c>
      <c r="E582" s="143" t="s">
        <v>201</v>
      </c>
      <c r="F582" s="165" t="s">
        <v>94</v>
      </c>
      <c r="G582" s="186"/>
      <c r="H582" s="186"/>
      <c r="I582" s="30" t="e">
        <f t="shared" si="21"/>
        <v>#DIV/0!</v>
      </c>
    </row>
    <row r="583" spans="1:9" ht="21.75" hidden="1" customHeight="1">
      <c r="A583" s="97" t="s">
        <v>497</v>
      </c>
      <c r="B583" s="138"/>
      <c r="C583" s="163" t="s">
        <v>732</v>
      </c>
      <c r="D583" s="163" t="s">
        <v>204</v>
      </c>
      <c r="E583" s="163" t="s">
        <v>201</v>
      </c>
      <c r="F583" s="164" t="s">
        <v>498</v>
      </c>
      <c r="G583" s="82"/>
      <c r="H583" s="82"/>
      <c r="I583" s="30" t="e">
        <f t="shared" si="21"/>
        <v>#DIV/0!</v>
      </c>
    </row>
    <row r="584" spans="1:9" ht="15">
      <c r="A584" s="115" t="s">
        <v>899</v>
      </c>
      <c r="B584" s="138"/>
      <c r="C584" s="163" t="s">
        <v>732</v>
      </c>
      <c r="D584" s="163" t="s">
        <v>204</v>
      </c>
      <c r="E584" s="163" t="s">
        <v>96</v>
      </c>
      <c r="F584" s="164"/>
      <c r="G584" s="82">
        <f>SUM(G585:G587)</f>
        <v>2667.7999999999997</v>
      </c>
      <c r="H584" s="82">
        <f>SUM(H585:H587)</f>
        <v>2661.9</v>
      </c>
      <c r="I584" s="30">
        <f t="shared" si="21"/>
        <v>99.778843991303717</v>
      </c>
    </row>
    <row r="585" spans="1:9" ht="18.75" customHeight="1">
      <c r="A585" s="98" t="s">
        <v>207</v>
      </c>
      <c r="B585" s="138"/>
      <c r="C585" s="163" t="s">
        <v>732</v>
      </c>
      <c r="D585" s="163" t="s">
        <v>204</v>
      </c>
      <c r="E585" s="163" t="s">
        <v>96</v>
      </c>
      <c r="F585" s="141" t="s">
        <v>208</v>
      </c>
      <c r="G585" s="82">
        <v>564.1</v>
      </c>
      <c r="H585" s="82">
        <v>564.1</v>
      </c>
      <c r="I585" s="30">
        <f t="shared" si="21"/>
        <v>100</v>
      </c>
    </row>
    <row r="586" spans="1:9" ht="0.75" hidden="1" customHeight="1">
      <c r="A586" s="94" t="s">
        <v>943</v>
      </c>
      <c r="B586" s="138"/>
      <c r="C586" s="154" t="s">
        <v>732</v>
      </c>
      <c r="D586" s="154" t="s">
        <v>204</v>
      </c>
      <c r="E586" s="154" t="s">
        <v>776</v>
      </c>
      <c r="F586" s="140" t="s">
        <v>944</v>
      </c>
      <c r="G586" s="82">
        <f>1300-1300</f>
        <v>0</v>
      </c>
      <c r="H586" s="82">
        <f>1300-1300</f>
        <v>0</v>
      </c>
      <c r="I586" s="30" t="e">
        <f t="shared" si="21"/>
        <v>#DIV/0!</v>
      </c>
    </row>
    <row r="587" spans="1:9" ht="19.5" customHeight="1">
      <c r="A587" s="97" t="s">
        <v>97</v>
      </c>
      <c r="B587" s="138"/>
      <c r="C587" s="163" t="s">
        <v>732</v>
      </c>
      <c r="D587" s="163" t="s">
        <v>204</v>
      </c>
      <c r="E587" s="163" t="s">
        <v>96</v>
      </c>
      <c r="F587" s="164" t="s">
        <v>98</v>
      </c>
      <c r="G587" s="82">
        <v>2103.6999999999998</v>
      </c>
      <c r="H587" s="82">
        <v>2097.8000000000002</v>
      </c>
      <c r="I587" s="30">
        <f t="shared" si="21"/>
        <v>99.719541759756638</v>
      </c>
    </row>
    <row r="588" spans="1:9" ht="14.25" hidden="1" customHeight="1">
      <c r="A588" s="115" t="s">
        <v>99</v>
      </c>
      <c r="B588" s="138"/>
      <c r="C588" s="163" t="s">
        <v>732</v>
      </c>
      <c r="D588" s="163" t="s">
        <v>204</v>
      </c>
      <c r="E588" s="163" t="s">
        <v>100</v>
      </c>
      <c r="F588" s="164"/>
      <c r="G588" s="82">
        <f>SUM(G589:G590)</f>
        <v>0</v>
      </c>
      <c r="H588" s="82">
        <f>SUM(H589:H590)</f>
        <v>0</v>
      </c>
      <c r="I588" s="30" t="e">
        <f t="shared" si="21"/>
        <v>#DIV/0!</v>
      </c>
    </row>
    <row r="589" spans="1:9" ht="15" hidden="1">
      <c r="A589" s="94" t="s">
        <v>70</v>
      </c>
      <c r="B589" s="138"/>
      <c r="C589" s="163" t="s">
        <v>732</v>
      </c>
      <c r="D589" s="163" t="s">
        <v>204</v>
      </c>
      <c r="E589" s="163" t="s">
        <v>100</v>
      </c>
      <c r="F589" s="141" t="s">
        <v>208</v>
      </c>
      <c r="G589" s="82"/>
      <c r="H589" s="82"/>
      <c r="I589" s="30" t="e">
        <f t="shared" si="21"/>
        <v>#DIV/0!</v>
      </c>
    </row>
    <row r="590" spans="1:9" s="33" customFormat="1" ht="15.75" hidden="1" customHeight="1">
      <c r="A590" s="97" t="s">
        <v>97</v>
      </c>
      <c r="B590" s="138"/>
      <c r="C590" s="163" t="s">
        <v>732</v>
      </c>
      <c r="D590" s="163" t="s">
        <v>204</v>
      </c>
      <c r="E590" s="163" t="s">
        <v>100</v>
      </c>
      <c r="F590" s="164" t="s">
        <v>101</v>
      </c>
      <c r="G590" s="82"/>
      <c r="H590" s="82"/>
      <c r="I590" s="30" t="e">
        <f t="shared" si="21"/>
        <v>#DIV/0!</v>
      </c>
    </row>
    <row r="591" spans="1:9" s="33" customFormat="1" ht="21.75" customHeight="1">
      <c r="A591" s="95" t="s">
        <v>179</v>
      </c>
      <c r="B591" s="138"/>
      <c r="C591" s="163" t="s">
        <v>180</v>
      </c>
      <c r="D591" s="163"/>
      <c r="E591" s="163"/>
      <c r="F591" s="164"/>
      <c r="G591" s="82">
        <f>SUM(G592)+G606+G601</f>
        <v>120280</v>
      </c>
      <c r="H591" s="82">
        <f>SUM(H592)+H606+H601</f>
        <v>120280</v>
      </c>
      <c r="I591" s="30">
        <f t="shared" si="21"/>
        <v>100</v>
      </c>
    </row>
    <row r="592" spans="1:9" ht="18.75" hidden="1" customHeight="1">
      <c r="A592" s="95" t="s">
        <v>666</v>
      </c>
      <c r="B592" s="157"/>
      <c r="C592" s="154" t="s">
        <v>180</v>
      </c>
      <c r="D592" s="154" t="s">
        <v>836</v>
      </c>
      <c r="E592" s="154"/>
      <c r="F592" s="144"/>
      <c r="G592" s="81">
        <f>SUM(G596)+G593</f>
        <v>0</v>
      </c>
      <c r="H592" s="81">
        <f>SUM(H596)+H593</f>
        <v>0</v>
      </c>
      <c r="I592" s="30" t="e">
        <f t="shared" si="21"/>
        <v>#DIV/0!</v>
      </c>
    </row>
    <row r="593" spans="1:9" ht="15" hidden="1">
      <c r="A593" s="95" t="s">
        <v>932</v>
      </c>
      <c r="B593" s="109"/>
      <c r="C593" s="160" t="s">
        <v>180</v>
      </c>
      <c r="D593" s="160" t="s">
        <v>836</v>
      </c>
      <c r="E593" s="142" t="s">
        <v>933</v>
      </c>
      <c r="F593" s="141"/>
      <c r="G593" s="81">
        <f>SUM(G594)</f>
        <v>0</v>
      </c>
      <c r="H593" s="81">
        <f>SUM(H594)</f>
        <v>0</v>
      </c>
      <c r="I593" s="30" t="e">
        <f t="shared" si="21"/>
        <v>#DIV/0!</v>
      </c>
    </row>
    <row r="594" spans="1:9" ht="42.75" hidden="1">
      <c r="A594" s="95" t="s">
        <v>224</v>
      </c>
      <c r="B594" s="109"/>
      <c r="C594" s="160" t="s">
        <v>180</v>
      </c>
      <c r="D594" s="160" t="s">
        <v>836</v>
      </c>
      <c r="E594" s="142" t="s">
        <v>682</v>
      </c>
      <c r="F594" s="141"/>
      <c r="G594" s="81">
        <f>SUM(G595)</f>
        <v>0</v>
      </c>
      <c r="H594" s="81">
        <f>SUM(H595)</f>
        <v>0</v>
      </c>
      <c r="I594" s="30" t="e">
        <f t="shared" si="21"/>
        <v>#DIV/0!</v>
      </c>
    </row>
    <row r="595" spans="1:9" ht="15" hidden="1" customHeight="1">
      <c r="A595" s="98" t="s">
        <v>207</v>
      </c>
      <c r="B595" s="109"/>
      <c r="C595" s="160" t="s">
        <v>180</v>
      </c>
      <c r="D595" s="160" t="s">
        <v>836</v>
      </c>
      <c r="E595" s="142" t="s">
        <v>682</v>
      </c>
      <c r="F595" s="141" t="s">
        <v>208</v>
      </c>
      <c r="G595" s="81"/>
      <c r="H595" s="81"/>
      <c r="I595" s="30" t="e">
        <f t="shared" si="21"/>
        <v>#DIV/0!</v>
      </c>
    </row>
    <row r="596" spans="1:9" ht="15" hidden="1">
      <c r="A596" s="95" t="s">
        <v>200</v>
      </c>
      <c r="B596" s="157"/>
      <c r="C596" s="154" t="s">
        <v>180</v>
      </c>
      <c r="D596" s="154" t="s">
        <v>836</v>
      </c>
      <c r="E596" s="154" t="s">
        <v>201</v>
      </c>
      <c r="F596" s="144"/>
      <c r="G596" s="81">
        <f>SUM(G597)</f>
        <v>0</v>
      </c>
      <c r="H596" s="81">
        <f>SUM(H597)</f>
        <v>0</v>
      </c>
      <c r="I596" s="30" t="e">
        <f t="shared" si="21"/>
        <v>#DIV/0!</v>
      </c>
    </row>
    <row r="597" spans="1:9" ht="28.5" hidden="1">
      <c r="A597" s="95" t="s">
        <v>856</v>
      </c>
      <c r="B597" s="157"/>
      <c r="C597" s="154" t="s">
        <v>180</v>
      </c>
      <c r="D597" s="154" t="s">
        <v>836</v>
      </c>
      <c r="E597" s="154" t="s">
        <v>700</v>
      </c>
      <c r="F597" s="144"/>
      <c r="G597" s="81">
        <f>SUM(G598)</f>
        <v>0</v>
      </c>
      <c r="H597" s="81">
        <f>SUM(H598)</f>
        <v>0</v>
      </c>
      <c r="I597" s="30" t="e">
        <f t="shared" si="21"/>
        <v>#DIV/0!</v>
      </c>
    </row>
    <row r="598" spans="1:9" s="25" customFormat="1" ht="21" hidden="1" customHeight="1">
      <c r="A598" s="98" t="s">
        <v>207</v>
      </c>
      <c r="B598" s="109"/>
      <c r="C598" s="166" t="s">
        <v>180</v>
      </c>
      <c r="D598" s="166" t="s">
        <v>836</v>
      </c>
      <c r="E598" s="154" t="s">
        <v>700</v>
      </c>
      <c r="F598" s="167" t="s">
        <v>208</v>
      </c>
      <c r="G598" s="81"/>
      <c r="H598" s="81"/>
      <c r="I598" s="30" t="e">
        <f t="shared" si="21"/>
        <v>#DIV/0!</v>
      </c>
    </row>
    <row r="599" spans="1:9" s="25" customFormat="1" ht="21" hidden="1" customHeight="1">
      <c r="A599" s="98" t="s">
        <v>234</v>
      </c>
      <c r="B599" s="138"/>
      <c r="C599" s="142" t="s">
        <v>204</v>
      </c>
      <c r="D599" s="142" t="s">
        <v>204</v>
      </c>
      <c r="E599" s="148" t="s">
        <v>41</v>
      </c>
      <c r="F599" s="140"/>
      <c r="G599" s="82">
        <f>SUM(G600)</f>
        <v>0</v>
      </c>
      <c r="H599" s="82">
        <f>SUM(H600)</f>
        <v>0</v>
      </c>
      <c r="I599" s="30" t="e">
        <f t="shared" si="21"/>
        <v>#DIV/0!</v>
      </c>
    </row>
    <row r="600" spans="1:9" s="25" customFormat="1" ht="31.5" hidden="1" customHeight="1">
      <c r="A600" s="98" t="s">
        <v>207</v>
      </c>
      <c r="B600" s="138"/>
      <c r="C600" s="142" t="s">
        <v>204</v>
      </c>
      <c r="D600" s="142" t="s">
        <v>204</v>
      </c>
      <c r="E600" s="148" t="s">
        <v>41</v>
      </c>
      <c r="F600" s="140" t="s">
        <v>208</v>
      </c>
      <c r="G600" s="82"/>
      <c r="H600" s="82"/>
      <c r="I600" s="30" t="e">
        <f t="shared" si="21"/>
        <v>#DIV/0!</v>
      </c>
    </row>
    <row r="601" spans="1:9" s="25" customFormat="1" ht="33" hidden="1" customHeight="1">
      <c r="A601" s="94" t="s">
        <v>683</v>
      </c>
      <c r="B601" s="142"/>
      <c r="C601" s="142" t="s">
        <v>180</v>
      </c>
      <c r="D601" s="142" t="s">
        <v>838</v>
      </c>
      <c r="E601" s="142"/>
      <c r="F601" s="140"/>
      <c r="G601" s="81">
        <f t="shared" ref="G601:H604" si="22">SUM(G602)</f>
        <v>0</v>
      </c>
      <c r="H601" s="81">
        <f t="shared" si="22"/>
        <v>0</v>
      </c>
      <c r="I601" s="30" t="e">
        <f t="shared" si="21"/>
        <v>#DIV/0!</v>
      </c>
    </row>
    <row r="602" spans="1:9" s="25" customFormat="1" ht="15" hidden="1">
      <c r="A602" s="161" t="s">
        <v>266</v>
      </c>
      <c r="B602" s="142"/>
      <c r="C602" s="142" t="s">
        <v>180</v>
      </c>
      <c r="D602" s="142" t="s">
        <v>838</v>
      </c>
      <c r="E602" s="142" t="s">
        <v>687</v>
      </c>
      <c r="F602" s="140"/>
      <c r="G602" s="81">
        <f t="shared" si="22"/>
        <v>0</v>
      </c>
      <c r="H602" s="81">
        <f t="shared" si="22"/>
        <v>0</v>
      </c>
      <c r="I602" s="30" t="e">
        <f t="shared" si="21"/>
        <v>#DIV/0!</v>
      </c>
    </row>
    <row r="603" spans="1:9" ht="15" hidden="1">
      <c r="A603" s="94" t="s">
        <v>953</v>
      </c>
      <c r="B603" s="142"/>
      <c r="C603" s="142" t="s">
        <v>180</v>
      </c>
      <c r="D603" s="142" t="s">
        <v>838</v>
      </c>
      <c r="E603" s="142" t="s">
        <v>141</v>
      </c>
      <c r="F603" s="140"/>
      <c r="G603" s="81">
        <f t="shared" si="22"/>
        <v>0</v>
      </c>
      <c r="H603" s="81">
        <f t="shared" si="22"/>
        <v>0</v>
      </c>
      <c r="I603" s="30" t="e">
        <f t="shared" si="21"/>
        <v>#DIV/0!</v>
      </c>
    </row>
    <row r="604" spans="1:9" ht="28.5" hidden="1">
      <c r="A604" s="94" t="s">
        <v>268</v>
      </c>
      <c r="B604" s="142"/>
      <c r="C604" s="142" t="s">
        <v>180</v>
      </c>
      <c r="D604" s="142" t="s">
        <v>838</v>
      </c>
      <c r="E604" s="142" t="s">
        <v>267</v>
      </c>
      <c r="F604" s="140"/>
      <c r="G604" s="81">
        <f t="shared" si="22"/>
        <v>0</v>
      </c>
      <c r="H604" s="81">
        <f t="shared" si="22"/>
        <v>0</v>
      </c>
      <c r="I604" s="30" t="e">
        <f t="shared" si="21"/>
        <v>#DIV/0!</v>
      </c>
    </row>
    <row r="605" spans="1:9" ht="15" hidden="1">
      <c r="A605" s="94" t="s">
        <v>276</v>
      </c>
      <c r="B605" s="142"/>
      <c r="C605" s="142" t="s">
        <v>180</v>
      </c>
      <c r="D605" s="142" t="s">
        <v>838</v>
      </c>
      <c r="E605" s="142" t="s">
        <v>267</v>
      </c>
      <c r="F605" s="140" t="s">
        <v>132</v>
      </c>
      <c r="G605" s="81"/>
      <c r="H605" s="81"/>
      <c r="I605" s="30" t="e">
        <f t="shared" si="21"/>
        <v>#DIV/0!</v>
      </c>
    </row>
    <row r="606" spans="1:9" ht="15">
      <c r="A606" s="95" t="s">
        <v>458</v>
      </c>
      <c r="B606" s="138"/>
      <c r="C606" s="142" t="s">
        <v>180</v>
      </c>
      <c r="D606" s="142" t="s">
        <v>603</v>
      </c>
      <c r="E606" s="142"/>
      <c r="F606" s="140"/>
      <c r="G606" s="81">
        <f>SUM(G610)+G607</f>
        <v>120280</v>
      </c>
      <c r="H606" s="81">
        <f>SUM(H610)+H607</f>
        <v>120280</v>
      </c>
      <c r="I606" s="30">
        <f t="shared" si="21"/>
        <v>100</v>
      </c>
    </row>
    <row r="607" spans="1:9" ht="15">
      <c r="A607" s="95" t="s">
        <v>932</v>
      </c>
      <c r="B607" s="138"/>
      <c r="C607" s="142" t="s">
        <v>180</v>
      </c>
      <c r="D607" s="142" t="s">
        <v>603</v>
      </c>
      <c r="E607" s="142" t="s">
        <v>933</v>
      </c>
      <c r="F607" s="140"/>
      <c r="G607" s="81">
        <f>SUM(G608)</f>
        <v>110000</v>
      </c>
      <c r="H607" s="81">
        <f>SUM(H608)</f>
        <v>110000</v>
      </c>
      <c r="I607" s="30">
        <f t="shared" si="21"/>
        <v>100</v>
      </c>
    </row>
    <row r="608" spans="1:9" ht="28.5">
      <c r="A608" s="95" t="s">
        <v>1031</v>
      </c>
      <c r="B608" s="138"/>
      <c r="C608" s="142" t="s">
        <v>180</v>
      </c>
      <c r="D608" s="142" t="s">
        <v>603</v>
      </c>
      <c r="E608" s="142" t="s">
        <v>77</v>
      </c>
      <c r="F608" s="140"/>
      <c r="G608" s="81">
        <f>SUM(G609)</f>
        <v>110000</v>
      </c>
      <c r="H608" s="81">
        <f>SUM(H609)</f>
        <v>110000</v>
      </c>
      <c r="I608" s="30">
        <f t="shared" si="21"/>
        <v>100</v>
      </c>
    </row>
    <row r="609" spans="1:9" ht="15">
      <c r="A609" s="98" t="s">
        <v>207</v>
      </c>
      <c r="B609" s="138"/>
      <c r="C609" s="142" t="s">
        <v>180</v>
      </c>
      <c r="D609" s="142" t="s">
        <v>603</v>
      </c>
      <c r="E609" s="142" t="s">
        <v>77</v>
      </c>
      <c r="F609" s="140" t="s">
        <v>208</v>
      </c>
      <c r="G609" s="81">
        <v>110000</v>
      </c>
      <c r="H609" s="81">
        <v>110000</v>
      </c>
      <c r="I609" s="30">
        <f t="shared" si="21"/>
        <v>100</v>
      </c>
    </row>
    <row r="610" spans="1:9" ht="15">
      <c r="A610" s="97" t="s">
        <v>200</v>
      </c>
      <c r="B610" s="168"/>
      <c r="C610" s="142" t="s">
        <v>180</v>
      </c>
      <c r="D610" s="142" t="s">
        <v>603</v>
      </c>
      <c r="E610" s="142" t="s">
        <v>201</v>
      </c>
      <c r="F610" s="141"/>
      <c r="G610" s="81">
        <f>SUM(G611)</f>
        <v>10280</v>
      </c>
      <c r="H610" s="81">
        <f>SUM(H611)</f>
        <v>10280</v>
      </c>
      <c r="I610" s="30">
        <f t="shared" si="21"/>
        <v>100</v>
      </c>
    </row>
    <row r="611" spans="1:9" s="25" customFormat="1" ht="35.25" customHeight="1">
      <c r="A611" s="98" t="s">
        <v>234</v>
      </c>
      <c r="B611" s="109"/>
      <c r="C611" s="142" t="s">
        <v>180</v>
      </c>
      <c r="D611" s="142" t="s">
        <v>603</v>
      </c>
      <c r="E611" s="142" t="s">
        <v>41</v>
      </c>
      <c r="F611" s="167"/>
      <c r="G611" s="81">
        <f>SUM(G612)</f>
        <v>10280</v>
      </c>
      <c r="H611" s="81">
        <f>SUM(H612)</f>
        <v>10280</v>
      </c>
      <c r="I611" s="30">
        <f t="shared" si="21"/>
        <v>100</v>
      </c>
    </row>
    <row r="612" spans="1:9" s="25" customFormat="1" ht="19.5" customHeight="1">
      <c r="A612" s="98" t="s">
        <v>207</v>
      </c>
      <c r="B612" s="109"/>
      <c r="C612" s="142" t="s">
        <v>180</v>
      </c>
      <c r="D612" s="142" t="s">
        <v>603</v>
      </c>
      <c r="E612" s="142" t="s">
        <v>41</v>
      </c>
      <c r="F612" s="167" t="s">
        <v>208</v>
      </c>
      <c r="G612" s="81">
        <v>10280</v>
      </c>
      <c r="H612" s="81">
        <v>10280</v>
      </c>
      <c r="I612" s="30">
        <f t="shared" si="21"/>
        <v>100</v>
      </c>
    </row>
    <row r="613" spans="1:9" s="2" customFormat="1" ht="19.5" hidden="1" customHeight="1">
      <c r="A613" s="98"/>
      <c r="B613" s="109"/>
      <c r="C613" s="166"/>
      <c r="D613" s="166"/>
      <c r="E613" s="154"/>
      <c r="F613" s="167"/>
      <c r="G613" s="81"/>
      <c r="H613" s="81"/>
      <c r="I613" s="30" t="e">
        <f t="shared" si="21"/>
        <v>#DIV/0!</v>
      </c>
    </row>
    <row r="614" spans="1:9" s="2" customFormat="1" ht="19.5" hidden="1" customHeight="1">
      <c r="A614" s="95" t="s">
        <v>650</v>
      </c>
      <c r="B614" s="138"/>
      <c r="C614" s="138" t="s">
        <v>603</v>
      </c>
      <c r="D614" s="138"/>
      <c r="E614" s="138"/>
      <c r="F614" s="139"/>
      <c r="G614" s="81">
        <f>SUM(G615+G638+G629+G625+G621)</f>
        <v>0</v>
      </c>
      <c r="H614" s="81">
        <f>SUM(H615+H638+H629+H625+H621)</f>
        <v>0</v>
      </c>
      <c r="I614" s="30" t="e">
        <f t="shared" si="21"/>
        <v>#DIV/0!</v>
      </c>
    </row>
    <row r="615" spans="1:9" s="2" customFormat="1" ht="15" hidden="1">
      <c r="A615" s="95" t="s">
        <v>319</v>
      </c>
      <c r="B615" s="138"/>
      <c r="C615" s="142" t="s">
        <v>603</v>
      </c>
      <c r="D615" s="142" t="s">
        <v>836</v>
      </c>
      <c r="E615" s="142"/>
      <c r="F615" s="140"/>
      <c r="G615" s="81">
        <f>SUM(G618)+G616</f>
        <v>0</v>
      </c>
      <c r="H615" s="81">
        <f>SUM(H618)+H616</f>
        <v>0</v>
      </c>
      <c r="I615" s="30" t="e">
        <f t="shared" si="21"/>
        <v>#DIV/0!</v>
      </c>
    </row>
    <row r="616" spans="1:9" s="2" customFormat="1" ht="19.5" hidden="1" customHeight="1">
      <c r="A616" s="95" t="s">
        <v>728</v>
      </c>
      <c r="B616" s="138"/>
      <c r="C616" s="142" t="s">
        <v>603</v>
      </c>
      <c r="D616" s="142" t="s">
        <v>836</v>
      </c>
      <c r="E616" s="142" t="s">
        <v>729</v>
      </c>
      <c r="F616" s="140"/>
      <c r="G616" s="81">
        <f>SUM(G617)</f>
        <v>0</v>
      </c>
      <c r="H616" s="81">
        <f>SUM(H617)</f>
        <v>0</v>
      </c>
      <c r="I616" s="30" t="e">
        <f t="shared" ref="I616:I679" si="23">SUM(H616/G616*100)</f>
        <v>#DIV/0!</v>
      </c>
    </row>
    <row r="617" spans="1:9" s="2" customFormat="1" ht="19.5" hidden="1" customHeight="1">
      <c r="A617" s="97" t="s">
        <v>497</v>
      </c>
      <c r="B617" s="138"/>
      <c r="C617" s="142" t="s">
        <v>603</v>
      </c>
      <c r="D617" s="142" t="s">
        <v>836</v>
      </c>
      <c r="E617" s="142" t="s">
        <v>729</v>
      </c>
      <c r="F617" s="140" t="s">
        <v>498</v>
      </c>
      <c r="G617" s="81"/>
      <c r="H617" s="81"/>
      <c r="I617" s="30" t="e">
        <f t="shared" si="23"/>
        <v>#DIV/0!</v>
      </c>
    </row>
    <row r="618" spans="1:9" s="2" customFormat="1" ht="15" hidden="1">
      <c r="A618" s="95" t="s">
        <v>356</v>
      </c>
      <c r="B618" s="138"/>
      <c r="C618" s="142" t="s">
        <v>603</v>
      </c>
      <c r="D618" s="142" t="s">
        <v>836</v>
      </c>
      <c r="E618" s="142" t="s">
        <v>323</v>
      </c>
      <c r="F618" s="140"/>
      <c r="G618" s="81">
        <f>SUM(G619)</f>
        <v>0</v>
      </c>
      <c r="H618" s="81">
        <f>SUM(H619)</f>
        <v>0</v>
      </c>
      <c r="I618" s="30" t="e">
        <f t="shared" si="23"/>
        <v>#DIV/0!</v>
      </c>
    </row>
    <row r="619" spans="1:9" s="2" customFormat="1" ht="15" hidden="1">
      <c r="A619" s="95" t="s">
        <v>495</v>
      </c>
      <c r="B619" s="138"/>
      <c r="C619" s="142" t="s">
        <v>603</v>
      </c>
      <c r="D619" s="142" t="s">
        <v>836</v>
      </c>
      <c r="E619" s="142" t="s">
        <v>324</v>
      </c>
      <c r="F619" s="140"/>
      <c r="G619" s="81">
        <f>SUM(G620)</f>
        <v>0</v>
      </c>
      <c r="H619" s="81">
        <f>SUM(H620)</f>
        <v>0</v>
      </c>
      <c r="I619" s="30" t="e">
        <f t="shared" si="23"/>
        <v>#DIV/0!</v>
      </c>
    </row>
    <row r="620" spans="1:9" s="2" customFormat="1" ht="15" hidden="1">
      <c r="A620" s="97" t="s">
        <v>497</v>
      </c>
      <c r="B620" s="160"/>
      <c r="C620" s="160" t="s">
        <v>603</v>
      </c>
      <c r="D620" s="160" t="s">
        <v>836</v>
      </c>
      <c r="E620" s="160" t="s">
        <v>324</v>
      </c>
      <c r="F620" s="141" t="s">
        <v>498</v>
      </c>
      <c r="G620" s="81"/>
      <c r="H620" s="81"/>
      <c r="I620" s="30" t="e">
        <f t="shared" si="23"/>
        <v>#DIV/0!</v>
      </c>
    </row>
    <row r="621" spans="1:9" s="2" customFormat="1" ht="15" hidden="1">
      <c r="A621" s="95" t="s">
        <v>476</v>
      </c>
      <c r="B621" s="138"/>
      <c r="C621" s="142" t="s">
        <v>603</v>
      </c>
      <c r="D621" s="142" t="s">
        <v>838</v>
      </c>
      <c r="E621" s="142"/>
      <c r="F621" s="140"/>
      <c r="G621" s="81">
        <f>SUM(G622)</f>
        <v>0</v>
      </c>
      <c r="H621" s="81">
        <f>SUM(H622)</f>
        <v>0</v>
      </c>
      <c r="I621" s="30" t="e">
        <f t="shared" si="23"/>
        <v>#DIV/0!</v>
      </c>
    </row>
    <row r="622" spans="1:9" s="2" customFormat="1" ht="19.5" hidden="1" customHeight="1">
      <c r="A622" s="95" t="s">
        <v>356</v>
      </c>
      <c r="B622" s="138"/>
      <c r="C622" s="142" t="s">
        <v>603</v>
      </c>
      <c r="D622" s="142" t="s">
        <v>838</v>
      </c>
      <c r="E622" s="142" t="s">
        <v>323</v>
      </c>
      <c r="F622" s="140"/>
      <c r="G622" s="81">
        <f>SUM(G623)</f>
        <v>0</v>
      </c>
      <c r="H622" s="81">
        <f>SUM(H623)</f>
        <v>0</v>
      </c>
      <c r="I622" s="30" t="e">
        <f t="shared" si="23"/>
        <v>#DIV/0!</v>
      </c>
    </row>
    <row r="623" spans="1:9" s="2" customFormat="1" ht="15" hidden="1">
      <c r="A623" s="95" t="s">
        <v>495</v>
      </c>
      <c r="B623" s="138"/>
      <c r="C623" s="142" t="s">
        <v>603</v>
      </c>
      <c r="D623" s="142" t="s">
        <v>838</v>
      </c>
      <c r="E623" s="142" t="s">
        <v>324</v>
      </c>
      <c r="F623" s="140"/>
      <c r="G623" s="81">
        <f>SUM(G624:G627)</f>
        <v>0</v>
      </c>
      <c r="H623" s="81">
        <f>SUM(H624:H627)</f>
        <v>0</v>
      </c>
      <c r="I623" s="30" t="e">
        <f t="shared" si="23"/>
        <v>#DIV/0!</v>
      </c>
    </row>
    <row r="624" spans="1:9" s="25" customFormat="1" ht="19.5" hidden="1" customHeight="1">
      <c r="A624" s="97" t="s">
        <v>497</v>
      </c>
      <c r="B624" s="138"/>
      <c r="C624" s="142" t="s">
        <v>603</v>
      </c>
      <c r="D624" s="142" t="s">
        <v>838</v>
      </c>
      <c r="E624" s="142" t="s">
        <v>324</v>
      </c>
      <c r="F624" s="140" t="s">
        <v>498</v>
      </c>
      <c r="G624" s="81"/>
      <c r="H624" s="81"/>
      <c r="I624" s="30" t="e">
        <f t="shared" si="23"/>
        <v>#DIV/0!</v>
      </c>
    </row>
    <row r="625" spans="1:9" s="25" customFormat="1" ht="19.5" hidden="1" customHeight="1">
      <c r="A625" s="97" t="s">
        <v>486</v>
      </c>
      <c r="B625" s="138"/>
      <c r="C625" s="142" t="s">
        <v>603</v>
      </c>
      <c r="D625" s="142" t="s">
        <v>191</v>
      </c>
      <c r="E625" s="142"/>
      <c r="F625" s="140"/>
      <c r="G625" s="81">
        <f t="shared" ref="G625:H627" si="24">SUM(G626)</f>
        <v>0</v>
      </c>
      <c r="H625" s="81">
        <f t="shared" si="24"/>
        <v>0</v>
      </c>
      <c r="I625" s="30" t="e">
        <f t="shared" si="23"/>
        <v>#DIV/0!</v>
      </c>
    </row>
    <row r="626" spans="1:9" s="25" customFormat="1" ht="15" hidden="1">
      <c r="A626" s="97" t="s">
        <v>487</v>
      </c>
      <c r="B626" s="160"/>
      <c r="C626" s="142" t="s">
        <v>603</v>
      </c>
      <c r="D626" s="142" t="s">
        <v>191</v>
      </c>
      <c r="E626" s="160" t="s">
        <v>488</v>
      </c>
      <c r="F626" s="141"/>
      <c r="G626" s="81">
        <f t="shared" si="24"/>
        <v>0</v>
      </c>
      <c r="H626" s="81">
        <f t="shared" si="24"/>
        <v>0</v>
      </c>
      <c r="I626" s="30" t="e">
        <f t="shared" si="23"/>
        <v>#DIV/0!</v>
      </c>
    </row>
    <row r="627" spans="1:9" ht="15" hidden="1">
      <c r="A627" s="97" t="s">
        <v>495</v>
      </c>
      <c r="B627" s="160"/>
      <c r="C627" s="142" t="s">
        <v>603</v>
      </c>
      <c r="D627" s="142" t="s">
        <v>191</v>
      </c>
      <c r="E627" s="160" t="s">
        <v>489</v>
      </c>
      <c r="F627" s="141"/>
      <c r="G627" s="81">
        <f t="shared" si="24"/>
        <v>0</v>
      </c>
      <c r="H627" s="81">
        <f t="shared" si="24"/>
        <v>0</v>
      </c>
      <c r="I627" s="30" t="e">
        <f t="shared" si="23"/>
        <v>#DIV/0!</v>
      </c>
    </row>
    <row r="628" spans="1:9" ht="15" hidden="1">
      <c r="A628" s="97" t="s">
        <v>497</v>
      </c>
      <c r="B628" s="160"/>
      <c r="C628" s="142" t="s">
        <v>603</v>
      </c>
      <c r="D628" s="142" t="s">
        <v>191</v>
      </c>
      <c r="E628" s="160" t="s">
        <v>489</v>
      </c>
      <c r="F628" s="141" t="s">
        <v>498</v>
      </c>
      <c r="G628" s="81"/>
      <c r="H628" s="81"/>
      <c r="I628" s="30" t="e">
        <f t="shared" si="23"/>
        <v>#DIV/0!</v>
      </c>
    </row>
    <row r="629" spans="1:9" s="25" customFormat="1" ht="15" hidden="1">
      <c r="A629" s="95" t="s">
        <v>490</v>
      </c>
      <c r="B629" s="138"/>
      <c r="C629" s="138" t="s">
        <v>603</v>
      </c>
      <c r="D629" s="138" t="s">
        <v>193</v>
      </c>
      <c r="E629" s="138"/>
      <c r="F629" s="139"/>
      <c r="G629" s="81">
        <f>SUM(G632+G635+G630)</f>
        <v>0</v>
      </c>
      <c r="H629" s="81">
        <f>SUM(H632+H635+H630)</f>
        <v>0</v>
      </c>
      <c r="I629" s="30" t="e">
        <f t="shared" si="23"/>
        <v>#DIV/0!</v>
      </c>
    </row>
    <row r="630" spans="1:9" s="25" customFormat="1" ht="15" hidden="1">
      <c r="A630" s="97" t="s">
        <v>728</v>
      </c>
      <c r="B630" s="138"/>
      <c r="C630" s="138" t="s">
        <v>603</v>
      </c>
      <c r="D630" s="138" t="s">
        <v>193</v>
      </c>
      <c r="E630" s="142" t="s">
        <v>729</v>
      </c>
      <c r="F630" s="140"/>
      <c r="G630" s="81">
        <f>SUM(G631)</f>
        <v>0</v>
      </c>
      <c r="H630" s="81">
        <f>SUM(H631)</f>
        <v>0</v>
      </c>
      <c r="I630" s="30" t="e">
        <f t="shared" si="23"/>
        <v>#DIV/0!</v>
      </c>
    </row>
    <row r="631" spans="1:9" s="25" customFormat="1" ht="19.5" hidden="1" customHeight="1">
      <c r="A631" s="95" t="s">
        <v>164</v>
      </c>
      <c r="B631" s="138"/>
      <c r="C631" s="138" t="s">
        <v>603</v>
      </c>
      <c r="D631" s="138" t="s">
        <v>193</v>
      </c>
      <c r="E631" s="142" t="s">
        <v>729</v>
      </c>
      <c r="F631" s="140" t="s">
        <v>165</v>
      </c>
      <c r="G631" s="81"/>
      <c r="H631" s="81"/>
      <c r="I631" s="30" t="e">
        <f t="shared" si="23"/>
        <v>#DIV/0!</v>
      </c>
    </row>
    <row r="632" spans="1:9" s="25" customFormat="1" ht="19.5" hidden="1" customHeight="1">
      <c r="A632" s="95" t="s">
        <v>462</v>
      </c>
      <c r="B632" s="138"/>
      <c r="C632" s="138" t="s">
        <v>603</v>
      </c>
      <c r="D632" s="138" t="s">
        <v>193</v>
      </c>
      <c r="E632" s="158" t="s">
        <v>432</v>
      </c>
      <c r="F632" s="139"/>
      <c r="G632" s="81">
        <f>SUM(G633)</f>
        <v>0</v>
      </c>
      <c r="H632" s="81">
        <f>SUM(H633)</f>
        <v>0</v>
      </c>
      <c r="I632" s="30" t="e">
        <f t="shared" si="23"/>
        <v>#DIV/0!</v>
      </c>
    </row>
    <row r="633" spans="1:9" s="25" customFormat="1" ht="28.5" hidden="1">
      <c r="A633" s="95" t="s">
        <v>692</v>
      </c>
      <c r="B633" s="138"/>
      <c r="C633" s="138" t="s">
        <v>603</v>
      </c>
      <c r="D633" s="138" t="s">
        <v>193</v>
      </c>
      <c r="E633" s="158" t="s">
        <v>433</v>
      </c>
      <c r="F633" s="139"/>
      <c r="G633" s="81">
        <f>SUM(G634)</f>
        <v>0</v>
      </c>
      <c r="H633" s="81">
        <f>SUM(H634)</f>
        <v>0</v>
      </c>
      <c r="I633" s="30" t="e">
        <f t="shared" si="23"/>
        <v>#DIV/0!</v>
      </c>
    </row>
    <row r="634" spans="1:9" s="25" customFormat="1" ht="19.5" hidden="1" customHeight="1">
      <c r="A634" s="95" t="s">
        <v>164</v>
      </c>
      <c r="B634" s="138"/>
      <c r="C634" s="138" t="s">
        <v>603</v>
      </c>
      <c r="D634" s="138" t="s">
        <v>193</v>
      </c>
      <c r="E634" s="158" t="s">
        <v>433</v>
      </c>
      <c r="F634" s="139" t="s">
        <v>165</v>
      </c>
      <c r="G634" s="81"/>
      <c r="H634" s="81"/>
      <c r="I634" s="30" t="e">
        <f t="shared" si="23"/>
        <v>#DIV/0!</v>
      </c>
    </row>
    <row r="635" spans="1:9" s="25" customFormat="1" ht="15" hidden="1">
      <c r="A635" s="97" t="s">
        <v>200</v>
      </c>
      <c r="B635" s="142"/>
      <c r="C635" s="138" t="s">
        <v>603</v>
      </c>
      <c r="D635" s="138" t="s">
        <v>193</v>
      </c>
      <c r="E635" s="142" t="s">
        <v>201</v>
      </c>
      <c r="F635" s="140"/>
      <c r="G635" s="81">
        <f>SUM(G636)</f>
        <v>0</v>
      </c>
      <c r="H635" s="81">
        <f>SUM(H636)</f>
        <v>0</v>
      </c>
      <c r="I635" s="30" t="e">
        <f t="shared" si="23"/>
        <v>#DIV/0!</v>
      </c>
    </row>
    <row r="636" spans="1:9" s="33" customFormat="1" ht="28.5" hidden="1">
      <c r="A636" s="95" t="s">
        <v>692</v>
      </c>
      <c r="B636" s="160"/>
      <c r="C636" s="138" t="s">
        <v>603</v>
      </c>
      <c r="D636" s="138" t="s">
        <v>193</v>
      </c>
      <c r="E636" s="160" t="s">
        <v>201</v>
      </c>
      <c r="F636" s="141" t="s">
        <v>569</v>
      </c>
      <c r="G636" s="81">
        <f>SUM(G637)</f>
        <v>0</v>
      </c>
      <c r="H636" s="81">
        <f>SUM(H637)</f>
        <v>0</v>
      </c>
      <c r="I636" s="30" t="e">
        <f t="shared" si="23"/>
        <v>#DIV/0!</v>
      </c>
    </row>
    <row r="637" spans="1:9" ht="28.5" hidden="1">
      <c r="A637" s="95" t="s">
        <v>463</v>
      </c>
      <c r="B637" s="138"/>
      <c r="C637" s="138" t="s">
        <v>603</v>
      </c>
      <c r="D637" s="138" t="s">
        <v>193</v>
      </c>
      <c r="E637" s="160" t="s">
        <v>464</v>
      </c>
      <c r="F637" s="141" t="s">
        <v>569</v>
      </c>
      <c r="G637" s="81">
        <f>1738.6-1738.6</f>
        <v>0</v>
      </c>
      <c r="H637" s="81">
        <f>1738.6-1738.6</f>
        <v>0</v>
      </c>
      <c r="I637" s="30" t="e">
        <f t="shared" si="23"/>
        <v>#DIV/0!</v>
      </c>
    </row>
    <row r="638" spans="1:9" ht="15" hidden="1">
      <c r="A638" s="95" t="s">
        <v>473</v>
      </c>
      <c r="B638" s="138"/>
      <c r="C638" s="142" t="s">
        <v>603</v>
      </c>
      <c r="D638" s="142" t="s">
        <v>603</v>
      </c>
      <c r="E638" s="142"/>
      <c r="F638" s="140"/>
      <c r="G638" s="81">
        <f>SUM(G642+G639)</f>
        <v>0</v>
      </c>
      <c r="H638" s="81">
        <f>SUM(H642+H639)</f>
        <v>0</v>
      </c>
      <c r="I638" s="30" t="e">
        <f t="shared" si="23"/>
        <v>#DIV/0!</v>
      </c>
    </row>
    <row r="639" spans="1:9" ht="28.5" hidden="1">
      <c r="A639" s="94" t="s">
        <v>502</v>
      </c>
      <c r="B639" s="142"/>
      <c r="C639" s="142" t="s">
        <v>603</v>
      </c>
      <c r="D639" s="142" t="s">
        <v>603</v>
      </c>
      <c r="E639" s="142" t="s">
        <v>783</v>
      </c>
      <c r="F639" s="140"/>
      <c r="G639" s="81">
        <f>SUM(G640)</f>
        <v>0</v>
      </c>
      <c r="H639" s="81">
        <f>SUM(H640)</f>
        <v>0</v>
      </c>
      <c r="I639" s="30" t="e">
        <f t="shared" si="23"/>
        <v>#DIV/0!</v>
      </c>
    </row>
    <row r="640" spans="1:9" ht="28.5" hidden="1">
      <c r="A640" s="94" t="s">
        <v>459</v>
      </c>
      <c r="B640" s="142"/>
      <c r="C640" s="142" t="s">
        <v>603</v>
      </c>
      <c r="D640" s="142" t="s">
        <v>603</v>
      </c>
      <c r="E640" s="142" t="s">
        <v>206</v>
      </c>
      <c r="F640" s="140"/>
      <c r="G640" s="81">
        <f>SUM(G641)</f>
        <v>0</v>
      </c>
      <c r="H640" s="81">
        <f>SUM(H641)</f>
        <v>0</v>
      </c>
      <c r="I640" s="30" t="e">
        <f t="shared" si="23"/>
        <v>#DIV/0!</v>
      </c>
    </row>
    <row r="641" spans="1:9" ht="15" hidden="1">
      <c r="A641" s="94" t="s">
        <v>70</v>
      </c>
      <c r="B641" s="142"/>
      <c r="C641" s="142" t="s">
        <v>603</v>
      </c>
      <c r="D641" s="142" t="s">
        <v>603</v>
      </c>
      <c r="E641" s="142" t="s">
        <v>206</v>
      </c>
      <c r="F641" s="140" t="s">
        <v>208</v>
      </c>
      <c r="G641" s="81"/>
      <c r="H641" s="81"/>
      <c r="I641" s="30" t="e">
        <f t="shared" si="23"/>
        <v>#DIV/0!</v>
      </c>
    </row>
    <row r="642" spans="1:9" ht="15" hidden="1">
      <c r="A642" s="97" t="s">
        <v>200</v>
      </c>
      <c r="B642" s="142"/>
      <c r="C642" s="142" t="s">
        <v>603</v>
      </c>
      <c r="D642" s="142" t="s">
        <v>603</v>
      </c>
      <c r="E642" s="142" t="s">
        <v>201</v>
      </c>
      <c r="F642" s="140"/>
      <c r="G642" s="81">
        <f>SUM(G645)+G649+G651+G643</f>
        <v>0</v>
      </c>
      <c r="H642" s="81">
        <f>SUM(H645)+H649+H651+H643</f>
        <v>0</v>
      </c>
      <c r="I642" s="30" t="e">
        <f t="shared" si="23"/>
        <v>#DIV/0!</v>
      </c>
    </row>
    <row r="643" spans="1:9" ht="19.5" hidden="1" customHeight="1">
      <c r="A643" s="115" t="s">
        <v>596</v>
      </c>
      <c r="B643" s="142"/>
      <c r="C643" s="142" t="s">
        <v>603</v>
      </c>
      <c r="D643" s="142" t="s">
        <v>603</v>
      </c>
      <c r="E643" s="142" t="s">
        <v>597</v>
      </c>
      <c r="F643" s="140"/>
      <c r="G643" s="81">
        <f>SUM(G644)</f>
        <v>0</v>
      </c>
      <c r="H643" s="81">
        <f>SUM(H644)</f>
        <v>0</v>
      </c>
      <c r="I643" s="30" t="e">
        <f t="shared" si="23"/>
        <v>#DIV/0!</v>
      </c>
    </row>
    <row r="644" spans="1:9" ht="15" hidden="1">
      <c r="A644" s="95" t="s">
        <v>943</v>
      </c>
      <c r="B644" s="142"/>
      <c r="C644" s="142" t="s">
        <v>603</v>
      </c>
      <c r="D644" s="142" t="s">
        <v>603</v>
      </c>
      <c r="E644" s="142" t="s">
        <v>597</v>
      </c>
      <c r="F644" s="140" t="s">
        <v>944</v>
      </c>
      <c r="G644" s="81"/>
      <c r="H644" s="81"/>
      <c r="I644" s="30" t="e">
        <f t="shared" si="23"/>
        <v>#DIV/0!</v>
      </c>
    </row>
    <row r="645" spans="1:9" s="22" customFormat="1" ht="19.5" hidden="1" customHeight="1">
      <c r="A645" s="95" t="s">
        <v>467</v>
      </c>
      <c r="B645" s="142"/>
      <c r="C645" s="142" t="s">
        <v>603</v>
      </c>
      <c r="D645" s="142" t="s">
        <v>603</v>
      </c>
      <c r="E645" s="142" t="s">
        <v>468</v>
      </c>
      <c r="F645" s="140"/>
      <c r="G645" s="81">
        <f>SUM(G646:G648)</f>
        <v>0</v>
      </c>
      <c r="H645" s="81">
        <f>SUM(H646:H648)</f>
        <v>0</v>
      </c>
      <c r="I645" s="30" t="e">
        <f t="shared" si="23"/>
        <v>#DIV/0!</v>
      </c>
    </row>
    <row r="646" spans="1:9" ht="15" hidden="1">
      <c r="A646" s="94" t="s">
        <v>70</v>
      </c>
      <c r="B646" s="138"/>
      <c r="C646" s="142" t="s">
        <v>603</v>
      </c>
      <c r="D646" s="142" t="s">
        <v>603</v>
      </c>
      <c r="E646" s="142" t="s">
        <v>468</v>
      </c>
      <c r="F646" s="140" t="s">
        <v>208</v>
      </c>
      <c r="G646" s="81"/>
      <c r="H646" s="81"/>
      <c r="I646" s="30" t="e">
        <f t="shared" si="23"/>
        <v>#DIV/0!</v>
      </c>
    </row>
    <row r="647" spans="1:9" ht="15" hidden="1">
      <c r="A647" s="95" t="s">
        <v>164</v>
      </c>
      <c r="B647" s="160"/>
      <c r="C647" s="160" t="s">
        <v>603</v>
      </c>
      <c r="D647" s="160" t="s">
        <v>603</v>
      </c>
      <c r="E647" s="142" t="s">
        <v>468</v>
      </c>
      <c r="F647" s="141" t="s">
        <v>165</v>
      </c>
      <c r="G647" s="81"/>
      <c r="H647" s="81"/>
      <c r="I647" s="30" t="e">
        <f t="shared" si="23"/>
        <v>#DIV/0!</v>
      </c>
    </row>
    <row r="648" spans="1:9" ht="19.5" hidden="1" customHeight="1">
      <c r="A648" s="95" t="s">
        <v>692</v>
      </c>
      <c r="B648" s="138"/>
      <c r="C648" s="142" t="s">
        <v>603</v>
      </c>
      <c r="D648" s="142" t="s">
        <v>603</v>
      </c>
      <c r="E648" s="142" t="s">
        <v>468</v>
      </c>
      <c r="F648" s="144" t="s">
        <v>569</v>
      </c>
      <c r="G648" s="82"/>
      <c r="H648" s="82"/>
      <c r="I648" s="30" t="e">
        <f t="shared" si="23"/>
        <v>#DIV/0!</v>
      </c>
    </row>
    <row r="649" spans="1:9" ht="19.5" hidden="1" customHeight="1">
      <c r="A649" s="98" t="s">
        <v>698</v>
      </c>
      <c r="B649" s="138"/>
      <c r="C649" s="142" t="s">
        <v>603</v>
      </c>
      <c r="D649" s="142" t="s">
        <v>603</v>
      </c>
      <c r="E649" s="142" t="s">
        <v>699</v>
      </c>
      <c r="F649" s="144"/>
      <c r="G649" s="82">
        <f>SUM(G650)</f>
        <v>0</v>
      </c>
      <c r="H649" s="82">
        <f>SUM(H650)</f>
        <v>0</v>
      </c>
      <c r="I649" s="30" t="e">
        <f t="shared" si="23"/>
        <v>#DIV/0!</v>
      </c>
    </row>
    <row r="650" spans="1:9" ht="19.5" hidden="1" customHeight="1">
      <c r="A650" s="95" t="s">
        <v>692</v>
      </c>
      <c r="B650" s="138"/>
      <c r="C650" s="142" t="s">
        <v>603</v>
      </c>
      <c r="D650" s="142" t="s">
        <v>603</v>
      </c>
      <c r="E650" s="142" t="s">
        <v>699</v>
      </c>
      <c r="F650" s="144" t="s">
        <v>569</v>
      </c>
      <c r="G650" s="82"/>
      <c r="H650" s="82"/>
      <c r="I650" s="30" t="e">
        <f t="shared" si="23"/>
        <v>#DIV/0!</v>
      </c>
    </row>
    <row r="651" spans="1:9" ht="28.5" hidden="1">
      <c r="A651" s="95" t="s">
        <v>340</v>
      </c>
      <c r="B651" s="138"/>
      <c r="C651" s="142" t="s">
        <v>325</v>
      </c>
      <c r="D651" s="142" t="s">
        <v>325</v>
      </c>
      <c r="E651" s="142" t="s">
        <v>41</v>
      </c>
      <c r="F651" s="144"/>
      <c r="G651" s="82">
        <f>SUM(G652)</f>
        <v>0</v>
      </c>
      <c r="H651" s="82">
        <f>SUM(H652)</f>
        <v>0</v>
      </c>
      <c r="I651" s="30" t="e">
        <f t="shared" si="23"/>
        <v>#DIV/0!</v>
      </c>
    </row>
    <row r="652" spans="1:9" ht="19.5" hidden="1" customHeight="1">
      <c r="A652" s="94" t="s">
        <v>70</v>
      </c>
      <c r="B652" s="138"/>
      <c r="C652" s="142" t="s">
        <v>603</v>
      </c>
      <c r="D652" s="142" t="s">
        <v>603</v>
      </c>
      <c r="E652" s="142" t="s">
        <v>41</v>
      </c>
      <c r="F652" s="144" t="s">
        <v>208</v>
      </c>
      <c r="G652" s="82"/>
      <c r="H652" s="82"/>
      <c r="I652" s="30" t="e">
        <f t="shared" si="23"/>
        <v>#DIV/0!</v>
      </c>
    </row>
    <row r="653" spans="1:9" ht="17.25" customHeight="1">
      <c r="A653" s="95" t="s">
        <v>341</v>
      </c>
      <c r="B653" s="138"/>
      <c r="C653" s="138" t="s">
        <v>940</v>
      </c>
      <c r="D653" s="138"/>
      <c r="E653" s="138"/>
      <c r="F653" s="139"/>
      <c r="G653" s="81">
        <f>SUM(G657)+G688</f>
        <v>19952.900000000001</v>
      </c>
      <c r="H653" s="81">
        <f>SUM(H657)+H688</f>
        <v>18859.599999999999</v>
      </c>
      <c r="I653" s="30">
        <f t="shared" si="23"/>
        <v>94.520596003588437</v>
      </c>
    </row>
    <row r="654" spans="1:9" ht="15" hidden="1">
      <c r="A654" s="95" t="s">
        <v>348</v>
      </c>
      <c r="B654" s="138"/>
      <c r="C654" s="138" t="s">
        <v>940</v>
      </c>
      <c r="D654" s="138" t="s">
        <v>838</v>
      </c>
      <c r="E654" s="138"/>
      <c r="F654" s="139"/>
      <c r="G654" s="81">
        <f>SUM(G655)</f>
        <v>0</v>
      </c>
      <c r="H654" s="81">
        <f>SUM(H655)</f>
        <v>0</v>
      </c>
      <c r="I654" s="30" t="e">
        <f t="shared" si="23"/>
        <v>#DIV/0!</v>
      </c>
    </row>
    <row r="655" spans="1:9" ht="19.5" hidden="1" customHeight="1">
      <c r="A655" s="95" t="s">
        <v>115</v>
      </c>
      <c r="B655" s="138"/>
      <c r="C655" s="138" t="s">
        <v>940</v>
      </c>
      <c r="D655" s="138" t="s">
        <v>838</v>
      </c>
      <c r="E655" s="138" t="s">
        <v>357</v>
      </c>
      <c r="F655" s="139"/>
      <c r="G655" s="81">
        <f>SUM(G656)</f>
        <v>0</v>
      </c>
      <c r="H655" s="81">
        <f>SUM(H656)</f>
        <v>0</v>
      </c>
      <c r="I655" s="30" t="e">
        <f t="shared" si="23"/>
        <v>#DIV/0!</v>
      </c>
    </row>
    <row r="656" spans="1:9" ht="19.5" hidden="1" customHeight="1">
      <c r="A656" s="95" t="s">
        <v>495</v>
      </c>
      <c r="B656" s="138"/>
      <c r="C656" s="138" t="s">
        <v>940</v>
      </c>
      <c r="D656" s="138" t="s">
        <v>838</v>
      </c>
      <c r="E656" s="138" t="s">
        <v>357</v>
      </c>
      <c r="F656" s="139" t="s">
        <v>358</v>
      </c>
      <c r="G656" s="81"/>
      <c r="H656" s="81"/>
      <c r="I656" s="30" t="e">
        <f t="shared" si="23"/>
        <v>#DIV/0!</v>
      </c>
    </row>
    <row r="657" spans="1:9" ht="18" customHeight="1">
      <c r="A657" s="119" t="s">
        <v>964</v>
      </c>
      <c r="B657" s="138"/>
      <c r="C657" s="138" t="s">
        <v>940</v>
      </c>
      <c r="D657" s="142" t="s">
        <v>167</v>
      </c>
      <c r="E657" s="138"/>
      <c r="F657" s="139"/>
      <c r="G657" s="81">
        <f>SUM(G659+G663+G672+G681+G679)</f>
        <v>8394.6</v>
      </c>
      <c r="H657" s="81">
        <f>SUM(H659+H663+H672+H681+H679)</f>
        <v>7845.4</v>
      </c>
      <c r="I657" s="30">
        <f t="shared" si="23"/>
        <v>93.45769899697423</v>
      </c>
    </row>
    <row r="658" spans="1:9" ht="18" customHeight="1">
      <c r="A658" s="115" t="s">
        <v>254</v>
      </c>
      <c r="B658" s="138"/>
      <c r="C658" s="138" t="s">
        <v>940</v>
      </c>
      <c r="D658" s="142" t="s">
        <v>167</v>
      </c>
      <c r="E658" s="138" t="s">
        <v>255</v>
      </c>
      <c r="F658" s="164"/>
      <c r="G658" s="81">
        <f>SUM(G659)</f>
        <v>1699.8000000000002</v>
      </c>
      <c r="H658" s="81">
        <f>SUM(H659)</f>
        <v>1571.1</v>
      </c>
      <c r="I658" s="30">
        <f t="shared" si="23"/>
        <v>92.428521002470859</v>
      </c>
    </row>
    <row r="659" spans="1:9" ht="18" customHeight="1">
      <c r="A659" s="220" t="s">
        <v>251</v>
      </c>
      <c r="B659" s="221"/>
      <c r="C659" s="223" t="s">
        <v>940</v>
      </c>
      <c r="D659" s="222" t="s">
        <v>167</v>
      </c>
      <c r="E659" s="223" t="s">
        <v>252</v>
      </c>
      <c r="F659" s="218"/>
      <c r="G659" s="27">
        <f>SUM(G660)</f>
        <v>1699.8000000000002</v>
      </c>
      <c r="H659" s="27">
        <f>SUM(H660)</f>
        <v>1571.1</v>
      </c>
      <c r="I659" s="30">
        <f t="shared" si="23"/>
        <v>92.428521002470859</v>
      </c>
    </row>
    <row r="660" spans="1:9" s="25" customFormat="1" ht="19.5" customHeight="1">
      <c r="A660" s="220" t="s">
        <v>359</v>
      </c>
      <c r="B660" s="221"/>
      <c r="C660" s="222" t="s">
        <v>940</v>
      </c>
      <c r="D660" s="222" t="s">
        <v>167</v>
      </c>
      <c r="E660" s="223" t="s">
        <v>253</v>
      </c>
      <c r="F660" s="224"/>
      <c r="G660" s="27">
        <f>SUM(G661+G662)</f>
        <v>1699.8000000000002</v>
      </c>
      <c r="H660" s="27">
        <f>SUM(H661+H662)</f>
        <v>1571.1</v>
      </c>
      <c r="I660" s="30">
        <f t="shared" si="23"/>
        <v>92.428521002470859</v>
      </c>
    </row>
    <row r="661" spans="1:9" s="25" customFormat="1" ht="19.5" hidden="1" customHeight="1">
      <c r="A661" s="220" t="s">
        <v>503</v>
      </c>
      <c r="B661" s="221"/>
      <c r="C661" s="222" t="s">
        <v>940</v>
      </c>
      <c r="D661" s="222" t="s">
        <v>167</v>
      </c>
      <c r="E661" s="223" t="s">
        <v>253</v>
      </c>
      <c r="F661" s="224" t="s">
        <v>505</v>
      </c>
      <c r="G661" s="27"/>
      <c r="H661" s="27"/>
      <c r="I661" s="30" t="e">
        <f t="shared" si="23"/>
        <v>#DIV/0!</v>
      </c>
    </row>
    <row r="662" spans="1:9" s="25" customFormat="1" ht="19.5" customHeight="1">
      <c r="A662" s="220" t="s">
        <v>979</v>
      </c>
      <c r="B662" s="221"/>
      <c r="C662" s="222" t="s">
        <v>940</v>
      </c>
      <c r="D662" s="222" t="s">
        <v>167</v>
      </c>
      <c r="E662" s="223" t="s">
        <v>253</v>
      </c>
      <c r="F662" s="224" t="s">
        <v>980</v>
      </c>
      <c r="G662" s="27">
        <f>241.9+1486.5-28.6</f>
        <v>1699.8000000000002</v>
      </c>
      <c r="H662" s="27">
        <v>1571.1</v>
      </c>
      <c r="I662" s="30">
        <f t="shared" si="23"/>
        <v>92.428521002470859</v>
      </c>
    </row>
    <row r="663" spans="1:9" s="25" customFormat="1" ht="19.5" hidden="1" customHeight="1">
      <c r="A663" s="95" t="s">
        <v>965</v>
      </c>
      <c r="B663" s="138"/>
      <c r="C663" s="138" t="s">
        <v>940</v>
      </c>
      <c r="D663" s="142" t="s">
        <v>167</v>
      </c>
      <c r="E663" s="138" t="s">
        <v>966</v>
      </c>
      <c r="F663" s="139"/>
      <c r="G663" s="81">
        <f>SUM(G667+G670+G664)</f>
        <v>0</v>
      </c>
      <c r="H663" s="81">
        <f>SUM(H667+H670+H664)</f>
        <v>0</v>
      </c>
      <c r="I663" s="30" t="e">
        <f t="shared" si="23"/>
        <v>#DIV/0!</v>
      </c>
    </row>
    <row r="664" spans="1:9" ht="19.5" hidden="1" customHeight="1">
      <c r="A664" s="119" t="s">
        <v>332</v>
      </c>
      <c r="B664" s="138"/>
      <c r="C664" s="138" t="s">
        <v>940</v>
      </c>
      <c r="D664" s="138" t="s">
        <v>167</v>
      </c>
      <c r="E664" s="138" t="s">
        <v>360</v>
      </c>
      <c r="F664" s="139"/>
      <c r="G664" s="81">
        <f>SUM(G665)</f>
        <v>0</v>
      </c>
      <c r="H664" s="81">
        <f>SUM(H665)</f>
        <v>0</v>
      </c>
      <c r="I664" s="30" t="e">
        <f t="shared" si="23"/>
        <v>#DIV/0!</v>
      </c>
    </row>
    <row r="665" spans="1:9" ht="19.5" hidden="1" customHeight="1">
      <c r="A665" s="128" t="s">
        <v>427</v>
      </c>
      <c r="B665" s="160"/>
      <c r="C665" s="160" t="s">
        <v>940</v>
      </c>
      <c r="D665" s="160" t="s">
        <v>167</v>
      </c>
      <c r="E665" s="160" t="s">
        <v>428</v>
      </c>
      <c r="F665" s="141"/>
      <c r="G665" s="81">
        <f>SUM(G666)</f>
        <v>0</v>
      </c>
      <c r="H665" s="81">
        <f>SUM(H666)</f>
        <v>0</v>
      </c>
      <c r="I665" s="30" t="e">
        <f t="shared" si="23"/>
        <v>#DIV/0!</v>
      </c>
    </row>
    <row r="666" spans="1:9" ht="19.5" hidden="1" customHeight="1">
      <c r="A666" s="95" t="s">
        <v>592</v>
      </c>
      <c r="B666" s="160"/>
      <c r="C666" s="160" t="s">
        <v>940</v>
      </c>
      <c r="D666" s="160" t="s">
        <v>167</v>
      </c>
      <c r="E666" s="160" t="s">
        <v>428</v>
      </c>
      <c r="F666" s="141" t="s">
        <v>593</v>
      </c>
      <c r="G666" s="81"/>
      <c r="H666" s="81"/>
      <c r="I666" s="30" t="e">
        <f t="shared" si="23"/>
        <v>#DIV/0!</v>
      </c>
    </row>
    <row r="667" spans="1:9" s="25" customFormat="1" ht="42.75" hidden="1">
      <c r="A667" s="95" t="s">
        <v>1004</v>
      </c>
      <c r="B667" s="138"/>
      <c r="C667" s="142" t="s">
        <v>940</v>
      </c>
      <c r="D667" s="142" t="s">
        <v>167</v>
      </c>
      <c r="E667" s="138" t="s">
        <v>545</v>
      </c>
      <c r="F667" s="139"/>
      <c r="G667" s="81">
        <f>SUM(G668)</f>
        <v>0</v>
      </c>
      <c r="H667" s="81">
        <f>SUM(H668)</f>
        <v>0</v>
      </c>
      <c r="I667" s="30" t="e">
        <f t="shared" si="23"/>
        <v>#DIV/0!</v>
      </c>
    </row>
    <row r="668" spans="1:9" ht="19.5" hidden="1" customHeight="1">
      <c r="A668" s="119" t="s">
        <v>546</v>
      </c>
      <c r="B668" s="138"/>
      <c r="C668" s="142" t="s">
        <v>940</v>
      </c>
      <c r="D668" s="142" t="s">
        <v>167</v>
      </c>
      <c r="E668" s="138" t="s">
        <v>547</v>
      </c>
      <c r="F668" s="140"/>
      <c r="G668" s="81">
        <f>SUM(G669)</f>
        <v>0</v>
      </c>
      <c r="H668" s="81">
        <f>SUM(H669)</f>
        <v>0</v>
      </c>
      <c r="I668" s="30" t="e">
        <f t="shared" si="23"/>
        <v>#DIV/0!</v>
      </c>
    </row>
    <row r="669" spans="1:9" ht="15" hidden="1">
      <c r="A669" s="95" t="s">
        <v>592</v>
      </c>
      <c r="B669" s="143"/>
      <c r="C669" s="142" t="s">
        <v>940</v>
      </c>
      <c r="D669" s="142" t="s">
        <v>167</v>
      </c>
      <c r="E669" s="138" t="s">
        <v>547</v>
      </c>
      <c r="F669" s="144" t="s">
        <v>593</v>
      </c>
      <c r="G669" s="82"/>
      <c r="H669" s="82"/>
      <c r="I669" s="30" t="e">
        <f t="shared" si="23"/>
        <v>#DIV/0!</v>
      </c>
    </row>
    <row r="670" spans="1:9" ht="15" hidden="1">
      <c r="A670" s="119" t="s">
        <v>328</v>
      </c>
      <c r="B670" s="138"/>
      <c r="C670" s="142" t="s">
        <v>940</v>
      </c>
      <c r="D670" s="142" t="s">
        <v>167</v>
      </c>
      <c r="E670" s="138" t="s">
        <v>361</v>
      </c>
      <c r="F670" s="140"/>
      <c r="G670" s="81">
        <f>SUM(G671)</f>
        <v>0</v>
      </c>
      <c r="H670" s="81">
        <f>SUM(H671)</f>
        <v>0</v>
      </c>
      <c r="I670" s="30" t="e">
        <f t="shared" si="23"/>
        <v>#DIV/0!</v>
      </c>
    </row>
    <row r="671" spans="1:9" s="25" customFormat="1" ht="29.25" hidden="1" customHeight="1">
      <c r="A671" s="95" t="s">
        <v>592</v>
      </c>
      <c r="B671" s="143"/>
      <c r="C671" s="142" t="s">
        <v>940</v>
      </c>
      <c r="D671" s="142" t="s">
        <v>167</v>
      </c>
      <c r="E671" s="138" t="s">
        <v>361</v>
      </c>
      <c r="F671" s="144" t="s">
        <v>593</v>
      </c>
      <c r="G671" s="82"/>
      <c r="H671" s="82"/>
      <c r="I671" s="30" t="e">
        <f t="shared" si="23"/>
        <v>#DIV/0!</v>
      </c>
    </row>
    <row r="672" spans="1:9" ht="21" customHeight="1">
      <c r="A672" s="95" t="s">
        <v>932</v>
      </c>
      <c r="B672" s="109"/>
      <c r="C672" s="142" t="s">
        <v>940</v>
      </c>
      <c r="D672" s="142" t="s">
        <v>167</v>
      </c>
      <c r="E672" s="142" t="s">
        <v>933</v>
      </c>
      <c r="F672" s="144"/>
      <c r="G672" s="82">
        <f>SUM(G673)</f>
        <v>3424.5</v>
      </c>
      <c r="H672" s="82">
        <f>SUM(H673)</f>
        <v>3160.9</v>
      </c>
      <c r="I672" s="30">
        <f t="shared" si="23"/>
        <v>92.302525916192153</v>
      </c>
    </row>
    <row r="673" spans="1:9" ht="46.5" customHeight="1">
      <c r="A673" s="245" t="s">
        <v>1067</v>
      </c>
      <c r="B673" s="143"/>
      <c r="C673" s="142" t="s">
        <v>940</v>
      </c>
      <c r="D673" s="142" t="s">
        <v>167</v>
      </c>
      <c r="E673" s="142" t="s">
        <v>826</v>
      </c>
      <c r="F673" s="144"/>
      <c r="G673" s="82">
        <f>SUM(G674)+G677</f>
        <v>3424.5</v>
      </c>
      <c r="H673" s="82">
        <f>SUM(H674)+H677</f>
        <v>3160.9</v>
      </c>
      <c r="I673" s="30">
        <f t="shared" si="23"/>
        <v>92.302525916192153</v>
      </c>
    </row>
    <row r="674" spans="1:9" ht="30.75" customHeight="1">
      <c r="A674" s="95" t="s">
        <v>335</v>
      </c>
      <c r="B674" s="143"/>
      <c r="C674" s="142" t="s">
        <v>940</v>
      </c>
      <c r="D674" s="142" t="s">
        <v>167</v>
      </c>
      <c r="E674" s="142" t="s">
        <v>336</v>
      </c>
      <c r="F674" s="144"/>
      <c r="G674" s="82">
        <f>SUM(G675+G676)</f>
        <v>3424.5</v>
      </c>
      <c r="H674" s="82">
        <f>SUM(H675+H676)</f>
        <v>3160.9</v>
      </c>
      <c r="I674" s="30">
        <f t="shared" si="23"/>
        <v>92.302525916192153</v>
      </c>
    </row>
    <row r="675" spans="1:9" ht="19.5" customHeight="1">
      <c r="A675" s="220" t="s">
        <v>979</v>
      </c>
      <c r="B675" s="143"/>
      <c r="C675" s="142" t="s">
        <v>940</v>
      </c>
      <c r="D675" s="142" t="s">
        <v>167</v>
      </c>
      <c r="E675" s="142" t="s">
        <v>336</v>
      </c>
      <c r="F675" s="144" t="s">
        <v>980</v>
      </c>
      <c r="G675" s="82">
        <f>437.7+3045.3-58.5</f>
        <v>3424.5</v>
      </c>
      <c r="H675" s="82">
        <v>3160.9</v>
      </c>
      <c r="I675" s="30">
        <f t="shared" si="23"/>
        <v>92.302525916192153</v>
      </c>
    </row>
    <row r="676" spans="1:9" ht="19.5" hidden="1" customHeight="1">
      <c r="A676" s="95" t="s">
        <v>503</v>
      </c>
      <c r="B676" s="143"/>
      <c r="C676" s="142" t="s">
        <v>940</v>
      </c>
      <c r="D676" s="142" t="s">
        <v>167</v>
      </c>
      <c r="E676" s="142" t="s">
        <v>336</v>
      </c>
      <c r="F676" s="144" t="s">
        <v>505</v>
      </c>
      <c r="G676" s="82"/>
      <c r="H676" s="82"/>
      <c r="I676" s="30" t="e">
        <f t="shared" si="23"/>
        <v>#DIV/0!</v>
      </c>
    </row>
    <row r="677" spans="1:9" ht="19.5" hidden="1" customHeight="1">
      <c r="A677" s="95" t="s">
        <v>506</v>
      </c>
      <c r="B677" s="143"/>
      <c r="C677" s="142" t="s">
        <v>940</v>
      </c>
      <c r="D677" s="142" t="s">
        <v>167</v>
      </c>
      <c r="E677" s="142" t="s">
        <v>504</v>
      </c>
      <c r="F677" s="144"/>
      <c r="G677" s="82">
        <f>SUM(G678)</f>
        <v>0</v>
      </c>
      <c r="H677" s="82">
        <f>SUM(H678)</f>
        <v>0</v>
      </c>
      <c r="I677" s="30" t="e">
        <f t="shared" si="23"/>
        <v>#DIV/0!</v>
      </c>
    </row>
    <row r="678" spans="1:9" ht="19.5" hidden="1" customHeight="1">
      <c r="A678" s="95" t="s">
        <v>503</v>
      </c>
      <c r="B678" s="143"/>
      <c r="C678" s="142" t="s">
        <v>940</v>
      </c>
      <c r="D678" s="142" t="s">
        <v>167</v>
      </c>
      <c r="E678" s="142" t="s">
        <v>504</v>
      </c>
      <c r="F678" s="144" t="s">
        <v>505</v>
      </c>
      <c r="G678" s="82"/>
      <c r="H678" s="82"/>
      <c r="I678" s="30" t="e">
        <f t="shared" si="23"/>
        <v>#DIV/0!</v>
      </c>
    </row>
    <row r="679" spans="1:9" ht="48.75" hidden="1" customHeight="1">
      <c r="A679" s="95" t="s">
        <v>393</v>
      </c>
      <c r="B679" s="143"/>
      <c r="C679" s="142" t="s">
        <v>940</v>
      </c>
      <c r="D679" s="142" t="s">
        <v>167</v>
      </c>
      <c r="E679" s="142" t="s">
        <v>504</v>
      </c>
      <c r="F679" s="144"/>
      <c r="G679" s="82">
        <f>SUM(G680)</f>
        <v>0</v>
      </c>
      <c r="H679" s="82">
        <f>SUM(H680)</f>
        <v>0</v>
      </c>
      <c r="I679" s="30" t="e">
        <f t="shared" si="23"/>
        <v>#DIV/0!</v>
      </c>
    </row>
    <row r="680" spans="1:9" ht="23.25" hidden="1" customHeight="1">
      <c r="A680" s="95" t="s">
        <v>503</v>
      </c>
      <c r="B680" s="143"/>
      <c r="C680" s="142" t="s">
        <v>940</v>
      </c>
      <c r="D680" s="142" t="s">
        <v>167</v>
      </c>
      <c r="E680" s="142" t="s">
        <v>504</v>
      </c>
      <c r="F680" s="144" t="s">
        <v>505</v>
      </c>
      <c r="G680" s="82"/>
      <c r="H680" s="82"/>
      <c r="I680" s="30" t="e">
        <f t="shared" ref="I680:I743" si="25">SUM(H680/G680*100)</f>
        <v>#DIV/0!</v>
      </c>
    </row>
    <row r="681" spans="1:9" ht="15">
      <c r="A681" s="97" t="s">
        <v>200</v>
      </c>
      <c r="B681" s="142"/>
      <c r="C681" s="142" t="s">
        <v>940</v>
      </c>
      <c r="D681" s="142" t="s">
        <v>167</v>
      </c>
      <c r="E681" s="142" t="s">
        <v>201</v>
      </c>
      <c r="F681" s="140"/>
      <c r="G681" s="81">
        <f>SUM(G684)+G682</f>
        <v>3270.3</v>
      </c>
      <c r="H681" s="81">
        <f>SUM(H684)+H682</f>
        <v>3113.3999999999996</v>
      </c>
      <c r="I681" s="30">
        <f t="shared" si="25"/>
        <v>95.202275020640286</v>
      </c>
    </row>
    <row r="682" spans="1:9" ht="42.75">
      <c r="A682" s="97" t="s">
        <v>1033</v>
      </c>
      <c r="B682" s="142"/>
      <c r="C682" s="142" t="s">
        <v>940</v>
      </c>
      <c r="D682" s="142" t="s">
        <v>167</v>
      </c>
      <c r="E682" s="142" t="s">
        <v>1034</v>
      </c>
      <c r="F682" s="140"/>
      <c r="G682" s="81">
        <f>SUM(G683)</f>
        <v>1281.5999999999999</v>
      </c>
      <c r="H682" s="81">
        <f>SUM(H683)</f>
        <v>1281.5999999999999</v>
      </c>
      <c r="I682" s="30">
        <f t="shared" si="25"/>
        <v>100</v>
      </c>
    </row>
    <row r="683" spans="1:9" ht="19.5" customHeight="1">
      <c r="A683" s="220" t="s">
        <v>979</v>
      </c>
      <c r="B683" s="142"/>
      <c r="C683" s="142" t="s">
        <v>940</v>
      </c>
      <c r="D683" s="142" t="s">
        <v>167</v>
      </c>
      <c r="E683" s="142" t="s">
        <v>1034</v>
      </c>
      <c r="F683" s="140" t="s">
        <v>980</v>
      </c>
      <c r="G683" s="81">
        <v>1281.5999999999999</v>
      </c>
      <c r="H683" s="81">
        <v>1281.5999999999999</v>
      </c>
      <c r="I683" s="30">
        <f t="shared" si="25"/>
        <v>100</v>
      </c>
    </row>
    <row r="684" spans="1:9" ht="28.5" customHeight="1">
      <c r="A684" s="115" t="s">
        <v>911</v>
      </c>
      <c r="B684" s="138"/>
      <c r="C684" s="142" t="s">
        <v>940</v>
      </c>
      <c r="D684" s="142" t="s">
        <v>167</v>
      </c>
      <c r="E684" s="154" t="s">
        <v>28</v>
      </c>
      <c r="F684" s="139"/>
      <c r="G684" s="81">
        <f>SUM(G685)</f>
        <v>1988.7</v>
      </c>
      <c r="H684" s="81">
        <f>SUM(H685)</f>
        <v>1831.8</v>
      </c>
      <c r="I684" s="30">
        <f t="shared" si="25"/>
        <v>92.11042389500679</v>
      </c>
    </row>
    <row r="685" spans="1:9" ht="28.5">
      <c r="A685" s="95" t="s">
        <v>335</v>
      </c>
      <c r="B685" s="142"/>
      <c r="C685" s="142" t="s">
        <v>940</v>
      </c>
      <c r="D685" s="142" t="s">
        <v>167</v>
      </c>
      <c r="E685" s="154" t="s">
        <v>509</v>
      </c>
      <c r="F685" s="139"/>
      <c r="G685" s="204">
        <f>SUM(G686:G687)</f>
        <v>1988.7</v>
      </c>
      <c r="H685" s="204">
        <f>SUM(H686:H687)</f>
        <v>1831.8</v>
      </c>
      <c r="I685" s="30">
        <f t="shared" si="25"/>
        <v>92.11042389500679</v>
      </c>
    </row>
    <row r="686" spans="1:9" ht="15">
      <c r="A686" s="220" t="s">
        <v>979</v>
      </c>
      <c r="B686" s="143"/>
      <c r="C686" s="142" t="s">
        <v>940</v>
      </c>
      <c r="D686" s="142" t="s">
        <v>167</v>
      </c>
      <c r="E686" s="154" t="s">
        <v>509</v>
      </c>
      <c r="F686" s="144" t="s">
        <v>980</v>
      </c>
      <c r="G686" s="82">
        <v>1988.7</v>
      </c>
      <c r="H686" s="82">
        <v>1831.8</v>
      </c>
      <c r="I686" s="30">
        <f t="shared" si="25"/>
        <v>92.11042389500679</v>
      </c>
    </row>
    <row r="687" spans="1:9" ht="15" hidden="1">
      <c r="A687" s="95" t="s">
        <v>164</v>
      </c>
      <c r="B687" s="138"/>
      <c r="C687" s="142" t="s">
        <v>940</v>
      </c>
      <c r="D687" s="142" t="s">
        <v>167</v>
      </c>
      <c r="E687" s="154" t="s">
        <v>509</v>
      </c>
      <c r="F687" s="139" t="s">
        <v>165</v>
      </c>
      <c r="G687" s="81"/>
      <c r="H687" s="81"/>
      <c r="I687" s="30" t="e">
        <f t="shared" si="25"/>
        <v>#DIV/0!</v>
      </c>
    </row>
    <row r="688" spans="1:9" ht="15">
      <c r="A688" s="119" t="s">
        <v>279</v>
      </c>
      <c r="B688" s="138"/>
      <c r="C688" s="154" t="s">
        <v>940</v>
      </c>
      <c r="D688" s="163" t="s">
        <v>191</v>
      </c>
      <c r="E688" s="163"/>
      <c r="F688" s="164"/>
      <c r="G688" s="204">
        <f>SUM(G689)</f>
        <v>11558.3</v>
      </c>
      <c r="H688" s="204">
        <f>SUM(H689)</f>
        <v>11014.2</v>
      </c>
      <c r="I688" s="30">
        <f t="shared" si="25"/>
        <v>95.292560324615224</v>
      </c>
    </row>
    <row r="689" spans="1:9" s="105" customFormat="1" ht="15">
      <c r="A689" s="119" t="s">
        <v>965</v>
      </c>
      <c r="B689" s="138"/>
      <c r="C689" s="154" t="s">
        <v>940</v>
      </c>
      <c r="D689" s="163" t="s">
        <v>191</v>
      </c>
      <c r="E689" s="163" t="s">
        <v>966</v>
      </c>
      <c r="F689" s="164"/>
      <c r="G689" s="30">
        <f>SUM(G690)</f>
        <v>11558.3</v>
      </c>
      <c r="H689" s="30">
        <f>SUM(H690)</f>
        <v>11014.2</v>
      </c>
      <c r="I689" s="30">
        <f t="shared" si="25"/>
        <v>95.292560324615224</v>
      </c>
    </row>
    <row r="690" spans="1:9" s="105" customFormat="1" ht="42" customHeight="1">
      <c r="A690" s="95" t="s">
        <v>380</v>
      </c>
      <c r="B690" s="138"/>
      <c r="C690" s="154" t="s">
        <v>940</v>
      </c>
      <c r="D690" s="163" t="s">
        <v>191</v>
      </c>
      <c r="E690" s="138" t="s">
        <v>381</v>
      </c>
      <c r="F690" s="139"/>
      <c r="G690" s="30">
        <f>SUM(G693)+G691+G695</f>
        <v>11558.3</v>
      </c>
      <c r="H690" s="30">
        <f>SUM(H693)+H691+H695</f>
        <v>11014.2</v>
      </c>
      <c r="I690" s="30">
        <f t="shared" si="25"/>
        <v>95.292560324615224</v>
      </c>
    </row>
    <row r="691" spans="1:9" s="105" customFormat="1" ht="42.75">
      <c r="A691" s="119" t="s">
        <v>1122</v>
      </c>
      <c r="B691" s="138"/>
      <c r="C691" s="154" t="s">
        <v>940</v>
      </c>
      <c r="D691" s="163" t="s">
        <v>191</v>
      </c>
      <c r="E691" s="138" t="s">
        <v>123</v>
      </c>
      <c r="F691" s="140"/>
      <c r="G691" s="30">
        <f>SUM(G692)</f>
        <v>5921.9</v>
      </c>
      <c r="H691" s="30">
        <f>SUM(H692)</f>
        <v>5918</v>
      </c>
      <c r="I691" s="30">
        <f t="shared" si="25"/>
        <v>99.934142758236391</v>
      </c>
    </row>
    <row r="692" spans="1:9" s="105" customFormat="1" ht="15">
      <c r="A692" s="95" t="s">
        <v>592</v>
      </c>
      <c r="B692" s="143"/>
      <c r="C692" s="154" t="s">
        <v>940</v>
      </c>
      <c r="D692" s="163" t="s">
        <v>191</v>
      </c>
      <c r="E692" s="138" t="s">
        <v>123</v>
      </c>
      <c r="F692" s="144" t="s">
        <v>593</v>
      </c>
      <c r="G692" s="204">
        <v>5921.9</v>
      </c>
      <c r="H692" s="204">
        <v>5918</v>
      </c>
      <c r="I692" s="30">
        <f t="shared" si="25"/>
        <v>99.934142758236391</v>
      </c>
    </row>
    <row r="693" spans="1:9" ht="42.75">
      <c r="A693" s="119" t="s">
        <v>861</v>
      </c>
      <c r="B693" s="138"/>
      <c r="C693" s="154" t="s">
        <v>940</v>
      </c>
      <c r="D693" s="163" t="s">
        <v>191</v>
      </c>
      <c r="E693" s="138" t="s">
        <v>860</v>
      </c>
      <c r="F693" s="140"/>
      <c r="G693" s="30">
        <f>SUM(G694)</f>
        <v>5636.4</v>
      </c>
      <c r="H693" s="30">
        <f>SUM(H694)</f>
        <v>5096.2</v>
      </c>
      <c r="I693" s="30">
        <f t="shared" si="25"/>
        <v>90.415868284720744</v>
      </c>
    </row>
    <row r="694" spans="1:9" ht="15">
      <c r="A694" s="95" t="s">
        <v>592</v>
      </c>
      <c r="B694" s="143"/>
      <c r="C694" s="154" t="s">
        <v>940</v>
      </c>
      <c r="D694" s="163" t="s">
        <v>191</v>
      </c>
      <c r="E694" s="138" t="s">
        <v>860</v>
      </c>
      <c r="F694" s="144" t="s">
        <v>593</v>
      </c>
      <c r="G694" s="204">
        <v>5636.4</v>
      </c>
      <c r="H694" s="204">
        <v>5096.2</v>
      </c>
      <c r="I694" s="30">
        <f t="shared" si="25"/>
        <v>90.415868284720744</v>
      </c>
    </row>
    <row r="695" spans="1:9" ht="57" hidden="1">
      <c r="A695" s="95" t="s">
        <v>1124</v>
      </c>
      <c r="B695" s="143"/>
      <c r="C695" s="154" t="s">
        <v>940</v>
      </c>
      <c r="D695" s="163" t="s">
        <v>191</v>
      </c>
      <c r="E695" s="138" t="s">
        <v>1125</v>
      </c>
      <c r="F695" s="140"/>
      <c r="G695" s="204">
        <f>SUM(G696)</f>
        <v>0</v>
      </c>
      <c r="H695" s="204">
        <f>SUM(H696)</f>
        <v>0</v>
      </c>
      <c r="I695" s="30" t="e">
        <f t="shared" si="25"/>
        <v>#DIV/0!</v>
      </c>
    </row>
    <row r="696" spans="1:9" ht="15" hidden="1">
      <c r="A696" s="95" t="s">
        <v>592</v>
      </c>
      <c r="B696" s="143"/>
      <c r="C696" s="154" t="s">
        <v>940</v>
      </c>
      <c r="D696" s="163" t="s">
        <v>191</v>
      </c>
      <c r="E696" s="138" t="s">
        <v>1125</v>
      </c>
      <c r="F696" s="144" t="s">
        <v>593</v>
      </c>
      <c r="G696" s="204"/>
      <c r="H696" s="204"/>
      <c r="I696" s="30" t="e">
        <f t="shared" si="25"/>
        <v>#DIV/0!</v>
      </c>
    </row>
    <row r="697" spans="1:9" ht="15">
      <c r="A697" s="115" t="s">
        <v>490</v>
      </c>
      <c r="B697" s="163"/>
      <c r="C697" s="154" t="s">
        <v>766</v>
      </c>
      <c r="D697" s="154"/>
      <c r="E697" s="154"/>
      <c r="F697" s="144"/>
      <c r="G697" s="204">
        <f>SUM(G702)+G698</f>
        <v>40274.9</v>
      </c>
      <c r="H697" s="204">
        <f>SUM(H702)+H698</f>
        <v>6064.5999999999995</v>
      </c>
      <c r="I697" s="30">
        <f t="shared" si="25"/>
        <v>15.05801380015841</v>
      </c>
    </row>
    <row r="698" spans="1:9" ht="15">
      <c r="A698" s="95" t="s">
        <v>273</v>
      </c>
      <c r="B698" s="138"/>
      <c r="C698" s="138" t="s">
        <v>766</v>
      </c>
      <c r="D698" s="138" t="s">
        <v>838</v>
      </c>
      <c r="E698" s="142"/>
      <c r="F698" s="140"/>
      <c r="G698" s="81">
        <f t="shared" ref="G698:H700" si="26">SUM(G699)</f>
        <v>39970</v>
      </c>
      <c r="H698" s="81">
        <f t="shared" si="26"/>
        <v>5759.7</v>
      </c>
      <c r="I698" s="30">
        <f t="shared" si="25"/>
        <v>14.410057543157368</v>
      </c>
    </row>
    <row r="699" spans="1:9" ht="15">
      <c r="A699" s="95" t="s">
        <v>932</v>
      </c>
      <c r="B699" s="138"/>
      <c r="C699" s="138" t="s">
        <v>766</v>
      </c>
      <c r="D699" s="138" t="s">
        <v>838</v>
      </c>
      <c r="E699" s="138" t="s">
        <v>933</v>
      </c>
      <c r="F699" s="140"/>
      <c r="G699" s="81">
        <f t="shared" si="26"/>
        <v>39970</v>
      </c>
      <c r="H699" s="81">
        <f t="shared" si="26"/>
        <v>5759.7</v>
      </c>
      <c r="I699" s="30">
        <f t="shared" si="25"/>
        <v>14.410057543157368</v>
      </c>
    </row>
    <row r="700" spans="1:9" ht="28.5">
      <c r="A700" s="95" t="s">
        <v>274</v>
      </c>
      <c r="B700" s="138"/>
      <c r="C700" s="138" t="s">
        <v>766</v>
      </c>
      <c r="D700" s="138" t="s">
        <v>838</v>
      </c>
      <c r="E700" s="138" t="s">
        <v>566</v>
      </c>
      <c r="F700" s="140"/>
      <c r="G700" s="81">
        <f t="shared" si="26"/>
        <v>39970</v>
      </c>
      <c r="H700" s="81">
        <f t="shared" si="26"/>
        <v>5759.7</v>
      </c>
      <c r="I700" s="30">
        <f t="shared" si="25"/>
        <v>14.410057543157368</v>
      </c>
    </row>
    <row r="701" spans="1:9" ht="15">
      <c r="A701" s="95" t="s">
        <v>164</v>
      </c>
      <c r="B701" s="163"/>
      <c r="C701" s="138" t="s">
        <v>766</v>
      </c>
      <c r="D701" s="138" t="s">
        <v>838</v>
      </c>
      <c r="E701" s="138" t="s">
        <v>566</v>
      </c>
      <c r="F701" s="144" t="s">
        <v>165</v>
      </c>
      <c r="G701" s="204">
        <v>39970</v>
      </c>
      <c r="H701" s="204">
        <v>5759.7</v>
      </c>
      <c r="I701" s="30">
        <f t="shared" si="25"/>
        <v>14.410057543157368</v>
      </c>
    </row>
    <row r="702" spans="1:9" ht="15">
      <c r="A702" s="95" t="s">
        <v>472</v>
      </c>
      <c r="B702" s="138"/>
      <c r="C702" s="138" t="s">
        <v>766</v>
      </c>
      <c r="D702" s="138" t="s">
        <v>204</v>
      </c>
      <c r="E702" s="142"/>
      <c r="F702" s="140"/>
      <c r="G702" s="82">
        <f t="shared" ref="G702:H704" si="27">SUM(G703)</f>
        <v>304.89999999999998</v>
      </c>
      <c r="H702" s="82">
        <f t="shared" si="27"/>
        <v>304.89999999999998</v>
      </c>
      <c r="I702" s="30">
        <f t="shared" si="25"/>
        <v>100</v>
      </c>
    </row>
    <row r="703" spans="1:9" ht="15">
      <c r="A703" s="97" t="s">
        <v>200</v>
      </c>
      <c r="B703" s="142"/>
      <c r="C703" s="138" t="s">
        <v>766</v>
      </c>
      <c r="D703" s="138" t="s">
        <v>204</v>
      </c>
      <c r="E703" s="142" t="s">
        <v>201</v>
      </c>
      <c r="F703" s="140"/>
      <c r="G703" s="82">
        <f t="shared" si="27"/>
        <v>304.89999999999998</v>
      </c>
      <c r="H703" s="82">
        <f t="shared" si="27"/>
        <v>304.89999999999998</v>
      </c>
      <c r="I703" s="30">
        <f t="shared" si="25"/>
        <v>100</v>
      </c>
    </row>
    <row r="704" spans="1:9" ht="28.5">
      <c r="A704" s="98" t="s">
        <v>234</v>
      </c>
      <c r="B704" s="138"/>
      <c r="C704" s="138" t="s">
        <v>766</v>
      </c>
      <c r="D704" s="138" t="s">
        <v>204</v>
      </c>
      <c r="E704" s="142" t="s">
        <v>41</v>
      </c>
      <c r="F704" s="144"/>
      <c r="G704" s="82">
        <f t="shared" si="27"/>
        <v>304.89999999999998</v>
      </c>
      <c r="H704" s="82">
        <f t="shared" si="27"/>
        <v>304.89999999999998</v>
      </c>
      <c r="I704" s="30">
        <f t="shared" si="25"/>
        <v>100</v>
      </c>
    </row>
    <row r="705" spans="1:9" ht="15">
      <c r="A705" s="98" t="s">
        <v>207</v>
      </c>
      <c r="B705" s="138"/>
      <c r="C705" s="138" t="s">
        <v>766</v>
      </c>
      <c r="D705" s="138" t="s">
        <v>204</v>
      </c>
      <c r="E705" s="142" t="s">
        <v>41</v>
      </c>
      <c r="F705" s="144" t="s">
        <v>208</v>
      </c>
      <c r="G705" s="82">
        <v>304.89999999999998</v>
      </c>
      <c r="H705" s="82">
        <v>304.89999999999998</v>
      </c>
      <c r="I705" s="30">
        <f t="shared" si="25"/>
        <v>100</v>
      </c>
    </row>
    <row r="706" spans="1:9" ht="38.25" customHeight="1">
      <c r="A706" s="156" t="s">
        <v>515</v>
      </c>
      <c r="B706" s="157" t="s">
        <v>516</v>
      </c>
      <c r="C706" s="158"/>
      <c r="D706" s="158"/>
      <c r="E706" s="158"/>
      <c r="F706" s="159"/>
      <c r="G706" s="183">
        <f>SUM(G707+G729+G733+G737)</f>
        <v>38366.699999999997</v>
      </c>
      <c r="H706" s="183">
        <f>SUM(H707+H729+H733+H737)</f>
        <v>36687.199999999997</v>
      </c>
      <c r="I706" s="203">
        <f t="shared" si="25"/>
        <v>95.622505975233736</v>
      </c>
    </row>
    <row r="707" spans="1:9" ht="15">
      <c r="A707" s="95" t="s">
        <v>835</v>
      </c>
      <c r="B707" s="138"/>
      <c r="C707" s="138" t="s">
        <v>836</v>
      </c>
      <c r="D707" s="138"/>
      <c r="E707" s="138"/>
      <c r="F707" s="139"/>
      <c r="G707" s="81">
        <f>SUM(G708+G717+G714)+G721</f>
        <v>25036.5</v>
      </c>
      <c r="H707" s="81">
        <f>SUM(H708+H717+H714)+H721</f>
        <v>23944.400000000001</v>
      </c>
      <c r="I707" s="30">
        <f t="shared" si="25"/>
        <v>95.6379685658938</v>
      </c>
    </row>
    <row r="708" spans="1:9" s="40" customFormat="1" ht="29.25" customHeight="1">
      <c r="A708" s="95" t="s">
        <v>731</v>
      </c>
      <c r="B708" s="138"/>
      <c r="C708" s="138" t="s">
        <v>836</v>
      </c>
      <c r="D708" s="138" t="s">
        <v>732</v>
      </c>
      <c r="E708" s="138"/>
      <c r="F708" s="139"/>
      <c r="G708" s="81">
        <f>SUM(G709)</f>
        <v>19027.3</v>
      </c>
      <c r="H708" s="81">
        <f>SUM(H709)</f>
        <v>18989.900000000001</v>
      </c>
      <c r="I708" s="30">
        <f t="shared" si="25"/>
        <v>99.803440319961339</v>
      </c>
    </row>
    <row r="709" spans="1:9" s="40" customFormat="1" ht="30" customHeight="1">
      <c r="A709" s="95" t="s">
        <v>160</v>
      </c>
      <c r="B709" s="138"/>
      <c r="C709" s="138" t="s">
        <v>836</v>
      </c>
      <c r="D709" s="138" t="s">
        <v>732</v>
      </c>
      <c r="E709" s="138" t="s">
        <v>161</v>
      </c>
      <c r="F709" s="139"/>
      <c r="G709" s="81">
        <f>SUM(G710)</f>
        <v>19027.3</v>
      </c>
      <c r="H709" s="81">
        <f>SUM(H710)</f>
        <v>18989.900000000001</v>
      </c>
      <c r="I709" s="30">
        <f t="shared" si="25"/>
        <v>99.803440319961339</v>
      </c>
    </row>
    <row r="710" spans="1:9" ht="20.25" customHeight="1">
      <c r="A710" s="95" t="s">
        <v>168</v>
      </c>
      <c r="B710" s="138"/>
      <c r="C710" s="138" t="s">
        <v>836</v>
      </c>
      <c r="D710" s="138" t="s">
        <v>732</v>
      </c>
      <c r="E710" s="138" t="s">
        <v>170</v>
      </c>
      <c r="F710" s="139"/>
      <c r="G710" s="81">
        <f>SUM(G711+G712)</f>
        <v>19027.3</v>
      </c>
      <c r="H710" s="81">
        <f>SUM(H711+H712)</f>
        <v>18989.900000000001</v>
      </c>
      <c r="I710" s="30">
        <f t="shared" si="25"/>
        <v>99.803440319961339</v>
      </c>
    </row>
    <row r="711" spans="1:9" ht="19.5" customHeight="1">
      <c r="A711" s="95" t="s">
        <v>164</v>
      </c>
      <c r="B711" s="138"/>
      <c r="C711" s="246" t="s">
        <v>169</v>
      </c>
      <c r="D711" s="138" t="s">
        <v>732</v>
      </c>
      <c r="E711" s="138" t="s">
        <v>170</v>
      </c>
      <c r="F711" s="141" t="s">
        <v>165</v>
      </c>
      <c r="G711" s="81">
        <v>2530.6</v>
      </c>
      <c r="H711" s="81">
        <v>2493.1999999999998</v>
      </c>
      <c r="I711" s="30">
        <f t="shared" si="25"/>
        <v>98.522089623014296</v>
      </c>
    </row>
    <row r="712" spans="1:9" ht="32.25" customHeight="1">
      <c r="A712" s="95" t="s">
        <v>733</v>
      </c>
      <c r="B712" s="138"/>
      <c r="C712" s="246" t="s">
        <v>169</v>
      </c>
      <c r="D712" s="138" t="s">
        <v>732</v>
      </c>
      <c r="E712" s="138" t="s">
        <v>734</v>
      </c>
      <c r="F712" s="139"/>
      <c r="G712" s="81">
        <f>SUM(G713)</f>
        <v>16496.7</v>
      </c>
      <c r="H712" s="81">
        <f>SUM(H713)</f>
        <v>16496.7</v>
      </c>
      <c r="I712" s="30">
        <f t="shared" si="25"/>
        <v>100</v>
      </c>
    </row>
    <row r="713" spans="1:9" ht="19.5" customHeight="1">
      <c r="A713" s="95" t="s">
        <v>164</v>
      </c>
      <c r="B713" s="138"/>
      <c r="C713" s="246" t="s">
        <v>169</v>
      </c>
      <c r="D713" s="138" t="s">
        <v>732</v>
      </c>
      <c r="E713" s="138" t="s">
        <v>734</v>
      </c>
      <c r="F713" s="141" t="s">
        <v>165</v>
      </c>
      <c r="G713" s="81">
        <v>16496.7</v>
      </c>
      <c r="H713" s="81">
        <v>16496.7</v>
      </c>
      <c r="I713" s="30">
        <f t="shared" si="25"/>
        <v>100</v>
      </c>
    </row>
    <row r="714" spans="1:9" ht="15" hidden="1">
      <c r="A714" s="95" t="s">
        <v>173</v>
      </c>
      <c r="B714" s="138"/>
      <c r="C714" s="138" t="s">
        <v>836</v>
      </c>
      <c r="D714" s="138" t="s">
        <v>469</v>
      </c>
      <c r="E714" s="138"/>
      <c r="F714" s="140"/>
      <c r="G714" s="81">
        <f>SUM(G715)</f>
        <v>0</v>
      </c>
      <c r="H714" s="81">
        <f>SUM(H715)</f>
        <v>0</v>
      </c>
      <c r="I714" s="30" t="e">
        <f t="shared" si="25"/>
        <v>#DIV/0!</v>
      </c>
    </row>
    <row r="715" spans="1:9" ht="28.5" hidden="1">
      <c r="A715" s="119" t="s">
        <v>378</v>
      </c>
      <c r="B715" s="138"/>
      <c r="C715" s="138" t="s">
        <v>836</v>
      </c>
      <c r="D715" s="138" t="s">
        <v>469</v>
      </c>
      <c r="E715" s="138" t="s">
        <v>379</v>
      </c>
      <c r="F715" s="141"/>
      <c r="G715" s="81">
        <f>SUM(G716)</f>
        <v>0</v>
      </c>
      <c r="H715" s="81">
        <f>SUM(H716)</f>
        <v>0</v>
      </c>
      <c r="I715" s="30" t="e">
        <f t="shared" si="25"/>
        <v>#DIV/0!</v>
      </c>
    </row>
    <row r="716" spans="1:9" ht="15" hidden="1">
      <c r="A716" s="95" t="s">
        <v>164</v>
      </c>
      <c r="B716" s="138"/>
      <c r="C716" s="138" t="s">
        <v>836</v>
      </c>
      <c r="D716" s="138" t="s">
        <v>469</v>
      </c>
      <c r="E716" s="138" t="s">
        <v>379</v>
      </c>
      <c r="F716" s="141" t="s">
        <v>165</v>
      </c>
      <c r="G716" s="81"/>
      <c r="H716" s="81"/>
      <c r="I716" s="30" t="e">
        <f t="shared" si="25"/>
        <v>#DIV/0!</v>
      </c>
    </row>
    <row r="717" spans="1:9" ht="16.5" customHeight="1">
      <c r="A717" s="95" t="s">
        <v>748</v>
      </c>
      <c r="B717" s="138"/>
      <c r="C717" s="138" t="s">
        <v>836</v>
      </c>
      <c r="D717" s="138" t="s">
        <v>766</v>
      </c>
      <c r="E717" s="138"/>
      <c r="F717" s="139"/>
      <c r="G717" s="81">
        <f>SUM(G718)</f>
        <v>310</v>
      </c>
      <c r="H717" s="81">
        <f>SUM(H718)</f>
        <v>0</v>
      </c>
      <c r="I717" s="30">
        <f t="shared" si="25"/>
        <v>0</v>
      </c>
    </row>
    <row r="718" spans="1:9" s="28" customFormat="1" ht="19.5" customHeight="1">
      <c r="A718" s="95" t="s">
        <v>748</v>
      </c>
      <c r="B718" s="138"/>
      <c r="C718" s="138" t="s">
        <v>836</v>
      </c>
      <c r="D718" s="138" t="s">
        <v>766</v>
      </c>
      <c r="E718" s="138" t="s">
        <v>750</v>
      </c>
      <c r="F718" s="139"/>
      <c r="G718" s="81">
        <f>SUM(G720)</f>
        <v>310</v>
      </c>
      <c r="H718" s="81">
        <f>SUM(H720)</f>
        <v>0</v>
      </c>
      <c r="I718" s="30">
        <f t="shared" si="25"/>
        <v>0</v>
      </c>
    </row>
    <row r="719" spans="1:9" s="75" customFormat="1" ht="19.5" customHeight="1">
      <c r="A719" s="95" t="s">
        <v>728</v>
      </c>
      <c r="B719" s="138"/>
      <c r="C719" s="138" t="s">
        <v>836</v>
      </c>
      <c r="D719" s="138" t="s">
        <v>766</v>
      </c>
      <c r="E719" s="138" t="s">
        <v>729</v>
      </c>
      <c r="F719" s="139"/>
      <c r="G719" s="81">
        <f>SUM(G720)</f>
        <v>310</v>
      </c>
      <c r="H719" s="81">
        <f>SUM(H720)</f>
        <v>0</v>
      </c>
      <c r="I719" s="30">
        <f t="shared" si="25"/>
        <v>0</v>
      </c>
    </row>
    <row r="720" spans="1:9" ht="19.5" customHeight="1">
      <c r="A720" s="94" t="s">
        <v>751</v>
      </c>
      <c r="B720" s="142"/>
      <c r="C720" s="138" t="s">
        <v>836</v>
      </c>
      <c r="D720" s="138" t="s">
        <v>766</v>
      </c>
      <c r="E720" s="138" t="s">
        <v>729</v>
      </c>
      <c r="F720" s="140" t="s">
        <v>747</v>
      </c>
      <c r="G720" s="81">
        <v>310</v>
      </c>
      <c r="H720" s="81"/>
      <c r="I720" s="30">
        <f t="shared" si="25"/>
        <v>0</v>
      </c>
    </row>
    <row r="721" spans="1:9" ht="19.5" customHeight="1">
      <c r="A721" s="95" t="s">
        <v>173</v>
      </c>
      <c r="B721" s="138"/>
      <c r="C721" s="138" t="s">
        <v>836</v>
      </c>
      <c r="D721" s="138" t="s">
        <v>469</v>
      </c>
      <c r="E721" s="138"/>
      <c r="F721" s="140"/>
      <c r="G721" s="81">
        <f>SUM(G722+G724)+G726</f>
        <v>5699.2</v>
      </c>
      <c r="H721" s="81">
        <f>SUM(H722+H724)+H726</f>
        <v>4954.5</v>
      </c>
      <c r="I721" s="30">
        <f t="shared" si="25"/>
        <v>86.933253790005622</v>
      </c>
    </row>
    <row r="722" spans="1:9" ht="16.5" customHeight="1">
      <c r="A722" s="95" t="s">
        <v>902</v>
      </c>
      <c r="B722" s="138"/>
      <c r="C722" s="138" t="s">
        <v>836</v>
      </c>
      <c r="D722" s="138" t="s">
        <v>469</v>
      </c>
      <c r="E722" s="138" t="s">
        <v>903</v>
      </c>
      <c r="F722" s="139"/>
      <c r="G722" s="30">
        <f>SUM(G723)</f>
        <v>168.6</v>
      </c>
      <c r="H722" s="30">
        <f>SUM(H723)</f>
        <v>168.6</v>
      </c>
      <c r="I722" s="30">
        <f t="shared" si="25"/>
        <v>100</v>
      </c>
    </row>
    <row r="723" spans="1:9" ht="31.5" customHeight="1">
      <c r="A723" s="95" t="s">
        <v>164</v>
      </c>
      <c r="B723" s="138"/>
      <c r="C723" s="138" t="s">
        <v>836</v>
      </c>
      <c r="D723" s="138" t="s">
        <v>469</v>
      </c>
      <c r="E723" s="138" t="s">
        <v>903</v>
      </c>
      <c r="F723" s="139" t="s">
        <v>165</v>
      </c>
      <c r="G723" s="30">
        <v>168.6</v>
      </c>
      <c r="H723" s="30">
        <v>168.6</v>
      </c>
      <c r="I723" s="30">
        <f t="shared" si="25"/>
        <v>100</v>
      </c>
    </row>
    <row r="724" spans="1:9" ht="19.5" customHeight="1">
      <c r="A724" s="95" t="s">
        <v>904</v>
      </c>
      <c r="B724" s="138"/>
      <c r="C724" s="138" t="s">
        <v>836</v>
      </c>
      <c r="D724" s="138" t="s">
        <v>469</v>
      </c>
      <c r="E724" s="138" t="s">
        <v>905</v>
      </c>
      <c r="F724" s="139"/>
      <c r="G724" s="30">
        <f>SUM(G725)</f>
        <v>266.2</v>
      </c>
      <c r="H724" s="30">
        <f>SUM(H725)</f>
        <v>265.2</v>
      </c>
      <c r="I724" s="30">
        <f t="shared" si="25"/>
        <v>99.624342599549209</v>
      </c>
    </row>
    <row r="725" spans="1:9" ht="18.75" customHeight="1">
      <c r="A725" s="95" t="s">
        <v>164</v>
      </c>
      <c r="B725" s="138"/>
      <c r="C725" s="138" t="s">
        <v>836</v>
      </c>
      <c r="D725" s="138" t="s">
        <v>469</v>
      </c>
      <c r="E725" s="138" t="s">
        <v>905</v>
      </c>
      <c r="F725" s="139" t="s">
        <v>165</v>
      </c>
      <c r="G725" s="30">
        <v>266.2</v>
      </c>
      <c r="H725" s="30">
        <v>265.2</v>
      </c>
      <c r="I725" s="30">
        <f t="shared" si="25"/>
        <v>99.624342599549209</v>
      </c>
    </row>
    <row r="726" spans="1:9" ht="28.5">
      <c r="A726" s="119" t="s">
        <v>175</v>
      </c>
      <c r="B726" s="138"/>
      <c r="C726" s="138" t="s">
        <v>836</v>
      </c>
      <c r="D726" s="138" t="s">
        <v>469</v>
      </c>
      <c r="E726" s="138" t="s">
        <v>176</v>
      </c>
      <c r="F726" s="141"/>
      <c r="G726" s="30">
        <f>SUM(G727)</f>
        <v>5264.4</v>
      </c>
      <c r="H726" s="30">
        <f>SUM(H727)</f>
        <v>4520.7</v>
      </c>
      <c r="I726" s="30">
        <f t="shared" si="25"/>
        <v>85.873033963984497</v>
      </c>
    </row>
    <row r="727" spans="1:9" ht="15">
      <c r="A727" s="119" t="s">
        <v>177</v>
      </c>
      <c r="B727" s="138"/>
      <c r="C727" s="138" t="s">
        <v>836</v>
      </c>
      <c r="D727" s="138" t="s">
        <v>469</v>
      </c>
      <c r="E727" s="138" t="s">
        <v>501</v>
      </c>
      <c r="F727" s="141"/>
      <c r="G727" s="30">
        <f>SUM(G728)</f>
        <v>5264.4</v>
      </c>
      <c r="H727" s="30">
        <f>SUM(H728)</f>
        <v>4520.7</v>
      </c>
      <c r="I727" s="30">
        <f t="shared" si="25"/>
        <v>85.873033963984497</v>
      </c>
    </row>
    <row r="728" spans="1:9" ht="19.5" customHeight="1">
      <c r="A728" s="95" t="s">
        <v>164</v>
      </c>
      <c r="B728" s="138"/>
      <c r="C728" s="138" t="s">
        <v>836</v>
      </c>
      <c r="D728" s="138" t="s">
        <v>469</v>
      </c>
      <c r="E728" s="138" t="s">
        <v>501</v>
      </c>
      <c r="F728" s="141" t="s">
        <v>165</v>
      </c>
      <c r="G728" s="30">
        <v>5264.4</v>
      </c>
      <c r="H728" s="30">
        <v>4520.7</v>
      </c>
      <c r="I728" s="30">
        <f t="shared" si="25"/>
        <v>85.873033963984497</v>
      </c>
    </row>
    <row r="729" spans="1:9" ht="19.5" hidden="1" customHeight="1">
      <c r="A729" s="95" t="s">
        <v>652</v>
      </c>
      <c r="B729" s="138"/>
      <c r="C729" s="142" t="s">
        <v>193</v>
      </c>
      <c r="D729" s="142"/>
      <c r="E729" s="142"/>
      <c r="F729" s="140"/>
      <c r="G729" s="81">
        <f t="shared" ref="G729:H731" si="28">SUM(G730)</f>
        <v>0</v>
      </c>
      <c r="H729" s="81">
        <f t="shared" si="28"/>
        <v>0</v>
      </c>
      <c r="I729" s="30" t="e">
        <f t="shared" si="25"/>
        <v>#DIV/0!</v>
      </c>
    </row>
    <row r="730" spans="1:9" s="32" customFormat="1" ht="28.5" hidden="1">
      <c r="A730" s="119" t="s">
        <v>723</v>
      </c>
      <c r="B730" s="169"/>
      <c r="C730" s="154" t="s">
        <v>193</v>
      </c>
      <c r="D730" s="154" t="s">
        <v>191</v>
      </c>
      <c r="E730" s="154"/>
      <c r="F730" s="144"/>
      <c r="G730" s="81">
        <f t="shared" si="28"/>
        <v>0</v>
      </c>
      <c r="H730" s="81">
        <f t="shared" si="28"/>
        <v>0</v>
      </c>
      <c r="I730" s="30" t="e">
        <f t="shared" si="25"/>
        <v>#DIV/0!</v>
      </c>
    </row>
    <row r="731" spans="1:9" ht="20.25" hidden="1" customHeight="1">
      <c r="A731" s="119" t="s">
        <v>378</v>
      </c>
      <c r="B731" s="138"/>
      <c r="C731" s="154" t="s">
        <v>193</v>
      </c>
      <c r="D731" s="154" t="s">
        <v>191</v>
      </c>
      <c r="E731" s="138" t="s">
        <v>379</v>
      </c>
      <c r="F731" s="141"/>
      <c r="G731" s="81">
        <f t="shared" si="28"/>
        <v>0</v>
      </c>
      <c r="H731" s="81">
        <f t="shared" si="28"/>
        <v>0</v>
      </c>
      <c r="I731" s="30" t="e">
        <f t="shared" si="25"/>
        <v>#DIV/0!</v>
      </c>
    </row>
    <row r="732" spans="1:9" ht="15" hidden="1">
      <c r="A732" s="97" t="s">
        <v>49</v>
      </c>
      <c r="B732" s="138"/>
      <c r="C732" s="154" t="s">
        <v>193</v>
      </c>
      <c r="D732" s="154" t="s">
        <v>191</v>
      </c>
      <c r="E732" s="138" t="s">
        <v>379</v>
      </c>
      <c r="F732" s="139" t="s">
        <v>498</v>
      </c>
      <c r="G732" s="82"/>
      <c r="H732" s="82"/>
      <c r="I732" s="30" t="e">
        <f t="shared" si="25"/>
        <v>#DIV/0!</v>
      </c>
    </row>
    <row r="733" spans="1:9" ht="18" hidden="1" customHeight="1">
      <c r="A733" s="115" t="s">
        <v>341</v>
      </c>
      <c r="B733" s="138"/>
      <c r="C733" s="163" t="s">
        <v>940</v>
      </c>
      <c r="D733" s="163" t="s">
        <v>342</v>
      </c>
      <c r="E733" s="163"/>
      <c r="F733" s="164"/>
      <c r="G733" s="82">
        <f t="shared" ref="G733:H735" si="29">SUM(G734)</f>
        <v>0</v>
      </c>
      <c r="H733" s="82">
        <f t="shared" si="29"/>
        <v>0</v>
      </c>
      <c r="I733" s="30" t="e">
        <f t="shared" si="25"/>
        <v>#DIV/0!</v>
      </c>
    </row>
    <row r="734" spans="1:9" ht="15" hidden="1">
      <c r="A734" s="115" t="s">
        <v>294</v>
      </c>
      <c r="B734" s="138"/>
      <c r="C734" s="163" t="s">
        <v>940</v>
      </c>
      <c r="D734" s="163" t="s">
        <v>732</v>
      </c>
      <c r="E734" s="163"/>
      <c r="F734" s="164"/>
      <c r="G734" s="82">
        <f t="shared" si="29"/>
        <v>0</v>
      </c>
      <c r="H734" s="82">
        <f t="shared" si="29"/>
        <v>0</v>
      </c>
      <c r="I734" s="30" t="e">
        <f t="shared" si="25"/>
        <v>#DIV/0!</v>
      </c>
    </row>
    <row r="735" spans="1:9" ht="42.75" hidden="1">
      <c r="A735" s="119" t="s">
        <v>376</v>
      </c>
      <c r="B735" s="138"/>
      <c r="C735" s="163" t="s">
        <v>940</v>
      </c>
      <c r="D735" s="163" t="s">
        <v>732</v>
      </c>
      <c r="E735" s="138" t="s">
        <v>377</v>
      </c>
      <c r="F735" s="139"/>
      <c r="G735" s="82">
        <f t="shared" si="29"/>
        <v>0</v>
      </c>
      <c r="H735" s="82">
        <f t="shared" si="29"/>
        <v>0</v>
      </c>
      <c r="I735" s="30" t="e">
        <f t="shared" si="25"/>
        <v>#DIV/0!</v>
      </c>
    </row>
    <row r="736" spans="1:9" ht="15" hidden="1">
      <c r="A736" s="97" t="s">
        <v>49</v>
      </c>
      <c r="B736" s="138"/>
      <c r="C736" s="163" t="s">
        <v>940</v>
      </c>
      <c r="D736" s="163" t="s">
        <v>732</v>
      </c>
      <c r="E736" s="138" t="s">
        <v>377</v>
      </c>
      <c r="F736" s="139" t="s">
        <v>498</v>
      </c>
      <c r="G736" s="82"/>
      <c r="H736" s="82"/>
      <c r="I736" s="30" t="e">
        <f t="shared" si="25"/>
        <v>#DIV/0!</v>
      </c>
    </row>
    <row r="737" spans="1:11" ht="15">
      <c r="A737" s="115" t="s">
        <v>741</v>
      </c>
      <c r="B737" s="138"/>
      <c r="C737" s="163" t="s">
        <v>469</v>
      </c>
      <c r="D737" s="163" t="s">
        <v>342</v>
      </c>
      <c r="E737" s="163"/>
      <c r="F737" s="164"/>
      <c r="G737" s="82">
        <f t="shared" ref="G737:H738" si="30">SUM(G738)</f>
        <v>13330.2</v>
      </c>
      <c r="H737" s="82">
        <f t="shared" si="30"/>
        <v>12742.8</v>
      </c>
      <c r="I737" s="30">
        <f t="shared" si="25"/>
        <v>95.593464464149065</v>
      </c>
    </row>
    <row r="738" spans="1:11" ht="19.5" customHeight="1">
      <c r="A738" s="115" t="s">
        <v>470</v>
      </c>
      <c r="B738" s="138"/>
      <c r="C738" s="163" t="s">
        <v>469</v>
      </c>
      <c r="D738" s="163" t="s">
        <v>836</v>
      </c>
      <c r="E738" s="138"/>
      <c r="F738" s="139"/>
      <c r="G738" s="82">
        <f t="shared" si="30"/>
        <v>13330.2</v>
      </c>
      <c r="H738" s="82">
        <f t="shared" si="30"/>
        <v>12742.8</v>
      </c>
      <c r="I738" s="30">
        <f t="shared" si="25"/>
        <v>95.593464464149065</v>
      </c>
    </row>
    <row r="739" spans="1:11" ht="22.5" customHeight="1">
      <c r="A739" s="95" t="s">
        <v>742</v>
      </c>
      <c r="B739" s="138"/>
      <c r="C739" s="163" t="s">
        <v>469</v>
      </c>
      <c r="D739" s="163" t="s">
        <v>836</v>
      </c>
      <c r="E739" s="138" t="s">
        <v>743</v>
      </c>
      <c r="F739" s="141"/>
      <c r="G739" s="81">
        <f>SUM(G741)</f>
        <v>13330.2</v>
      </c>
      <c r="H739" s="81">
        <f>SUM(H741)</f>
        <v>12742.8</v>
      </c>
      <c r="I739" s="30">
        <f t="shared" si="25"/>
        <v>95.593464464149065</v>
      </c>
    </row>
    <row r="740" spans="1:11" ht="28.5" customHeight="1">
      <c r="A740" s="95" t="s">
        <v>744</v>
      </c>
      <c r="B740" s="138"/>
      <c r="C740" s="163" t="s">
        <v>469</v>
      </c>
      <c r="D740" s="163" t="s">
        <v>836</v>
      </c>
      <c r="E740" s="138" t="s">
        <v>745</v>
      </c>
      <c r="F740" s="141"/>
      <c r="G740" s="81">
        <f>SUM(G741)</f>
        <v>13330.2</v>
      </c>
      <c r="H740" s="81">
        <f>SUM(H741)</f>
        <v>12742.8</v>
      </c>
      <c r="I740" s="30">
        <f t="shared" si="25"/>
        <v>95.593464464149065</v>
      </c>
    </row>
    <row r="741" spans="1:11" ht="18" customHeight="1">
      <c r="A741" s="95" t="s">
        <v>746</v>
      </c>
      <c r="B741" s="138"/>
      <c r="C741" s="163" t="s">
        <v>469</v>
      </c>
      <c r="D741" s="163" t="s">
        <v>836</v>
      </c>
      <c r="E741" s="138" t="s">
        <v>745</v>
      </c>
      <c r="F741" s="141" t="s">
        <v>747</v>
      </c>
      <c r="G741" s="81">
        <f>13324.1+6.1</f>
        <v>13330.2</v>
      </c>
      <c r="H741" s="81">
        <v>12742.8</v>
      </c>
      <c r="I741" s="30">
        <f t="shared" si="25"/>
        <v>95.593464464149065</v>
      </c>
    </row>
    <row r="742" spans="1:11" ht="44.25" hidden="1" customHeight="1">
      <c r="A742" s="97" t="s">
        <v>497</v>
      </c>
      <c r="B742" s="160"/>
      <c r="C742" s="166" t="s">
        <v>940</v>
      </c>
      <c r="D742" s="166" t="s">
        <v>732</v>
      </c>
      <c r="E742" s="160" t="s">
        <v>302</v>
      </c>
      <c r="F742" s="141" t="s">
        <v>498</v>
      </c>
      <c r="G742" s="82"/>
      <c r="H742" s="82"/>
      <c r="I742" s="30" t="e">
        <f t="shared" ref="I742:I755" si="31">SUM(H742/G745*100)</f>
        <v>#DIV/0!</v>
      </c>
    </row>
    <row r="743" spans="1:11" ht="42.75" customHeight="1">
      <c r="A743" s="156" t="s">
        <v>517</v>
      </c>
      <c r="B743" s="157" t="s">
        <v>518</v>
      </c>
      <c r="C743" s="158"/>
      <c r="D743" s="158"/>
      <c r="E743" s="158"/>
      <c r="F743" s="159"/>
      <c r="G743" s="183">
        <f>SUM(G744+G761+G766+G772+G777+G782+G821+G836+G859)</f>
        <v>823073.3</v>
      </c>
      <c r="H743" s="183">
        <f>SUM(H744+H761+H766+H772+H777+H782+H821+H836+H859)</f>
        <v>778779.80000000028</v>
      </c>
      <c r="I743" s="203">
        <f t="shared" si="25"/>
        <v>94.618523040414544</v>
      </c>
      <c r="K743" s="84">
        <f>778779.8-H743</f>
        <v>0</v>
      </c>
    </row>
    <row r="744" spans="1:11" ht="15" hidden="1">
      <c r="A744" s="95" t="s">
        <v>835</v>
      </c>
      <c r="B744" s="138"/>
      <c r="C744" s="138" t="s">
        <v>836</v>
      </c>
      <c r="D744" s="138"/>
      <c r="E744" s="138"/>
      <c r="F744" s="139"/>
      <c r="G744" s="81">
        <f>SUM(G745)+G749+G753+G757</f>
        <v>0</v>
      </c>
      <c r="H744" s="81">
        <f>SUM(H745)+H749+H753+H757</f>
        <v>0</v>
      </c>
      <c r="I744" s="30" t="e">
        <f t="shared" si="31"/>
        <v>#DIV/0!</v>
      </c>
    </row>
    <row r="745" spans="1:11" ht="30.75" hidden="1" customHeight="1">
      <c r="A745" s="95" t="s">
        <v>166</v>
      </c>
      <c r="B745" s="138"/>
      <c r="C745" s="138" t="s">
        <v>836</v>
      </c>
      <c r="D745" s="138" t="s">
        <v>167</v>
      </c>
      <c r="E745" s="138"/>
      <c r="F745" s="139"/>
      <c r="G745" s="81">
        <f t="shared" ref="G745:H747" si="32">SUM(G746)</f>
        <v>0</v>
      </c>
      <c r="H745" s="81">
        <f t="shared" si="32"/>
        <v>0</v>
      </c>
      <c r="I745" s="30" t="e">
        <f t="shared" si="31"/>
        <v>#DIV/0!</v>
      </c>
    </row>
    <row r="746" spans="1:11" ht="36" hidden="1" customHeight="1">
      <c r="A746" s="95" t="s">
        <v>160</v>
      </c>
      <c r="B746" s="138"/>
      <c r="C746" s="138" t="s">
        <v>836</v>
      </c>
      <c r="D746" s="138" t="s">
        <v>167</v>
      </c>
      <c r="E746" s="138" t="s">
        <v>161</v>
      </c>
      <c r="F746" s="140"/>
      <c r="G746" s="81">
        <f t="shared" si="32"/>
        <v>0</v>
      </c>
      <c r="H746" s="81">
        <f t="shared" si="32"/>
        <v>0</v>
      </c>
      <c r="I746" s="30" t="e">
        <f t="shared" si="31"/>
        <v>#DIV/0!</v>
      </c>
    </row>
    <row r="747" spans="1:11" ht="36" hidden="1" customHeight="1">
      <c r="A747" s="95" t="s">
        <v>168</v>
      </c>
      <c r="B747" s="138"/>
      <c r="C747" s="138" t="s">
        <v>169</v>
      </c>
      <c r="D747" s="138" t="s">
        <v>167</v>
      </c>
      <c r="E747" s="138" t="s">
        <v>170</v>
      </c>
      <c r="F747" s="140"/>
      <c r="G747" s="81">
        <f t="shared" si="32"/>
        <v>0</v>
      </c>
      <c r="H747" s="81">
        <f t="shared" si="32"/>
        <v>0</v>
      </c>
      <c r="I747" s="30" t="e">
        <f t="shared" si="31"/>
        <v>#DIV/0!</v>
      </c>
    </row>
    <row r="748" spans="1:11" ht="15" hidden="1">
      <c r="A748" s="95" t="s">
        <v>164</v>
      </c>
      <c r="B748" s="138"/>
      <c r="C748" s="138" t="s">
        <v>836</v>
      </c>
      <c r="D748" s="138" t="s">
        <v>167</v>
      </c>
      <c r="E748" s="138" t="s">
        <v>170</v>
      </c>
      <c r="F748" s="139" t="s">
        <v>165</v>
      </c>
      <c r="G748" s="81"/>
      <c r="H748" s="81"/>
      <c r="I748" s="30" t="e">
        <f t="shared" si="31"/>
        <v>#DIV/0!</v>
      </c>
    </row>
    <row r="749" spans="1:11" ht="28.5" hidden="1">
      <c r="A749" s="95" t="s">
        <v>1003</v>
      </c>
      <c r="B749" s="138"/>
      <c r="C749" s="138" t="s">
        <v>836</v>
      </c>
      <c r="D749" s="138" t="s">
        <v>191</v>
      </c>
      <c r="E749" s="138"/>
      <c r="F749" s="139"/>
      <c r="G749" s="81">
        <f t="shared" ref="G749:H751" si="33">SUM(G750)</f>
        <v>0</v>
      </c>
      <c r="H749" s="81">
        <f t="shared" si="33"/>
        <v>0</v>
      </c>
      <c r="I749" s="30" t="e">
        <f t="shared" si="31"/>
        <v>#DIV/0!</v>
      </c>
    </row>
    <row r="750" spans="1:11" s="22" customFormat="1" ht="42.75" hidden="1">
      <c r="A750" s="95" t="s">
        <v>160</v>
      </c>
      <c r="B750" s="138"/>
      <c r="C750" s="138" t="s">
        <v>836</v>
      </c>
      <c r="D750" s="138" t="s">
        <v>191</v>
      </c>
      <c r="E750" s="138" t="s">
        <v>161</v>
      </c>
      <c r="F750" s="140"/>
      <c r="G750" s="81">
        <f t="shared" si="33"/>
        <v>0</v>
      </c>
      <c r="H750" s="81">
        <f t="shared" si="33"/>
        <v>0</v>
      </c>
      <c r="I750" s="30" t="e">
        <f t="shared" si="31"/>
        <v>#DIV/0!</v>
      </c>
    </row>
    <row r="751" spans="1:11" s="22" customFormat="1" ht="36.75" hidden="1" customHeight="1">
      <c r="A751" s="95" t="s">
        <v>168</v>
      </c>
      <c r="B751" s="138"/>
      <c r="C751" s="138" t="s">
        <v>836</v>
      </c>
      <c r="D751" s="138" t="s">
        <v>191</v>
      </c>
      <c r="E751" s="138" t="s">
        <v>170</v>
      </c>
      <c r="F751" s="140"/>
      <c r="G751" s="81">
        <f t="shared" si="33"/>
        <v>0</v>
      </c>
      <c r="H751" s="81">
        <f t="shared" si="33"/>
        <v>0</v>
      </c>
      <c r="I751" s="30" t="e">
        <f t="shared" si="31"/>
        <v>#DIV/0!</v>
      </c>
    </row>
    <row r="752" spans="1:11" s="22" customFormat="1" ht="15" hidden="1" customHeight="1">
      <c r="A752" s="95" t="s">
        <v>164</v>
      </c>
      <c r="B752" s="138"/>
      <c r="C752" s="138" t="s">
        <v>836</v>
      </c>
      <c r="D752" s="138" t="s">
        <v>191</v>
      </c>
      <c r="E752" s="138" t="s">
        <v>170</v>
      </c>
      <c r="F752" s="139" t="s">
        <v>165</v>
      </c>
      <c r="G752" s="81"/>
      <c r="H752" s="81"/>
      <c r="I752" s="30" t="e">
        <f t="shared" si="31"/>
        <v>#DIV/0!</v>
      </c>
    </row>
    <row r="753" spans="1:11" s="22" customFormat="1" ht="14.25" hidden="1" customHeight="1">
      <c r="A753" s="95" t="s">
        <v>731</v>
      </c>
      <c r="B753" s="138"/>
      <c r="C753" s="138" t="s">
        <v>836</v>
      </c>
      <c r="D753" s="138" t="s">
        <v>732</v>
      </c>
      <c r="E753" s="138"/>
      <c r="F753" s="139"/>
      <c r="G753" s="81">
        <f t="shared" ref="G753:H755" si="34">SUM(G754)</f>
        <v>0</v>
      </c>
      <c r="H753" s="81">
        <f t="shared" si="34"/>
        <v>0</v>
      </c>
      <c r="I753" s="30" t="e">
        <f t="shared" si="31"/>
        <v>#DIV/0!</v>
      </c>
    </row>
    <row r="754" spans="1:11" ht="16.5" hidden="1" customHeight="1">
      <c r="A754" s="95" t="s">
        <v>160</v>
      </c>
      <c r="B754" s="138"/>
      <c r="C754" s="138" t="s">
        <v>836</v>
      </c>
      <c r="D754" s="138" t="s">
        <v>732</v>
      </c>
      <c r="E754" s="138" t="s">
        <v>161</v>
      </c>
      <c r="F754" s="139"/>
      <c r="G754" s="81">
        <f t="shared" si="34"/>
        <v>0</v>
      </c>
      <c r="H754" s="81">
        <f t="shared" si="34"/>
        <v>0</v>
      </c>
      <c r="I754" s="30" t="e">
        <f t="shared" si="31"/>
        <v>#DIV/0!</v>
      </c>
    </row>
    <row r="755" spans="1:11" ht="31.5" hidden="1" customHeight="1">
      <c r="A755" s="95" t="s">
        <v>168</v>
      </c>
      <c r="B755" s="138"/>
      <c r="C755" s="138" t="s">
        <v>836</v>
      </c>
      <c r="D755" s="138" t="s">
        <v>732</v>
      </c>
      <c r="E755" s="138" t="s">
        <v>170</v>
      </c>
      <c r="F755" s="139"/>
      <c r="G755" s="81">
        <f t="shared" si="34"/>
        <v>0</v>
      </c>
      <c r="H755" s="81">
        <f t="shared" si="34"/>
        <v>0</v>
      </c>
      <c r="I755" s="30" t="e">
        <f t="shared" si="31"/>
        <v>#DIV/0!</v>
      </c>
    </row>
    <row r="756" spans="1:11" ht="31.5" hidden="1" customHeight="1">
      <c r="A756" s="95" t="s">
        <v>164</v>
      </c>
      <c r="B756" s="138"/>
      <c r="C756" s="138" t="s">
        <v>169</v>
      </c>
      <c r="D756" s="138" t="s">
        <v>732</v>
      </c>
      <c r="E756" s="138" t="s">
        <v>170</v>
      </c>
      <c r="F756" s="141" t="s">
        <v>165</v>
      </c>
      <c r="G756" s="81"/>
      <c r="H756" s="81"/>
      <c r="I756" s="30"/>
    </row>
    <row r="757" spans="1:11" ht="25.5" hidden="1" customHeight="1">
      <c r="A757" s="95" t="s">
        <v>173</v>
      </c>
      <c r="B757" s="138"/>
      <c r="C757" s="138" t="s">
        <v>836</v>
      </c>
      <c r="D757" s="138" t="s">
        <v>469</v>
      </c>
      <c r="E757" s="138"/>
      <c r="F757" s="140"/>
      <c r="G757" s="81">
        <f t="shared" ref="G757:H759" si="35">SUM(G758)</f>
        <v>0</v>
      </c>
      <c r="H757" s="81">
        <f t="shared" si="35"/>
        <v>0</v>
      </c>
      <c r="I757" s="30"/>
    </row>
    <row r="758" spans="1:11" ht="21" hidden="1" customHeight="1">
      <c r="A758" s="94" t="s">
        <v>195</v>
      </c>
      <c r="B758" s="138"/>
      <c r="C758" s="138" t="s">
        <v>836</v>
      </c>
      <c r="D758" s="138" t="s">
        <v>469</v>
      </c>
      <c r="E758" s="142" t="s">
        <v>209</v>
      </c>
      <c r="F758" s="140"/>
      <c r="G758" s="81">
        <f t="shared" si="35"/>
        <v>0</v>
      </c>
      <c r="H758" s="81">
        <f t="shared" si="35"/>
        <v>0</v>
      </c>
      <c r="I758" s="30" t="e">
        <f t="shared" ref="I758:I765" si="36">SUM(H758/G761*100)</f>
        <v>#DIV/0!</v>
      </c>
    </row>
    <row r="759" spans="1:11" ht="36" hidden="1" customHeight="1">
      <c r="A759" s="95" t="s">
        <v>48</v>
      </c>
      <c r="B759" s="138"/>
      <c r="C759" s="138" t="s">
        <v>836</v>
      </c>
      <c r="D759" s="138" t="s">
        <v>469</v>
      </c>
      <c r="E759" s="142" t="s">
        <v>210</v>
      </c>
      <c r="F759" s="140"/>
      <c r="G759" s="81">
        <f t="shared" si="35"/>
        <v>0</v>
      </c>
      <c r="H759" s="81">
        <f t="shared" si="35"/>
        <v>0</v>
      </c>
      <c r="I759" s="30" t="e">
        <f t="shared" si="36"/>
        <v>#DIV/0!</v>
      </c>
    </row>
    <row r="760" spans="1:11" ht="15" hidden="1">
      <c r="A760" s="94" t="s">
        <v>49</v>
      </c>
      <c r="B760" s="138"/>
      <c r="C760" s="138" t="s">
        <v>836</v>
      </c>
      <c r="D760" s="138" t="s">
        <v>469</v>
      </c>
      <c r="E760" s="142" t="s">
        <v>210</v>
      </c>
      <c r="F760" s="140" t="s">
        <v>498</v>
      </c>
      <c r="G760" s="81"/>
      <c r="H760" s="81"/>
      <c r="I760" s="30" t="e">
        <f t="shared" si="36"/>
        <v>#DIV/0!</v>
      </c>
    </row>
    <row r="761" spans="1:11" ht="15" hidden="1">
      <c r="A761" s="95" t="s">
        <v>214</v>
      </c>
      <c r="B761" s="138"/>
      <c r="C761" s="142" t="s">
        <v>167</v>
      </c>
      <c r="D761" s="142"/>
      <c r="E761" s="142"/>
      <c r="F761" s="140"/>
      <c r="G761" s="81">
        <f t="shared" ref="G761:H764" si="37">SUM(G762)</f>
        <v>0</v>
      </c>
      <c r="H761" s="81">
        <f t="shared" si="37"/>
        <v>0</v>
      </c>
      <c r="I761" s="30" t="e">
        <f t="shared" si="36"/>
        <v>#DIV/0!</v>
      </c>
    </row>
    <row r="762" spans="1:11" ht="18" hidden="1" customHeight="1">
      <c r="A762" s="119" t="s">
        <v>602</v>
      </c>
      <c r="B762" s="138"/>
      <c r="C762" s="142" t="s">
        <v>167</v>
      </c>
      <c r="D762" s="142" t="s">
        <v>603</v>
      </c>
      <c r="E762" s="142"/>
      <c r="F762" s="140"/>
      <c r="G762" s="81">
        <f t="shared" si="37"/>
        <v>0</v>
      </c>
      <c r="H762" s="81">
        <f t="shared" si="37"/>
        <v>0</v>
      </c>
      <c r="I762" s="30" t="e">
        <f t="shared" si="36"/>
        <v>#DIV/0!</v>
      </c>
    </row>
    <row r="763" spans="1:11" ht="18.75" hidden="1" customHeight="1">
      <c r="A763" s="95" t="s">
        <v>50</v>
      </c>
      <c r="B763" s="138"/>
      <c r="C763" s="142" t="s">
        <v>167</v>
      </c>
      <c r="D763" s="142" t="s">
        <v>603</v>
      </c>
      <c r="E763" s="142" t="s">
        <v>930</v>
      </c>
      <c r="F763" s="140"/>
      <c r="G763" s="81">
        <f t="shared" si="37"/>
        <v>0</v>
      </c>
      <c r="H763" s="81">
        <f t="shared" si="37"/>
        <v>0</v>
      </c>
      <c r="I763" s="30">
        <f t="shared" si="36"/>
        <v>0</v>
      </c>
    </row>
    <row r="764" spans="1:11" ht="18" hidden="1" customHeight="1">
      <c r="A764" s="95" t="s">
        <v>48</v>
      </c>
      <c r="B764" s="138"/>
      <c r="C764" s="142" t="s">
        <v>167</v>
      </c>
      <c r="D764" s="142" t="s">
        <v>603</v>
      </c>
      <c r="E764" s="142" t="s">
        <v>931</v>
      </c>
      <c r="F764" s="140"/>
      <c r="G764" s="81">
        <f t="shared" si="37"/>
        <v>0</v>
      </c>
      <c r="H764" s="81">
        <f t="shared" si="37"/>
        <v>0</v>
      </c>
      <c r="I764" s="30">
        <f t="shared" si="36"/>
        <v>0</v>
      </c>
    </row>
    <row r="765" spans="1:11" ht="28.5" hidden="1" customHeight="1">
      <c r="A765" s="97" t="s">
        <v>49</v>
      </c>
      <c r="B765" s="109"/>
      <c r="C765" s="160" t="s">
        <v>167</v>
      </c>
      <c r="D765" s="160" t="s">
        <v>603</v>
      </c>
      <c r="E765" s="160" t="s">
        <v>931</v>
      </c>
      <c r="F765" s="141" t="s">
        <v>498</v>
      </c>
      <c r="G765" s="81"/>
      <c r="H765" s="81"/>
      <c r="I765" s="30">
        <f t="shared" si="36"/>
        <v>0</v>
      </c>
    </row>
    <row r="766" spans="1:11" ht="17.25" customHeight="1">
      <c r="A766" s="115" t="s">
        <v>190</v>
      </c>
      <c r="B766" s="163"/>
      <c r="C766" s="163" t="s">
        <v>191</v>
      </c>
      <c r="D766" s="163"/>
      <c r="E766" s="163"/>
      <c r="F766" s="164"/>
      <c r="G766" s="82">
        <f>SUM(G767)</f>
        <v>8154.1</v>
      </c>
      <c r="H766" s="82">
        <f>SUM(H767)</f>
        <v>8154.1</v>
      </c>
      <c r="I766" s="30">
        <f t="shared" ref="I766:I829" si="38">SUM(H766/G766*100)</f>
        <v>100</v>
      </c>
      <c r="K766" s="84"/>
    </row>
    <row r="767" spans="1:11" ht="24" customHeight="1">
      <c r="A767" s="95" t="s">
        <v>192</v>
      </c>
      <c r="B767" s="138"/>
      <c r="C767" s="138" t="s">
        <v>191</v>
      </c>
      <c r="D767" s="138" t="s">
        <v>193</v>
      </c>
      <c r="E767" s="138"/>
      <c r="F767" s="139"/>
      <c r="G767" s="81">
        <f>SUM(G768)</f>
        <v>8154.1</v>
      </c>
      <c r="H767" s="81">
        <f>SUM(H768)</f>
        <v>8154.1</v>
      </c>
      <c r="I767" s="30">
        <f t="shared" si="38"/>
        <v>100</v>
      </c>
    </row>
    <row r="768" spans="1:11" ht="19.5" customHeight="1">
      <c r="A768" s="95" t="s">
        <v>941</v>
      </c>
      <c r="B768" s="138"/>
      <c r="C768" s="138" t="s">
        <v>191</v>
      </c>
      <c r="D768" s="138" t="s">
        <v>193</v>
      </c>
      <c r="E768" s="142" t="s">
        <v>942</v>
      </c>
      <c r="F768" s="140"/>
      <c r="G768" s="81">
        <f>SUM(G769+G770)</f>
        <v>8154.1</v>
      </c>
      <c r="H768" s="81">
        <f>SUM(H769+H770)</f>
        <v>8154.1</v>
      </c>
      <c r="I768" s="30">
        <f t="shared" si="38"/>
        <v>100</v>
      </c>
    </row>
    <row r="769" spans="1:9" s="28" customFormat="1" ht="18" customHeight="1">
      <c r="A769" s="95" t="s">
        <v>943</v>
      </c>
      <c r="B769" s="138"/>
      <c r="C769" s="138" t="s">
        <v>191</v>
      </c>
      <c r="D769" s="138" t="s">
        <v>193</v>
      </c>
      <c r="E769" s="142" t="s">
        <v>942</v>
      </c>
      <c r="F769" s="139" t="s">
        <v>944</v>
      </c>
      <c r="G769" s="81">
        <v>4131.1000000000004</v>
      </c>
      <c r="H769" s="81">
        <v>4131.1000000000004</v>
      </c>
      <c r="I769" s="30">
        <f t="shared" si="38"/>
        <v>100</v>
      </c>
    </row>
    <row r="770" spans="1:9" ht="57">
      <c r="A770" s="116" t="s">
        <v>786</v>
      </c>
      <c r="B770" s="138"/>
      <c r="C770" s="138" t="s">
        <v>191</v>
      </c>
      <c r="D770" s="138" t="s">
        <v>193</v>
      </c>
      <c r="E770" s="142" t="s">
        <v>787</v>
      </c>
      <c r="F770" s="140"/>
      <c r="G770" s="81">
        <f>SUM(G771)</f>
        <v>4023</v>
      </c>
      <c r="H770" s="81">
        <f>SUM(H771)</f>
        <v>4023</v>
      </c>
      <c r="I770" s="30">
        <f t="shared" si="38"/>
        <v>100</v>
      </c>
    </row>
    <row r="771" spans="1:9" s="25" customFormat="1" ht="24.75" customHeight="1">
      <c r="A771" s="95" t="s">
        <v>943</v>
      </c>
      <c r="B771" s="138"/>
      <c r="C771" s="138" t="s">
        <v>191</v>
      </c>
      <c r="D771" s="138" t="s">
        <v>193</v>
      </c>
      <c r="E771" s="142" t="s">
        <v>787</v>
      </c>
      <c r="F771" s="140" t="s">
        <v>944</v>
      </c>
      <c r="G771" s="81">
        <v>4023</v>
      </c>
      <c r="H771" s="81">
        <v>4023</v>
      </c>
      <c r="I771" s="30">
        <f t="shared" si="38"/>
        <v>100</v>
      </c>
    </row>
    <row r="772" spans="1:9" s="25" customFormat="1" ht="21" hidden="1" customHeight="1">
      <c r="A772" s="94" t="s">
        <v>797</v>
      </c>
      <c r="B772" s="142"/>
      <c r="C772" s="142" t="s">
        <v>204</v>
      </c>
      <c r="D772" s="142"/>
      <c r="E772" s="142"/>
      <c r="F772" s="141"/>
      <c r="G772" s="81">
        <f t="shared" ref="G772:H775" si="39">SUM(G773)</f>
        <v>0</v>
      </c>
      <c r="H772" s="81">
        <f t="shared" si="39"/>
        <v>0</v>
      </c>
      <c r="I772" s="30" t="e">
        <f t="shared" si="38"/>
        <v>#DIV/0!</v>
      </c>
    </row>
    <row r="773" spans="1:9" s="25" customFormat="1" ht="30" hidden="1" customHeight="1">
      <c r="A773" s="118" t="s">
        <v>66</v>
      </c>
      <c r="B773" s="138"/>
      <c r="C773" s="142" t="s">
        <v>204</v>
      </c>
      <c r="D773" s="142" t="s">
        <v>204</v>
      </c>
      <c r="E773" s="142"/>
      <c r="F773" s="141"/>
      <c r="G773" s="81">
        <f t="shared" si="39"/>
        <v>0</v>
      </c>
      <c r="H773" s="81">
        <f t="shared" si="39"/>
        <v>0</v>
      </c>
      <c r="I773" s="30" t="e">
        <f t="shared" si="38"/>
        <v>#DIV/0!</v>
      </c>
    </row>
    <row r="774" spans="1:9" ht="26.25" hidden="1" customHeight="1">
      <c r="A774" s="95" t="s">
        <v>160</v>
      </c>
      <c r="B774" s="142"/>
      <c r="C774" s="142" t="s">
        <v>204</v>
      </c>
      <c r="D774" s="142" t="s">
        <v>204</v>
      </c>
      <c r="E774" s="138" t="s">
        <v>161</v>
      </c>
      <c r="F774" s="140"/>
      <c r="G774" s="81">
        <f t="shared" si="39"/>
        <v>0</v>
      </c>
      <c r="H774" s="81">
        <f t="shared" si="39"/>
        <v>0</v>
      </c>
      <c r="I774" s="30" t="e">
        <f t="shared" si="38"/>
        <v>#DIV/0!</v>
      </c>
    </row>
    <row r="775" spans="1:9" ht="31.5" hidden="1" customHeight="1">
      <c r="A775" s="95" t="s">
        <v>168</v>
      </c>
      <c r="B775" s="142"/>
      <c r="C775" s="142" t="s">
        <v>204</v>
      </c>
      <c r="D775" s="142" t="s">
        <v>204</v>
      </c>
      <c r="E775" s="138" t="s">
        <v>170</v>
      </c>
      <c r="F775" s="140"/>
      <c r="G775" s="81">
        <f t="shared" si="39"/>
        <v>0</v>
      </c>
      <c r="H775" s="81">
        <f t="shared" si="39"/>
        <v>0</v>
      </c>
      <c r="I775" s="30" t="e">
        <f t="shared" si="38"/>
        <v>#DIV/0!</v>
      </c>
    </row>
    <row r="776" spans="1:9" ht="15.75" hidden="1" customHeight="1">
      <c r="A776" s="95" t="s">
        <v>164</v>
      </c>
      <c r="B776" s="142"/>
      <c r="C776" s="142" t="s">
        <v>204</v>
      </c>
      <c r="D776" s="142" t="s">
        <v>204</v>
      </c>
      <c r="E776" s="138" t="s">
        <v>170</v>
      </c>
      <c r="F776" s="140" t="s">
        <v>165</v>
      </c>
      <c r="G776" s="81"/>
      <c r="H776" s="81"/>
      <c r="I776" s="30" t="e">
        <f t="shared" si="38"/>
        <v>#DIV/0!</v>
      </c>
    </row>
    <row r="777" spans="1:9" ht="15" hidden="1">
      <c r="A777" s="95" t="s">
        <v>85</v>
      </c>
      <c r="B777" s="138"/>
      <c r="C777" s="138" t="s">
        <v>732</v>
      </c>
      <c r="D777" s="138"/>
      <c r="E777" s="138"/>
      <c r="F777" s="139"/>
      <c r="G777" s="81">
        <f>SUM(G780)</f>
        <v>0</v>
      </c>
      <c r="H777" s="81">
        <f>SUM(H780)</f>
        <v>0</v>
      </c>
      <c r="I777" s="30" t="e">
        <f t="shared" si="38"/>
        <v>#DIV/0!</v>
      </c>
    </row>
    <row r="778" spans="1:9" ht="21.75" hidden="1" customHeight="1">
      <c r="A778" s="95" t="s">
        <v>86</v>
      </c>
      <c r="B778" s="138"/>
      <c r="C778" s="138" t="s">
        <v>732</v>
      </c>
      <c r="D778" s="138" t="s">
        <v>167</v>
      </c>
      <c r="E778" s="138"/>
      <c r="F778" s="139"/>
      <c r="G778" s="81">
        <f>SUM(G781)</f>
        <v>0</v>
      </c>
      <c r="H778" s="81">
        <f>SUM(H781)</f>
        <v>0</v>
      </c>
      <c r="I778" s="30" t="e">
        <f t="shared" si="38"/>
        <v>#DIV/0!</v>
      </c>
    </row>
    <row r="779" spans="1:9" ht="15" hidden="1">
      <c r="A779" s="95" t="s">
        <v>87</v>
      </c>
      <c r="B779" s="138"/>
      <c r="C779" s="138" t="s">
        <v>732</v>
      </c>
      <c r="D779" s="138" t="s">
        <v>167</v>
      </c>
      <c r="E779" s="138" t="s">
        <v>88</v>
      </c>
      <c r="F779" s="139"/>
      <c r="G779" s="81">
        <f>SUM(G780)</f>
        <v>0</v>
      </c>
      <c r="H779" s="81">
        <f>SUM(H780)</f>
        <v>0</v>
      </c>
      <c r="I779" s="30" t="e">
        <f t="shared" si="38"/>
        <v>#DIV/0!</v>
      </c>
    </row>
    <row r="780" spans="1:9" ht="20.25" hidden="1" customHeight="1">
      <c r="A780" s="95" t="s">
        <v>48</v>
      </c>
      <c r="B780" s="160"/>
      <c r="C780" s="160" t="s">
        <v>732</v>
      </c>
      <c r="D780" s="160" t="s">
        <v>167</v>
      </c>
      <c r="E780" s="160" t="s">
        <v>89</v>
      </c>
      <c r="F780" s="141"/>
      <c r="G780" s="81">
        <f>SUM(G781)</f>
        <v>0</v>
      </c>
      <c r="H780" s="81">
        <f>SUM(H781)</f>
        <v>0</v>
      </c>
      <c r="I780" s="30" t="e">
        <f t="shared" si="38"/>
        <v>#DIV/0!</v>
      </c>
    </row>
    <row r="781" spans="1:9" ht="21" hidden="1" customHeight="1">
      <c r="A781" s="97" t="s">
        <v>49</v>
      </c>
      <c r="B781" s="138"/>
      <c r="C781" s="138" t="s">
        <v>732</v>
      </c>
      <c r="D781" s="138" t="s">
        <v>167</v>
      </c>
      <c r="E781" s="160" t="s">
        <v>89</v>
      </c>
      <c r="F781" s="141" t="s">
        <v>498</v>
      </c>
      <c r="G781" s="81"/>
      <c r="H781" s="81"/>
      <c r="I781" s="30" t="e">
        <f t="shared" si="38"/>
        <v>#DIV/0!</v>
      </c>
    </row>
    <row r="782" spans="1:9" ht="18" customHeight="1">
      <c r="A782" s="115" t="s">
        <v>179</v>
      </c>
      <c r="B782" s="138"/>
      <c r="C782" s="163" t="s">
        <v>180</v>
      </c>
      <c r="D782" s="163"/>
      <c r="E782" s="163"/>
      <c r="F782" s="164"/>
      <c r="G782" s="82">
        <f>SUM(G783+G787+G804)+G811</f>
        <v>56575.799999999996</v>
      </c>
      <c r="H782" s="82">
        <f>SUM(H783+H787+H804)+H811</f>
        <v>56572.2</v>
      </c>
      <c r="I782" s="30">
        <f t="shared" si="38"/>
        <v>99.993636855333918</v>
      </c>
    </row>
    <row r="783" spans="1:9" ht="18.75" hidden="1" customHeight="1">
      <c r="A783" s="95" t="s">
        <v>666</v>
      </c>
      <c r="B783" s="157"/>
      <c r="C783" s="142" t="s">
        <v>180</v>
      </c>
      <c r="D783" s="142" t="s">
        <v>836</v>
      </c>
      <c r="E783" s="142"/>
      <c r="F783" s="140"/>
      <c r="G783" s="81">
        <f>SUM(G784+G865)</f>
        <v>0</v>
      </c>
      <c r="H783" s="81">
        <f>SUM(H784+H865)</f>
        <v>0</v>
      </c>
      <c r="I783" s="30" t="e">
        <f t="shared" si="38"/>
        <v>#DIV/0!</v>
      </c>
    </row>
    <row r="784" spans="1:9" ht="15" hidden="1">
      <c r="A784" s="95" t="s">
        <v>667</v>
      </c>
      <c r="B784" s="157"/>
      <c r="C784" s="142" t="s">
        <v>180</v>
      </c>
      <c r="D784" s="142" t="s">
        <v>836</v>
      </c>
      <c r="E784" s="142" t="s">
        <v>668</v>
      </c>
      <c r="F784" s="140"/>
      <c r="G784" s="81">
        <f>SUM(G785)</f>
        <v>0</v>
      </c>
      <c r="H784" s="81">
        <f>SUM(H785)</f>
        <v>0</v>
      </c>
      <c r="I784" s="30" t="e">
        <f t="shared" si="38"/>
        <v>#DIV/0!</v>
      </c>
    </row>
    <row r="785" spans="1:9" ht="26.25" hidden="1" customHeight="1">
      <c r="A785" s="95" t="s">
        <v>48</v>
      </c>
      <c r="B785" s="157"/>
      <c r="C785" s="142" t="s">
        <v>180</v>
      </c>
      <c r="D785" s="142" t="s">
        <v>836</v>
      </c>
      <c r="E785" s="142" t="s">
        <v>669</v>
      </c>
      <c r="F785" s="140"/>
      <c r="G785" s="81">
        <f>SUM(G786)</f>
        <v>0</v>
      </c>
      <c r="H785" s="81">
        <f>SUM(H786)</f>
        <v>0</v>
      </c>
      <c r="I785" s="30" t="e">
        <f t="shared" si="38"/>
        <v>#DIV/0!</v>
      </c>
    </row>
    <row r="786" spans="1:9" ht="37.5" hidden="1" customHeight="1">
      <c r="A786" s="97" t="s">
        <v>49</v>
      </c>
      <c r="B786" s="109"/>
      <c r="C786" s="160" t="s">
        <v>180</v>
      </c>
      <c r="D786" s="160" t="s">
        <v>836</v>
      </c>
      <c r="E786" s="160" t="s">
        <v>669</v>
      </c>
      <c r="F786" s="141" t="s">
        <v>498</v>
      </c>
      <c r="G786" s="81"/>
      <c r="H786" s="81"/>
      <c r="I786" s="30" t="e">
        <f t="shared" si="38"/>
        <v>#DIV/0!</v>
      </c>
    </row>
    <row r="787" spans="1:9" ht="19.5" customHeight="1">
      <c r="A787" s="95" t="s">
        <v>683</v>
      </c>
      <c r="B787" s="138"/>
      <c r="C787" s="142" t="s">
        <v>180</v>
      </c>
      <c r="D787" s="142" t="s">
        <v>838</v>
      </c>
      <c r="E787" s="163"/>
      <c r="F787" s="164"/>
      <c r="G787" s="81">
        <f>SUM(G788+G791+G794+G801)</f>
        <v>56497.7</v>
      </c>
      <c r="H787" s="81">
        <f>SUM(H788+H791+H794+H801)</f>
        <v>56494.1</v>
      </c>
      <c r="I787" s="30">
        <f t="shared" si="38"/>
        <v>99.993628059195331</v>
      </c>
    </row>
    <row r="788" spans="1:9" ht="18" hidden="1" customHeight="1">
      <c r="A788" s="95" t="s">
        <v>686</v>
      </c>
      <c r="B788" s="157"/>
      <c r="C788" s="142" t="s">
        <v>180</v>
      </c>
      <c r="D788" s="142" t="s">
        <v>838</v>
      </c>
      <c r="E788" s="142" t="s">
        <v>687</v>
      </c>
      <c r="F788" s="140"/>
      <c r="G788" s="81">
        <f>SUM(G789)</f>
        <v>0</v>
      </c>
      <c r="H788" s="81">
        <f>SUM(H789)</f>
        <v>0</v>
      </c>
      <c r="I788" s="30" t="e">
        <f t="shared" si="38"/>
        <v>#DIV/0!</v>
      </c>
    </row>
    <row r="789" spans="1:9" ht="37.5" hidden="1" customHeight="1">
      <c r="A789" s="95" t="s">
        <v>48</v>
      </c>
      <c r="B789" s="157"/>
      <c r="C789" s="142" t="s">
        <v>180</v>
      </c>
      <c r="D789" s="142" t="s">
        <v>838</v>
      </c>
      <c r="E789" s="142" t="s">
        <v>688</v>
      </c>
      <c r="F789" s="140"/>
      <c r="G789" s="81">
        <f>SUM(G790)</f>
        <v>0</v>
      </c>
      <c r="H789" s="81">
        <f>SUM(H790)</f>
        <v>0</v>
      </c>
      <c r="I789" s="30" t="e">
        <f t="shared" si="38"/>
        <v>#DIV/0!</v>
      </c>
    </row>
    <row r="790" spans="1:9" ht="19.5" hidden="1" customHeight="1">
      <c r="A790" s="97" t="s">
        <v>49</v>
      </c>
      <c r="B790" s="109"/>
      <c r="C790" s="142" t="s">
        <v>180</v>
      </c>
      <c r="D790" s="142" t="s">
        <v>838</v>
      </c>
      <c r="E790" s="142" t="s">
        <v>688</v>
      </c>
      <c r="F790" s="141" t="s">
        <v>498</v>
      </c>
      <c r="G790" s="81"/>
      <c r="H790" s="81"/>
      <c r="I790" s="30" t="e">
        <f t="shared" si="38"/>
        <v>#DIV/0!</v>
      </c>
    </row>
    <row r="791" spans="1:9" ht="15" hidden="1">
      <c r="A791" s="95" t="s">
        <v>638</v>
      </c>
      <c r="B791" s="138"/>
      <c r="C791" s="142" t="s">
        <v>180</v>
      </c>
      <c r="D791" s="142" t="s">
        <v>838</v>
      </c>
      <c r="E791" s="142" t="s">
        <v>639</v>
      </c>
      <c r="F791" s="140"/>
      <c r="G791" s="81">
        <f>SUM(G792)</f>
        <v>0</v>
      </c>
      <c r="H791" s="81">
        <f>SUM(H792)</f>
        <v>0</v>
      </c>
      <c r="I791" s="30" t="e">
        <f t="shared" si="38"/>
        <v>#DIV/0!</v>
      </c>
    </row>
    <row r="792" spans="1:9" ht="27.75" hidden="1" customHeight="1">
      <c r="A792" s="95" t="s">
        <v>48</v>
      </c>
      <c r="B792" s="157"/>
      <c r="C792" s="142" t="s">
        <v>180</v>
      </c>
      <c r="D792" s="142" t="s">
        <v>838</v>
      </c>
      <c r="E792" s="142" t="s">
        <v>640</v>
      </c>
      <c r="F792" s="140"/>
      <c r="G792" s="81">
        <f>SUM(G793)</f>
        <v>0</v>
      </c>
      <c r="H792" s="81">
        <f>SUM(H793)</f>
        <v>0</v>
      </c>
      <c r="I792" s="30" t="e">
        <f t="shared" si="38"/>
        <v>#DIV/0!</v>
      </c>
    </row>
    <row r="793" spans="1:9" ht="21.75" hidden="1" customHeight="1">
      <c r="A793" s="97" t="s">
        <v>49</v>
      </c>
      <c r="B793" s="109"/>
      <c r="C793" s="142" t="s">
        <v>180</v>
      </c>
      <c r="D793" s="142" t="s">
        <v>838</v>
      </c>
      <c r="E793" s="142" t="s">
        <v>640</v>
      </c>
      <c r="F793" s="141" t="s">
        <v>498</v>
      </c>
      <c r="G793" s="81"/>
      <c r="H793" s="81"/>
      <c r="I793" s="30" t="e">
        <f t="shared" si="38"/>
        <v>#DIV/0!</v>
      </c>
    </row>
    <row r="794" spans="1:9" ht="15">
      <c r="A794" s="95" t="s">
        <v>645</v>
      </c>
      <c r="B794" s="138"/>
      <c r="C794" s="142" t="s">
        <v>180</v>
      </c>
      <c r="D794" s="142" t="s">
        <v>838</v>
      </c>
      <c r="E794" s="142" t="s">
        <v>646</v>
      </c>
      <c r="F794" s="164"/>
      <c r="G794" s="81">
        <f>SUM(G795)</f>
        <v>56497.7</v>
      </c>
      <c r="H794" s="81">
        <f>SUM(H795)</f>
        <v>56494.1</v>
      </c>
      <c r="I794" s="30">
        <f t="shared" si="38"/>
        <v>99.993628059195331</v>
      </c>
    </row>
    <row r="795" spans="1:9" ht="27.75" customHeight="1">
      <c r="A795" s="95" t="s">
        <v>48</v>
      </c>
      <c r="B795" s="138"/>
      <c r="C795" s="142" t="s">
        <v>180</v>
      </c>
      <c r="D795" s="142" t="s">
        <v>838</v>
      </c>
      <c r="E795" s="142" t="s">
        <v>647</v>
      </c>
      <c r="F795" s="164"/>
      <c r="G795" s="81">
        <f>SUM(G799+G797+G796)</f>
        <v>56497.7</v>
      </c>
      <c r="H795" s="81">
        <f>SUM(H799+H797+H796)</f>
        <v>56494.1</v>
      </c>
      <c r="I795" s="30">
        <f t="shared" si="38"/>
        <v>99.993628059195331</v>
      </c>
    </row>
    <row r="796" spans="1:9" ht="18" hidden="1" customHeight="1">
      <c r="A796" s="97" t="s">
        <v>49</v>
      </c>
      <c r="B796" s="138"/>
      <c r="C796" s="142" t="s">
        <v>180</v>
      </c>
      <c r="D796" s="142" t="s">
        <v>838</v>
      </c>
      <c r="E796" s="138" t="s">
        <v>647</v>
      </c>
      <c r="F796" s="140" t="s">
        <v>498</v>
      </c>
      <c r="G796" s="81"/>
      <c r="H796" s="81"/>
      <c r="I796" s="30" t="e">
        <f t="shared" si="38"/>
        <v>#DIV/0!</v>
      </c>
    </row>
    <row r="797" spans="1:9" ht="45" customHeight="1">
      <c r="A797" s="97" t="s">
        <v>60</v>
      </c>
      <c r="B797" s="109"/>
      <c r="C797" s="142" t="s">
        <v>180</v>
      </c>
      <c r="D797" s="142" t="s">
        <v>838</v>
      </c>
      <c r="E797" s="142" t="s">
        <v>649</v>
      </c>
      <c r="F797" s="141"/>
      <c r="G797" s="81">
        <f>SUM(G798)</f>
        <v>38.5</v>
      </c>
      <c r="H797" s="81">
        <f>SUM(H798)</f>
        <v>34.9</v>
      </c>
      <c r="I797" s="30">
        <f t="shared" si="38"/>
        <v>90.649350649350652</v>
      </c>
    </row>
    <row r="798" spans="1:9" ht="19.5" customHeight="1">
      <c r="A798" s="97" t="s">
        <v>49</v>
      </c>
      <c r="B798" s="109"/>
      <c r="C798" s="142" t="s">
        <v>180</v>
      </c>
      <c r="D798" s="142" t="s">
        <v>838</v>
      </c>
      <c r="E798" s="142" t="s">
        <v>649</v>
      </c>
      <c r="F798" s="141" t="s">
        <v>498</v>
      </c>
      <c r="G798" s="81">
        <v>38.5</v>
      </c>
      <c r="H798" s="81">
        <v>34.9</v>
      </c>
      <c r="I798" s="30">
        <f t="shared" si="38"/>
        <v>90.649350649350652</v>
      </c>
    </row>
    <row r="799" spans="1:9" ht="63" customHeight="1">
      <c r="A799" s="95" t="s">
        <v>862</v>
      </c>
      <c r="B799" s="138"/>
      <c r="C799" s="142" t="s">
        <v>180</v>
      </c>
      <c r="D799" s="142" t="s">
        <v>838</v>
      </c>
      <c r="E799" s="142" t="s">
        <v>653</v>
      </c>
      <c r="F799" s="164"/>
      <c r="G799" s="81">
        <f>SUM(G800)</f>
        <v>56459.199999999997</v>
      </c>
      <c r="H799" s="81">
        <f>SUM(H800)</f>
        <v>56459.199999999997</v>
      </c>
      <c r="I799" s="30">
        <f t="shared" si="38"/>
        <v>100</v>
      </c>
    </row>
    <row r="800" spans="1:9" ht="15">
      <c r="A800" s="97" t="s">
        <v>49</v>
      </c>
      <c r="B800" s="138"/>
      <c r="C800" s="142" t="s">
        <v>180</v>
      </c>
      <c r="D800" s="142" t="s">
        <v>838</v>
      </c>
      <c r="E800" s="142" t="s">
        <v>653</v>
      </c>
      <c r="F800" s="164" t="s">
        <v>498</v>
      </c>
      <c r="G800" s="81">
        <v>56459.199999999997</v>
      </c>
      <c r="H800" s="81">
        <v>56459.199999999997</v>
      </c>
      <c r="I800" s="30">
        <f t="shared" si="38"/>
        <v>100</v>
      </c>
    </row>
    <row r="801" spans="1:9" ht="15" hidden="1">
      <c r="A801" s="95" t="s">
        <v>654</v>
      </c>
      <c r="B801" s="142"/>
      <c r="C801" s="142" t="s">
        <v>180</v>
      </c>
      <c r="D801" s="142" t="s">
        <v>838</v>
      </c>
      <c r="E801" s="142" t="s">
        <v>655</v>
      </c>
      <c r="F801" s="140"/>
      <c r="G801" s="81">
        <f>SUM(G802)</f>
        <v>0</v>
      </c>
      <c r="H801" s="81">
        <f>SUM(H802)</f>
        <v>0</v>
      </c>
      <c r="I801" s="30" t="e">
        <f t="shared" si="38"/>
        <v>#DIV/0!</v>
      </c>
    </row>
    <row r="802" spans="1:9" ht="28.5" hidden="1">
      <c r="A802" s="95" t="s">
        <v>48</v>
      </c>
      <c r="B802" s="157"/>
      <c r="C802" s="142" t="s">
        <v>180</v>
      </c>
      <c r="D802" s="142" t="s">
        <v>838</v>
      </c>
      <c r="E802" s="142" t="s">
        <v>656</v>
      </c>
      <c r="F802" s="140"/>
      <c r="G802" s="81">
        <f>SUM(G803)</f>
        <v>0</v>
      </c>
      <c r="H802" s="81">
        <f>SUM(H803)</f>
        <v>0</v>
      </c>
      <c r="I802" s="30" t="e">
        <f t="shared" si="38"/>
        <v>#DIV/0!</v>
      </c>
    </row>
    <row r="803" spans="1:9" ht="15" hidden="1">
      <c r="A803" s="97" t="s">
        <v>49</v>
      </c>
      <c r="B803" s="138"/>
      <c r="C803" s="142" t="s">
        <v>180</v>
      </c>
      <c r="D803" s="142" t="s">
        <v>838</v>
      </c>
      <c r="E803" s="142" t="s">
        <v>656</v>
      </c>
      <c r="F803" s="164" t="s">
        <v>498</v>
      </c>
      <c r="G803" s="81"/>
      <c r="H803" s="81"/>
      <c r="I803" s="30" t="e">
        <f t="shared" si="38"/>
        <v>#DIV/0!</v>
      </c>
    </row>
    <row r="804" spans="1:9" ht="15">
      <c r="A804" s="95" t="s">
        <v>181</v>
      </c>
      <c r="B804" s="138"/>
      <c r="C804" s="138" t="s">
        <v>180</v>
      </c>
      <c r="D804" s="138" t="s">
        <v>180</v>
      </c>
      <c r="E804" s="142"/>
      <c r="F804" s="164"/>
      <c r="G804" s="81">
        <f>SUM(G815+G805+G808)</f>
        <v>78.099999999999994</v>
      </c>
      <c r="H804" s="81">
        <f>SUM(H815+H805+H808)</f>
        <v>78.099999999999994</v>
      </c>
      <c r="I804" s="30">
        <f t="shared" si="38"/>
        <v>100</v>
      </c>
    </row>
    <row r="805" spans="1:9" ht="15" hidden="1">
      <c r="A805" s="94" t="s">
        <v>443</v>
      </c>
      <c r="B805" s="142"/>
      <c r="C805" s="142" t="s">
        <v>180</v>
      </c>
      <c r="D805" s="142" t="s">
        <v>180</v>
      </c>
      <c r="E805" s="142" t="s">
        <v>444</v>
      </c>
      <c r="F805" s="140"/>
      <c r="G805" s="81">
        <f>SUM(G806)</f>
        <v>0</v>
      </c>
      <c r="H805" s="81">
        <f>SUM(H806)</f>
        <v>0</v>
      </c>
      <c r="I805" s="30" t="e">
        <f t="shared" si="38"/>
        <v>#DIV/0!</v>
      </c>
    </row>
    <row r="806" spans="1:9" ht="28.5" hidden="1">
      <c r="A806" s="95" t="s">
        <v>48</v>
      </c>
      <c r="B806" s="142"/>
      <c r="C806" s="142" t="s">
        <v>180</v>
      </c>
      <c r="D806" s="142" t="s">
        <v>180</v>
      </c>
      <c r="E806" s="142" t="s">
        <v>450</v>
      </c>
      <c r="F806" s="140"/>
      <c r="G806" s="81">
        <f>SUM(G807)</f>
        <v>0</v>
      </c>
      <c r="H806" s="81">
        <f>SUM(H807)</f>
        <v>0</v>
      </c>
      <c r="I806" s="30" t="e">
        <f t="shared" si="38"/>
        <v>#DIV/0!</v>
      </c>
    </row>
    <row r="807" spans="1:9" ht="22.5" hidden="1" customHeight="1">
      <c r="A807" s="97" t="s">
        <v>49</v>
      </c>
      <c r="B807" s="142"/>
      <c r="C807" s="142" t="s">
        <v>180</v>
      </c>
      <c r="D807" s="142" t="s">
        <v>180</v>
      </c>
      <c r="E807" s="142" t="s">
        <v>450</v>
      </c>
      <c r="F807" s="140" t="s">
        <v>498</v>
      </c>
      <c r="G807" s="81"/>
      <c r="H807" s="81"/>
      <c r="I807" s="30" t="e">
        <f t="shared" si="38"/>
        <v>#DIV/0!</v>
      </c>
    </row>
    <row r="808" spans="1:9" ht="15">
      <c r="A808" s="97" t="s">
        <v>200</v>
      </c>
      <c r="B808" s="168"/>
      <c r="C808" s="142" t="s">
        <v>180</v>
      </c>
      <c r="D808" s="142" t="s">
        <v>180</v>
      </c>
      <c r="E808" s="142" t="s">
        <v>201</v>
      </c>
      <c r="F808" s="141"/>
      <c r="G808" s="81">
        <f>SUM(G809)</f>
        <v>78.099999999999994</v>
      </c>
      <c r="H808" s="81">
        <f>SUM(H809)</f>
        <v>78.099999999999994</v>
      </c>
      <c r="I808" s="30">
        <f t="shared" si="38"/>
        <v>100</v>
      </c>
    </row>
    <row r="809" spans="1:9" ht="42.75">
      <c r="A809" s="98" t="s">
        <v>708</v>
      </c>
      <c r="B809" s="168"/>
      <c r="C809" s="142" t="s">
        <v>180</v>
      </c>
      <c r="D809" s="142" t="s">
        <v>180</v>
      </c>
      <c r="E809" s="142" t="s">
        <v>707</v>
      </c>
      <c r="F809" s="141"/>
      <c r="G809" s="81">
        <f>SUM(G810)</f>
        <v>78.099999999999994</v>
      </c>
      <c r="H809" s="81">
        <f>SUM(H810)</f>
        <v>78.099999999999994</v>
      </c>
      <c r="I809" s="30">
        <f t="shared" si="38"/>
        <v>100</v>
      </c>
    </row>
    <row r="810" spans="1:9" ht="18.75" customHeight="1">
      <c r="A810" s="97" t="s">
        <v>441</v>
      </c>
      <c r="B810" s="168"/>
      <c r="C810" s="142" t="s">
        <v>180</v>
      </c>
      <c r="D810" s="142" t="s">
        <v>180</v>
      </c>
      <c r="E810" s="142" t="s">
        <v>707</v>
      </c>
      <c r="F810" s="141" t="s">
        <v>442</v>
      </c>
      <c r="G810" s="81">
        <v>78.099999999999994</v>
      </c>
      <c r="H810" s="81">
        <v>78.099999999999994</v>
      </c>
      <c r="I810" s="30">
        <f t="shared" si="38"/>
        <v>100</v>
      </c>
    </row>
    <row r="811" spans="1:9" ht="18" hidden="1" customHeight="1">
      <c r="A811" s="95" t="s">
        <v>458</v>
      </c>
      <c r="B811" s="138"/>
      <c r="C811" s="142" t="s">
        <v>180</v>
      </c>
      <c r="D811" s="142" t="s">
        <v>603</v>
      </c>
      <c r="E811" s="142"/>
      <c r="F811" s="140"/>
      <c r="G811" s="81">
        <f>SUM(G812)</f>
        <v>0</v>
      </c>
      <c r="H811" s="81">
        <f>SUM(H812)</f>
        <v>0</v>
      </c>
      <c r="I811" s="30" t="e">
        <f t="shared" si="38"/>
        <v>#DIV/0!</v>
      </c>
    </row>
    <row r="812" spans="1:9" ht="42.75" hidden="1">
      <c r="A812" s="119" t="s">
        <v>560</v>
      </c>
      <c r="B812" s="138"/>
      <c r="C812" s="142" t="s">
        <v>180</v>
      </c>
      <c r="D812" s="142" t="s">
        <v>603</v>
      </c>
      <c r="E812" s="142" t="s">
        <v>561</v>
      </c>
      <c r="F812" s="140"/>
      <c r="G812" s="81">
        <f>SUM(G813)</f>
        <v>0</v>
      </c>
      <c r="H812" s="81">
        <f>SUM(H813)</f>
        <v>0</v>
      </c>
      <c r="I812" s="30" t="e">
        <f t="shared" si="38"/>
        <v>#DIV/0!</v>
      </c>
    </row>
    <row r="813" spans="1:9" ht="19.5" hidden="1" customHeight="1">
      <c r="A813" s="95" t="s">
        <v>48</v>
      </c>
      <c r="B813" s="150"/>
      <c r="C813" s="142" t="s">
        <v>180</v>
      </c>
      <c r="D813" s="142" t="s">
        <v>603</v>
      </c>
      <c r="E813" s="142" t="s">
        <v>562</v>
      </c>
      <c r="F813" s="140"/>
      <c r="G813" s="81">
        <f>SUM(G814+G815+G817)</f>
        <v>0</v>
      </c>
      <c r="H813" s="81">
        <f>SUM(H814+H815+H817)</f>
        <v>0</v>
      </c>
      <c r="I813" s="30" t="e">
        <f t="shared" si="38"/>
        <v>#DIV/0!</v>
      </c>
    </row>
    <row r="814" spans="1:9" s="32" customFormat="1" ht="19.5" hidden="1" customHeight="1">
      <c r="A814" s="97" t="s">
        <v>49</v>
      </c>
      <c r="B814" s="150"/>
      <c r="C814" s="142" t="s">
        <v>180</v>
      </c>
      <c r="D814" s="142" t="s">
        <v>603</v>
      </c>
      <c r="E814" s="142" t="s">
        <v>562</v>
      </c>
      <c r="F814" s="140" t="s">
        <v>498</v>
      </c>
      <c r="G814" s="81"/>
      <c r="H814" s="81"/>
      <c r="I814" s="30" t="e">
        <f t="shared" si="38"/>
        <v>#DIV/0!</v>
      </c>
    </row>
    <row r="815" spans="1:9" s="32" customFormat="1" ht="19.5" hidden="1" customHeight="1">
      <c r="A815" s="119" t="s">
        <v>451</v>
      </c>
      <c r="B815" s="138"/>
      <c r="C815" s="138" t="s">
        <v>180</v>
      </c>
      <c r="D815" s="138" t="s">
        <v>180</v>
      </c>
      <c r="E815" s="138" t="s">
        <v>183</v>
      </c>
      <c r="F815" s="164"/>
      <c r="G815" s="81">
        <f>SUM(G816)</f>
        <v>0</v>
      </c>
      <c r="H815" s="81">
        <f>SUM(H816)</f>
        <v>0</v>
      </c>
      <c r="I815" s="30" t="e">
        <f t="shared" si="38"/>
        <v>#DIV/0!</v>
      </c>
    </row>
    <row r="816" spans="1:9" s="32" customFormat="1" ht="19.5" hidden="1" customHeight="1">
      <c r="A816" s="119" t="s">
        <v>452</v>
      </c>
      <c r="B816" s="138"/>
      <c r="C816" s="138" t="s">
        <v>180</v>
      </c>
      <c r="D816" s="138" t="s">
        <v>180</v>
      </c>
      <c r="E816" s="138" t="s">
        <v>453</v>
      </c>
      <c r="F816" s="164"/>
      <c r="G816" s="81">
        <f>SUM(G817)</f>
        <v>0</v>
      </c>
      <c r="H816" s="81">
        <f>SUM(H817)</f>
        <v>0</v>
      </c>
      <c r="I816" s="30" t="e">
        <f t="shared" si="38"/>
        <v>#DIV/0!</v>
      </c>
    </row>
    <row r="817" spans="1:9" s="32" customFormat="1" ht="19.5" hidden="1" customHeight="1">
      <c r="A817" s="97" t="s">
        <v>497</v>
      </c>
      <c r="B817" s="138"/>
      <c r="C817" s="138" t="s">
        <v>180</v>
      </c>
      <c r="D817" s="138" t="s">
        <v>180</v>
      </c>
      <c r="E817" s="138" t="s">
        <v>453</v>
      </c>
      <c r="F817" s="139" t="s">
        <v>498</v>
      </c>
      <c r="G817" s="81"/>
      <c r="H817" s="81"/>
      <c r="I817" s="30" t="e">
        <f t="shared" si="38"/>
        <v>#DIV/0!</v>
      </c>
    </row>
    <row r="818" spans="1:9" s="107" customFormat="1" ht="15" hidden="1">
      <c r="A818" s="97" t="s">
        <v>181</v>
      </c>
      <c r="B818" s="138"/>
      <c r="C818" s="138" t="s">
        <v>180</v>
      </c>
      <c r="D818" s="138" t="s">
        <v>180</v>
      </c>
      <c r="E818" s="138"/>
      <c r="F818" s="139"/>
      <c r="G818" s="81">
        <f>SUM(G819)</f>
        <v>0</v>
      </c>
      <c r="H818" s="81">
        <f>SUM(H819)</f>
        <v>0</v>
      </c>
      <c r="I818" s="30" t="e">
        <f t="shared" si="38"/>
        <v>#DIV/0!</v>
      </c>
    </row>
    <row r="819" spans="1:9" ht="15" hidden="1">
      <c r="A819" s="97" t="s">
        <v>728</v>
      </c>
      <c r="B819" s="138"/>
      <c r="C819" s="138" t="s">
        <v>180</v>
      </c>
      <c r="D819" s="138" t="s">
        <v>180</v>
      </c>
      <c r="E819" s="138" t="s">
        <v>729</v>
      </c>
      <c r="F819" s="139"/>
      <c r="G819" s="81">
        <f>SUM(G820)</f>
        <v>0</v>
      </c>
      <c r="H819" s="81">
        <f>SUM(H820)</f>
        <v>0</v>
      </c>
      <c r="I819" s="30" t="e">
        <f t="shared" si="38"/>
        <v>#DIV/0!</v>
      </c>
    </row>
    <row r="820" spans="1:9" ht="15" hidden="1">
      <c r="A820" s="97" t="s">
        <v>441</v>
      </c>
      <c r="B820" s="138"/>
      <c r="C820" s="138" t="s">
        <v>180</v>
      </c>
      <c r="D820" s="138" t="s">
        <v>180</v>
      </c>
      <c r="E820" s="138" t="s">
        <v>729</v>
      </c>
      <c r="F820" s="139" t="s">
        <v>442</v>
      </c>
      <c r="G820" s="81"/>
      <c r="H820" s="81"/>
      <c r="I820" s="30" t="e">
        <f t="shared" si="38"/>
        <v>#DIV/0!</v>
      </c>
    </row>
    <row r="821" spans="1:9" ht="27.75" hidden="1" customHeight="1">
      <c r="A821" s="115" t="s">
        <v>652</v>
      </c>
      <c r="B821" s="163"/>
      <c r="C821" s="154" t="s">
        <v>193</v>
      </c>
      <c r="D821" s="154"/>
      <c r="E821" s="154"/>
      <c r="F821" s="144"/>
      <c r="G821" s="82">
        <f>SUM(G822+G832)</f>
        <v>0</v>
      </c>
      <c r="H821" s="82">
        <f>SUM(H822+H832)</f>
        <v>0</v>
      </c>
      <c r="I821" s="30" t="e">
        <f t="shared" si="38"/>
        <v>#DIV/0!</v>
      </c>
    </row>
    <row r="822" spans="1:9" ht="18" hidden="1" customHeight="1">
      <c r="A822" s="95" t="s">
        <v>706</v>
      </c>
      <c r="B822" s="138"/>
      <c r="C822" s="142" t="s">
        <v>193</v>
      </c>
      <c r="D822" s="142" t="s">
        <v>836</v>
      </c>
      <c r="E822" s="142"/>
      <c r="F822" s="140"/>
      <c r="G822" s="81">
        <f>SUM(G823+G826+G829)</f>
        <v>0</v>
      </c>
      <c r="H822" s="81">
        <f>SUM(H823+H826+H829)</f>
        <v>0</v>
      </c>
      <c r="I822" s="30" t="e">
        <f t="shared" si="38"/>
        <v>#DIV/0!</v>
      </c>
    </row>
    <row r="823" spans="1:9" ht="28.5" hidden="1">
      <c r="A823" s="94" t="s">
        <v>195</v>
      </c>
      <c r="B823" s="138"/>
      <c r="C823" s="142" t="s">
        <v>193</v>
      </c>
      <c r="D823" s="142" t="s">
        <v>836</v>
      </c>
      <c r="E823" s="142" t="s">
        <v>209</v>
      </c>
      <c r="F823" s="140"/>
      <c r="G823" s="81">
        <f>SUM(G824:G824)</f>
        <v>0</v>
      </c>
      <c r="H823" s="81">
        <f>SUM(H824:H824)</f>
        <v>0</v>
      </c>
      <c r="I823" s="30" t="e">
        <f t="shared" si="38"/>
        <v>#DIV/0!</v>
      </c>
    </row>
    <row r="824" spans="1:9" ht="27.75" hidden="1" customHeight="1">
      <c r="A824" s="95" t="s">
        <v>48</v>
      </c>
      <c r="B824" s="142"/>
      <c r="C824" s="142" t="s">
        <v>193</v>
      </c>
      <c r="D824" s="142" t="s">
        <v>836</v>
      </c>
      <c r="E824" s="142" t="s">
        <v>210</v>
      </c>
      <c r="F824" s="140"/>
      <c r="G824" s="81">
        <f>SUM(G825:G825)</f>
        <v>0</v>
      </c>
      <c r="H824" s="81">
        <f>SUM(H825:H825)</f>
        <v>0</v>
      </c>
      <c r="I824" s="30" t="e">
        <f t="shared" si="38"/>
        <v>#DIV/0!</v>
      </c>
    </row>
    <row r="825" spans="1:9" ht="18" hidden="1" customHeight="1">
      <c r="A825" s="97" t="s">
        <v>49</v>
      </c>
      <c r="B825" s="142"/>
      <c r="C825" s="142" t="s">
        <v>193</v>
      </c>
      <c r="D825" s="142" t="s">
        <v>836</v>
      </c>
      <c r="E825" s="142" t="s">
        <v>210</v>
      </c>
      <c r="F825" s="140" t="s">
        <v>498</v>
      </c>
      <c r="G825" s="81"/>
      <c r="H825" s="81"/>
      <c r="I825" s="30" t="e">
        <f t="shared" si="38"/>
        <v>#DIV/0!</v>
      </c>
    </row>
    <row r="826" spans="1:9" ht="15" hidden="1">
      <c r="A826" s="95" t="s">
        <v>712</v>
      </c>
      <c r="B826" s="138"/>
      <c r="C826" s="142" t="s">
        <v>193</v>
      </c>
      <c r="D826" s="142" t="s">
        <v>836</v>
      </c>
      <c r="E826" s="142" t="s">
        <v>713</v>
      </c>
      <c r="F826" s="140"/>
      <c r="G826" s="81">
        <f>SUM(G827)</f>
        <v>0</v>
      </c>
      <c r="H826" s="81">
        <f>SUM(H827)</f>
        <v>0</v>
      </c>
      <c r="I826" s="30" t="e">
        <f t="shared" si="38"/>
        <v>#DIV/0!</v>
      </c>
    </row>
    <row r="827" spans="1:9" ht="34.5" hidden="1" customHeight="1">
      <c r="A827" s="95" t="s">
        <v>48</v>
      </c>
      <c r="B827" s="142"/>
      <c r="C827" s="142" t="s">
        <v>193</v>
      </c>
      <c r="D827" s="142" t="s">
        <v>836</v>
      </c>
      <c r="E827" s="142" t="s">
        <v>714</v>
      </c>
      <c r="F827" s="140"/>
      <c r="G827" s="81">
        <f>SUM(G828:G828)</f>
        <v>0</v>
      </c>
      <c r="H827" s="81">
        <f>SUM(H828:H828)</f>
        <v>0</v>
      </c>
      <c r="I827" s="30" t="e">
        <f t="shared" si="38"/>
        <v>#DIV/0!</v>
      </c>
    </row>
    <row r="828" spans="1:9" ht="15.75" hidden="1" customHeight="1">
      <c r="A828" s="97" t="s">
        <v>49</v>
      </c>
      <c r="B828" s="142"/>
      <c r="C828" s="142" t="s">
        <v>193</v>
      </c>
      <c r="D828" s="142" t="s">
        <v>836</v>
      </c>
      <c r="E828" s="142" t="s">
        <v>714</v>
      </c>
      <c r="F828" s="140" t="s">
        <v>498</v>
      </c>
      <c r="G828" s="81"/>
      <c r="H828" s="81"/>
      <c r="I828" s="30" t="e">
        <f t="shared" si="38"/>
        <v>#DIV/0!</v>
      </c>
    </row>
    <row r="829" spans="1:9" ht="24" hidden="1" customHeight="1">
      <c r="A829" s="95" t="s">
        <v>716</v>
      </c>
      <c r="B829" s="138"/>
      <c r="C829" s="142" t="s">
        <v>193</v>
      </c>
      <c r="D829" s="142" t="s">
        <v>836</v>
      </c>
      <c r="E829" s="142" t="s">
        <v>717</v>
      </c>
      <c r="F829" s="140"/>
      <c r="G829" s="81">
        <f>SUM(G830)</f>
        <v>0</v>
      </c>
      <c r="H829" s="81">
        <f>SUM(H830)</f>
        <v>0</v>
      </c>
      <c r="I829" s="30" t="e">
        <f t="shared" si="38"/>
        <v>#DIV/0!</v>
      </c>
    </row>
    <row r="830" spans="1:9" ht="57" hidden="1" customHeight="1">
      <c r="A830" s="95" t="s">
        <v>48</v>
      </c>
      <c r="B830" s="157"/>
      <c r="C830" s="142" t="s">
        <v>193</v>
      </c>
      <c r="D830" s="142" t="s">
        <v>836</v>
      </c>
      <c r="E830" s="142" t="s">
        <v>718</v>
      </c>
      <c r="F830" s="140"/>
      <c r="G830" s="81">
        <f>SUM(G831)</f>
        <v>0</v>
      </c>
      <c r="H830" s="81">
        <f>SUM(H831)</f>
        <v>0</v>
      </c>
      <c r="I830" s="30" t="e">
        <f t="shared" ref="I830:I893" si="40">SUM(H830/G830*100)</f>
        <v>#DIV/0!</v>
      </c>
    </row>
    <row r="831" spans="1:9" ht="30.75" hidden="1" customHeight="1">
      <c r="A831" s="97" t="s">
        <v>49</v>
      </c>
      <c r="B831" s="109"/>
      <c r="C831" s="142" t="s">
        <v>193</v>
      </c>
      <c r="D831" s="142" t="s">
        <v>836</v>
      </c>
      <c r="E831" s="142" t="s">
        <v>718</v>
      </c>
      <c r="F831" s="141" t="s">
        <v>498</v>
      </c>
      <c r="G831" s="81"/>
      <c r="H831" s="81"/>
      <c r="I831" s="30" t="e">
        <f t="shared" si="40"/>
        <v>#DIV/0!</v>
      </c>
    </row>
    <row r="832" spans="1:9" ht="16.5" hidden="1" customHeight="1">
      <c r="A832" s="119" t="s">
        <v>461</v>
      </c>
      <c r="B832" s="169"/>
      <c r="C832" s="154" t="s">
        <v>193</v>
      </c>
      <c r="D832" s="154" t="s">
        <v>191</v>
      </c>
      <c r="E832" s="154"/>
      <c r="F832" s="144"/>
      <c r="G832" s="81">
        <f t="shared" ref="G832:H834" si="41">SUM(G833)</f>
        <v>0</v>
      </c>
      <c r="H832" s="81">
        <f t="shared" si="41"/>
        <v>0</v>
      </c>
      <c r="I832" s="30" t="e">
        <f t="shared" si="40"/>
        <v>#DIV/0!</v>
      </c>
    </row>
    <row r="833" spans="1:9" s="107" customFormat="1" ht="42.75" hidden="1">
      <c r="A833" s="119" t="s">
        <v>560</v>
      </c>
      <c r="B833" s="157"/>
      <c r="C833" s="142" t="s">
        <v>193</v>
      </c>
      <c r="D833" s="154" t="s">
        <v>191</v>
      </c>
      <c r="E833" s="142" t="s">
        <v>561</v>
      </c>
      <c r="F833" s="140"/>
      <c r="G833" s="81">
        <f t="shared" si="41"/>
        <v>0</v>
      </c>
      <c r="H833" s="81">
        <f t="shared" si="41"/>
        <v>0</v>
      </c>
      <c r="I833" s="30" t="e">
        <f t="shared" si="40"/>
        <v>#DIV/0!</v>
      </c>
    </row>
    <row r="834" spans="1:9" ht="15.75" hidden="1" customHeight="1">
      <c r="A834" s="95" t="s">
        <v>48</v>
      </c>
      <c r="B834" s="157"/>
      <c r="C834" s="142" t="s">
        <v>193</v>
      </c>
      <c r="D834" s="154" t="s">
        <v>191</v>
      </c>
      <c r="E834" s="142" t="s">
        <v>562</v>
      </c>
      <c r="F834" s="140"/>
      <c r="G834" s="81">
        <f t="shared" si="41"/>
        <v>0</v>
      </c>
      <c r="H834" s="81">
        <f t="shared" si="41"/>
        <v>0</v>
      </c>
      <c r="I834" s="30" t="e">
        <f t="shared" si="40"/>
        <v>#DIV/0!</v>
      </c>
    </row>
    <row r="835" spans="1:9" ht="15" hidden="1">
      <c r="A835" s="97" t="s">
        <v>49</v>
      </c>
      <c r="B835" s="109"/>
      <c r="C835" s="142" t="s">
        <v>193</v>
      </c>
      <c r="D835" s="154" t="s">
        <v>191</v>
      </c>
      <c r="E835" s="142" t="s">
        <v>562</v>
      </c>
      <c r="F835" s="141" t="s">
        <v>498</v>
      </c>
      <c r="G835" s="81"/>
      <c r="H835" s="81"/>
      <c r="I835" s="30" t="e">
        <f t="shared" si="40"/>
        <v>#DIV/0!</v>
      </c>
    </row>
    <row r="836" spans="1:9" ht="30.75" hidden="1" customHeight="1">
      <c r="A836" s="115" t="s">
        <v>650</v>
      </c>
      <c r="B836" s="163"/>
      <c r="C836" s="154" t="s">
        <v>603</v>
      </c>
      <c r="D836" s="154"/>
      <c r="E836" s="154"/>
      <c r="F836" s="144"/>
      <c r="G836" s="82">
        <f>SUM(G837+G841+G851+G855)</f>
        <v>0</v>
      </c>
      <c r="H836" s="82">
        <f>SUM(H837+H841+H851+H855)</f>
        <v>0</v>
      </c>
      <c r="I836" s="30" t="e">
        <f t="shared" si="40"/>
        <v>#DIV/0!</v>
      </c>
    </row>
    <row r="837" spans="1:9" ht="16.5" hidden="1" customHeight="1">
      <c r="A837" s="95" t="s">
        <v>319</v>
      </c>
      <c r="B837" s="138"/>
      <c r="C837" s="142" t="s">
        <v>603</v>
      </c>
      <c r="D837" s="142" t="s">
        <v>836</v>
      </c>
      <c r="E837" s="142"/>
      <c r="F837" s="140"/>
      <c r="G837" s="81">
        <f t="shared" ref="G837:H839" si="42">SUM(G838)</f>
        <v>0</v>
      </c>
      <c r="H837" s="81">
        <f t="shared" si="42"/>
        <v>0</v>
      </c>
      <c r="I837" s="30" t="e">
        <f t="shared" si="40"/>
        <v>#DIV/0!</v>
      </c>
    </row>
    <row r="838" spans="1:9" ht="18.75" hidden="1" customHeight="1">
      <c r="A838" s="95" t="s">
        <v>356</v>
      </c>
      <c r="B838" s="138"/>
      <c r="C838" s="142" t="s">
        <v>603</v>
      </c>
      <c r="D838" s="142" t="s">
        <v>836</v>
      </c>
      <c r="E838" s="142" t="s">
        <v>323</v>
      </c>
      <c r="F838" s="140"/>
      <c r="G838" s="81">
        <f t="shared" si="42"/>
        <v>0</v>
      </c>
      <c r="H838" s="81">
        <f t="shared" si="42"/>
        <v>0</v>
      </c>
      <c r="I838" s="30" t="e">
        <f t="shared" si="40"/>
        <v>#DIV/0!</v>
      </c>
    </row>
    <row r="839" spans="1:9" ht="28.5" hidden="1">
      <c r="A839" s="95" t="s">
        <v>48</v>
      </c>
      <c r="B839" s="157"/>
      <c r="C839" s="142" t="s">
        <v>603</v>
      </c>
      <c r="D839" s="142" t="s">
        <v>836</v>
      </c>
      <c r="E839" s="142" t="s">
        <v>324</v>
      </c>
      <c r="F839" s="140"/>
      <c r="G839" s="81">
        <f t="shared" si="42"/>
        <v>0</v>
      </c>
      <c r="H839" s="81">
        <f t="shared" si="42"/>
        <v>0</v>
      </c>
      <c r="I839" s="30" t="e">
        <f t="shared" si="40"/>
        <v>#DIV/0!</v>
      </c>
    </row>
    <row r="840" spans="1:9" ht="30.75" hidden="1" customHeight="1">
      <c r="A840" s="97" t="s">
        <v>49</v>
      </c>
      <c r="B840" s="109"/>
      <c r="C840" s="142" t="s">
        <v>603</v>
      </c>
      <c r="D840" s="142" t="s">
        <v>836</v>
      </c>
      <c r="E840" s="142" t="s">
        <v>324</v>
      </c>
      <c r="F840" s="141" t="s">
        <v>498</v>
      </c>
      <c r="G840" s="81"/>
      <c r="H840" s="81"/>
      <c r="I840" s="30" t="e">
        <f t="shared" si="40"/>
        <v>#DIV/0!</v>
      </c>
    </row>
    <row r="841" spans="1:9" ht="16.5" hidden="1" customHeight="1">
      <c r="A841" s="95" t="s">
        <v>476</v>
      </c>
      <c r="B841" s="138"/>
      <c r="C841" s="142" t="s">
        <v>603</v>
      </c>
      <c r="D841" s="142" t="s">
        <v>838</v>
      </c>
      <c r="E841" s="142"/>
      <c r="F841" s="140"/>
      <c r="G841" s="81">
        <f>SUM(G842+G845+G848)</f>
        <v>0</v>
      </c>
      <c r="H841" s="81">
        <f>SUM(H842+H845+H848)</f>
        <v>0</v>
      </c>
      <c r="I841" s="30" t="e">
        <f t="shared" si="40"/>
        <v>#DIV/0!</v>
      </c>
    </row>
    <row r="842" spans="1:9" ht="15.75" hidden="1" customHeight="1">
      <c r="A842" s="95" t="s">
        <v>356</v>
      </c>
      <c r="B842" s="138"/>
      <c r="C842" s="142" t="s">
        <v>603</v>
      </c>
      <c r="D842" s="142" t="s">
        <v>838</v>
      </c>
      <c r="E842" s="142" t="s">
        <v>323</v>
      </c>
      <c r="F842" s="140"/>
      <c r="G842" s="81">
        <f>SUM(G843)</f>
        <v>0</v>
      </c>
      <c r="H842" s="81">
        <f>SUM(H843)</f>
        <v>0</v>
      </c>
      <c r="I842" s="30" t="e">
        <f t="shared" si="40"/>
        <v>#DIV/0!</v>
      </c>
    </row>
    <row r="843" spans="1:9" ht="30.75" hidden="1" customHeight="1">
      <c r="A843" s="95" t="s">
        <v>48</v>
      </c>
      <c r="B843" s="157"/>
      <c r="C843" s="142" t="s">
        <v>603</v>
      </c>
      <c r="D843" s="142" t="s">
        <v>838</v>
      </c>
      <c r="E843" s="142" t="s">
        <v>324</v>
      </c>
      <c r="F843" s="140"/>
      <c r="G843" s="81">
        <f>SUM(G844)</f>
        <v>0</v>
      </c>
      <c r="H843" s="81">
        <f>SUM(H844)</f>
        <v>0</v>
      </c>
      <c r="I843" s="30" t="e">
        <f t="shared" si="40"/>
        <v>#DIV/0!</v>
      </c>
    </row>
    <row r="844" spans="1:9" ht="16.5" hidden="1" customHeight="1">
      <c r="A844" s="97" t="s">
        <v>49</v>
      </c>
      <c r="B844" s="109"/>
      <c r="C844" s="142" t="s">
        <v>603</v>
      </c>
      <c r="D844" s="142" t="s">
        <v>838</v>
      </c>
      <c r="E844" s="142" t="s">
        <v>324</v>
      </c>
      <c r="F844" s="141" t="s">
        <v>498</v>
      </c>
      <c r="G844" s="81"/>
      <c r="H844" s="81"/>
      <c r="I844" s="30" t="e">
        <f t="shared" si="40"/>
        <v>#DIV/0!</v>
      </c>
    </row>
    <row r="845" spans="1:9" ht="14.25" hidden="1" customHeight="1">
      <c r="A845" s="95" t="s">
        <v>477</v>
      </c>
      <c r="B845" s="138"/>
      <c r="C845" s="142" t="s">
        <v>603</v>
      </c>
      <c r="D845" s="142" t="s">
        <v>838</v>
      </c>
      <c r="E845" s="142" t="s">
        <v>478</v>
      </c>
      <c r="F845" s="140"/>
      <c r="G845" s="81">
        <f>SUM(G846)</f>
        <v>0</v>
      </c>
      <c r="H845" s="81">
        <f>SUM(H846)</f>
        <v>0</v>
      </c>
      <c r="I845" s="30" t="e">
        <f t="shared" si="40"/>
        <v>#DIV/0!</v>
      </c>
    </row>
    <row r="846" spans="1:9" ht="30.75" hidden="1" customHeight="1">
      <c r="A846" s="95" t="s">
        <v>48</v>
      </c>
      <c r="B846" s="157"/>
      <c r="C846" s="142" t="s">
        <v>603</v>
      </c>
      <c r="D846" s="142" t="s">
        <v>838</v>
      </c>
      <c r="E846" s="142" t="s">
        <v>479</v>
      </c>
      <c r="F846" s="140"/>
      <c r="G846" s="81">
        <f>SUM(G847)</f>
        <v>0</v>
      </c>
      <c r="H846" s="81">
        <f>SUM(H847)</f>
        <v>0</v>
      </c>
      <c r="I846" s="30" t="e">
        <f t="shared" si="40"/>
        <v>#DIV/0!</v>
      </c>
    </row>
    <row r="847" spans="1:9" ht="16.5" hidden="1" customHeight="1">
      <c r="A847" s="97" t="s">
        <v>49</v>
      </c>
      <c r="B847" s="109"/>
      <c r="C847" s="142" t="s">
        <v>603</v>
      </c>
      <c r="D847" s="142" t="s">
        <v>838</v>
      </c>
      <c r="E847" s="142" t="s">
        <v>479</v>
      </c>
      <c r="F847" s="141" t="s">
        <v>498</v>
      </c>
      <c r="G847" s="81"/>
      <c r="H847" s="81"/>
      <c r="I847" s="30" t="e">
        <f t="shared" si="40"/>
        <v>#DIV/0!</v>
      </c>
    </row>
    <row r="848" spans="1:9" ht="15" hidden="1">
      <c r="A848" s="95" t="s">
        <v>481</v>
      </c>
      <c r="B848" s="138"/>
      <c r="C848" s="142" t="s">
        <v>603</v>
      </c>
      <c r="D848" s="142" t="s">
        <v>838</v>
      </c>
      <c r="E848" s="142" t="s">
        <v>482</v>
      </c>
      <c r="F848" s="140"/>
      <c r="G848" s="81">
        <f>SUM(G849)</f>
        <v>0</v>
      </c>
      <c r="H848" s="81">
        <f>SUM(H849)</f>
        <v>0</v>
      </c>
      <c r="I848" s="30" t="e">
        <f t="shared" si="40"/>
        <v>#DIV/0!</v>
      </c>
    </row>
    <row r="849" spans="1:9" ht="15" hidden="1" customHeight="1">
      <c r="A849" s="95" t="s">
        <v>48</v>
      </c>
      <c r="B849" s="157"/>
      <c r="C849" s="142" t="s">
        <v>603</v>
      </c>
      <c r="D849" s="142" t="s">
        <v>838</v>
      </c>
      <c r="E849" s="142" t="s">
        <v>222</v>
      </c>
      <c r="F849" s="140"/>
      <c r="G849" s="81">
        <f>SUM(G850)</f>
        <v>0</v>
      </c>
      <c r="H849" s="81">
        <f>SUM(H850)</f>
        <v>0</v>
      </c>
      <c r="I849" s="30" t="e">
        <f t="shared" si="40"/>
        <v>#DIV/0!</v>
      </c>
    </row>
    <row r="850" spans="1:9" ht="30" hidden="1" customHeight="1">
      <c r="A850" s="97" t="s">
        <v>49</v>
      </c>
      <c r="B850" s="109"/>
      <c r="C850" s="142" t="s">
        <v>603</v>
      </c>
      <c r="D850" s="142" t="s">
        <v>838</v>
      </c>
      <c r="E850" s="142" t="s">
        <v>222</v>
      </c>
      <c r="F850" s="141" t="s">
        <v>498</v>
      </c>
      <c r="G850" s="81"/>
      <c r="H850" s="81"/>
      <c r="I850" s="30" t="e">
        <f t="shared" si="40"/>
        <v>#DIV/0!</v>
      </c>
    </row>
    <row r="851" spans="1:9" ht="17.25" hidden="1" customHeight="1">
      <c r="A851" s="97" t="s">
        <v>486</v>
      </c>
      <c r="B851" s="138"/>
      <c r="C851" s="142" t="s">
        <v>603</v>
      </c>
      <c r="D851" s="142" t="s">
        <v>191</v>
      </c>
      <c r="E851" s="142"/>
      <c r="F851" s="140"/>
      <c r="G851" s="81">
        <f t="shared" ref="G851:H853" si="43">SUM(G852)</f>
        <v>0</v>
      </c>
      <c r="H851" s="81">
        <f t="shared" si="43"/>
        <v>0</v>
      </c>
      <c r="I851" s="30" t="e">
        <f t="shared" si="40"/>
        <v>#DIV/0!</v>
      </c>
    </row>
    <row r="852" spans="1:9" ht="15" hidden="1">
      <c r="A852" s="95" t="s">
        <v>487</v>
      </c>
      <c r="B852" s="138"/>
      <c r="C852" s="142" t="s">
        <v>603</v>
      </c>
      <c r="D852" s="142" t="s">
        <v>191</v>
      </c>
      <c r="E852" s="142" t="s">
        <v>488</v>
      </c>
      <c r="F852" s="140"/>
      <c r="G852" s="81">
        <f t="shared" si="43"/>
        <v>0</v>
      </c>
      <c r="H852" s="81">
        <f t="shared" si="43"/>
        <v>0</v>
      </c>
      <c r="I852" s="30" t="e">
        <f t="shared" si="40"/>
        <v>#DIV/0!</v>
      </c>
    </row>
    <row r="853" spans="1:9" ht="28.5" hidden="1">
      <c r="A853" s="95" t="s">
        <v>48</v>
      </c>
      <c r="B853" s="138"/>
      <c r="C853" s="142" t="s">
        <v>603</v>
      </c>
      <c r="D853" s="142" t="s">
        <v>191</v>
      </c>
      <c r="E853" s="142" t="s">
        <v>489</v>
      </c>
      <c r="F853" s="140"/>
      <c r="G853" s="81">
        <f t="shared" si="43"/>
        <v>0</v>
      </c>
      <c r="H853" s="81">
        <f t="shared" si="43"/>
        <v>0</v>
      </c>
      <c r="I853" s="30" t="e">
        <f t="shared" si="40"/>
        <v>#DIV/0!</v>
      </c>
    </row>
    <row r="854" spans="1:9" ht="29.25" hidden="1" customHeight="1">
      <c r="A854" s="97" t="s">
        <v>49</v>
      </c>
      <c r="B854" s="138"/>
      <c r="C854" s="142" t="s">
        <v>603</v>
      </c>
      <c r="D854" s="142" t="s">
        <v>191</v>
      </c>
      <c r="E854" s="142" t="s">
        <v>489</v>
      </c>
      <c r="F854" s="140" t="s">
        <v>498</v>
      </c>
      <c r="G854" s="81"/>
      <c r="H854" s="81"/>
      <c r="I854" s="30" t="e">
        <f t="shared" si="40"/>
        <v>#DIV/0!</v>
      </c>
    </row>
    <row r="855" spans="1:9" ht="18.75" hidden="1" customHeight="1">
      <c r="A855" s="95" t="s">
        <v>473</v>
      </c>
      <c r="B855" s="138"/>
      <c r="C855" s="142" t="s">
        <v>603</v>
      </c>
      <c r="D855" s="142" t="s">
        <v>603</v>
      </c>
      <c r="E855" s="142"/>
      <c r="F855" s="140"/>
      <c r="G855" s="81">
        <f t="shared" ref="G855:H857" si="44">SUM(G856)</f>
        <v>0</v>
      </c>
      <c r="H855" s="81">
        <f t="shared" si="44"/>
        <v>0</v>
      </c>
      <c r="I855" s="30" t="e">
        <f t="shared" si="40"/>
        <v>#DIV/0!</v>
      </c>
    </row>
    <row r="856" spans="1:9" s="32" customFormat="1" ht="28.5" hidden="1">
      <c r="A856" s="118" t="s">
        <v>320</v>
      </c>
      <c r="B856" s="138"/>
      <c r="C856" s="142" t="s">
        <v>603</v>
      </c>
      <c r="D856" s="142" t="s">
        <v>603</v>
      </c>
      <c r="E856" s="142" t="s">
        <v>321</v>
      </c>
      <c r="F856" s="140"/>
      <c r="G856" s="81">
        <f t="shared" si="44"/>
        <v>0</v>
      </c>
      <c r="H856" s="81">
        <f t="shared" si="44"/>
        <v>0</v>
      </c>
      <c r="I856" s="30" t="e">
        <f t="shared" si="40"/>
        <v>#DIV/0!</v>
      </c>
    </row>
    <row r="857" spans="1:9" ht="28.5" hidden="1">
      <c r="A857" s="95" t="s">
        <v>48</v>
      </c>
      <c r="B857" s="138"/>
      <c r="C857" s="142" t="s">
        <v>603</v>
      </c>
      <c r="D857" s="142" t="s">
        <v>603</v>
      </c>
      <c r="E857" s="142" t="s">
        <v>322</v>
      </c>
      <c r="F857" s="140"/>
      <c r="G857" s="81">
        <f t="shared" si="44"/>
        <v>0</v>
      </c>
      <c r="H857" s="81">
        <f t="shared" si="44"/>
        <v>0</v>
      </c>
      <c r="I857" s="30" t="e">
        <f t="shared" si="40"/>
        <v>#DIV/0!</v>
      </c>
    </row>
    <row r="858" spans="1:9" ht="15" hidden="1">
      <c r="A858" s="97" t="s">
        <v>49</v>
      </c>
      <c r="B858" s="138"/>
      <c r="C858" s="142" t="s">
        <v>603</v>
      </c>
      <c r="D858" s="142" t="s">
        <v>603</v>
      </c>
      <c r="E858" s="142" t="s">
        <v>322</v>
      </c>
      <c r="F858" s="140" t="s">
        <v>498</v>
      </c>
      <c r="G858" s="81"/>
      <c r="H858" s="81"/>
      <c r="I858" s="30" t="e">
        <f t="shared" si="40"/>
        <v>#DIV/0!</v>
      </c>
    </row>
    <row r="859" spans="1:9" s="31" customFormat="1" ht="15">
      <c r="A859" s="115" t="s">
        <v>341</v>
      </c>
      <c r="B859" s="138"/>
      <c r="C859" s="163" t="s">
        <v>940</v>
      </c>
      <c r="D859" s="163" t="s">
        <v>342</v>
      </c>
      <c r="E859" s="163"/>
      <c r="F859" s="164"/>
      <c r="G859" s="82">
        <f>SUM(G860+G864+G875+G990+G1006)</f>
        <v>758343.4</v>
      </c>
      <c r="H859" s="82">
        <f>SUM(H860+H864+H875+H990+H1006)</f>
        <v>714053.50000000023</v>
      </c>
      <c r="I859" s="30">
        <f t="shared" si="40"/>
        <v>94.15965115540007</v>
      </c>
    </row>
    <row r="860" spans="1:9" s="32" customFormat="1" ht="18" customHeight="1">
      <c r="A860" s="115" t="s">
        <v>343</v>
      </c>
      <c r="B860" s="138"/>
      <c r="C860" s="163" t="s">
        <v>940</v>
      </c>
      <c r="D860" s="163" t="s">
        <v>836</v>
      </c>
      <c r="E860" s="163"/>
      <c r="F860" s="164"/>
      <c r="G860" s="82">
        <f t="shared" ref="G860:H862" si="45">SUM(G861)</f>
        <v>3806</v>
      </c>
      <c r="H860" s="82">
        <f t="shared" si="45"/>
        <v>3806</v>
      </c>
      <c r="I860" s="30">
        <f t="shared" si="40"/>
        <v>100</v>
      </c>
    </row>
    <row r="861" spans="1:9" s="32" customFormat="1" ht="15">
      <c r="A861" s="114" t="s">
        <v>344</v>
      </c>
      <c r="B861" s="138"/>
      <c r="C861" s="138" t="s">
        <v>940</v>
      </c>
      <c r="D861" s="138" t="s">
        <v>836</v>
      </c>
      <c r="E861" s="138" t="s">
        <v>345</v>
      </c>
      <c r="F861" s="164"/>
      <c r="G861" s="81">
        <f t="shared" si="45"/>
        <v>3806</v>
      </c>
      <c r="H861" s="81">
        <f t="shared" si="45"/>
        <v>3806</v>
      </c>
      <c r="I861" s="30">
        <f t="shared" si="40"/>
        <v>100</v>
      </c>
    </row>
    <row r="862" spans="1:9" s="33" customFormat="1" ht="29.25" customHeight="1">
      <c r="A862" s="114" t="s">
        <v>346</v>
      </c>
      <c r="B862" s="150"/>
      <c r="C862" s="138" t="s">
        <v>940</v>
      </c>
      <c r="D862" s="138" t="s">
        <v>836</v>
      </c>
      <c r="E862" s="138" t="s">
        <v>347</v>
      </c>
      <c r="F862" s="164"/>
      <c r="G862" s="81">
        <f t="shared" si="45"/>
        <v>3806</v>
      </c>
      <c r="H862" s="81">
        <f t="shared" si="45"/>
        <v>3806</v>
      </c>
      <c r="I862" s="30">
        <f t="shared" si="40"/>
        <v>100</v>
      </c>
    </row>
    <row r="863" spans="1:9" ht="15">
      <c r="A863" s="95" t="s">
        <v>592</v>
      </c>
      <c r="B863" s="138"/>
      <c r="C863" s="138" t="s">
        <v>940</v>
      </c>
      <c r="D863" s="138" t="s">
        <v>836</v>
      </c>
      <c r="E863" s="138" t="s">
        <v>347</v>
      </c>
      <c r="F863" s="164" t="s">
        <v>593</v>
      </c>
      <c r="G863" s="81">
        <v>3806</v>
      </c>
      <c r="H863" s="81">
        <v>3806</v>
      </c>
      <c r="I863" s="30">
        <f t="shared" si="40"/>
        <v>100</v>
      </c>
    </row>
    <row r="864" spans="1:9" ht="15">
      <c r="A864" s="95" t="s">
        <v>348</v>
      </c>
      <c r="B864" s="138"/>
      <c r="C864" s="154" t="s">
        <v>940</v>
      </c>
      <c r="D864" s="154" t="s">
        <v>838</v>
      </c>
      <c r="E864" s="138"/>
      <c r="F864" s="164"/>
      <c r="G864" s="82">
        <f>SUM(G865+G870)</f>
        <v>46632.4</v>
      </c>
      <c r="H864" s="82">
        <f>SUM(H865+H870)</f>
        <v>46451.9</v>
      </c>
      <c r="I864" s="30">
        <f t="shared" si="40"/>
        <v>99.612930065791176</v>
      </c>
    </row>
    <row r="865" spans="1:9" ht="19.5" hidden="1" customHeight="1">
      <c r="A865" s="99" t="s">
        <v>115</v>
      </c>
      <c r="B865" s="138"/>
      <c r="C865" s="154" t="s">
        <v>940</v>
      </c>
      <c r="D865" s="154" t="s">
        <v>838</v>
      </c>
      <c r="E865" s="154" t="s">
        <v>116</v>
      </c>
      <c r="F865" s="144"/>
      <c r="G865" s="82"/>
      <c r="H865" s="82"/>
      <c r="I865" s="30" t="e">
        <f t="shared" si="40"/>
        <v>#DIV/0!</v>
      </c>
    </row>
    <row r="866" spans="1:9" ht="28.5" hidden="1">
      <c r="A866" s="99" t="s">
        <v>956</v>
      </c>
      <c r="B866" s="138"/>
      <c r="C866" s="142" t="s">
        <v>940</v>
      </c>
      <c r="D866" s="142" t="s">
        <v>838</v>
      </c>
      <c r="E866" s="142" t="s">
        <v>957</v>
      </c>
      <c r="F866" s="140"/>
      <c r="G866" s="81">
        <f>SUM(G867+G868)</f>
        <v>0</v>
      </c>
      <c r="H866" s="81">
        <f>SUM(H867+H868)</f>
        <v>0</v>
      </c>
      <c r="I866" s="30" t="e">
        <f t="shared" si="40"/>
        <v>#DIV/0!</v>
      </c>
    </row>
    <row r="867" spans="1:9" ht="15" hidden="1">
      <c r="A867" s="94" t="s">
        <v>497</v>
      </c>
      <c r="B867" s="138"/>
      <c r="C867" s="142" t="s">
        <v>940</v>
      </c>
      <c r="D867" s="142" t="s">
        <v>838</v>
      </c>
      <c r="E867" s="142" t="s">
        <v>957</v>
      </c>
      <c r="F867" s="144" t="s">
        <v>498</v>
      </c>
      <c r="G867" s="81"/>
      <c r="H867" s="81"/>
      <c r="I867" s="30" t="e">
        <f t="shared" si="40"/>
        <v>#DIV/0!</v>
      </c>
    </row>
    <row r="868" spans="1:9" ht="28.5" hidden="1">
      <c r="A868" s="99" t="s">
        <v>958</v>
      </c>
      <c r="B868" s="138"/>
      <c r="C868" s="142" t="s">
        <v>940</v>
      </c>
      <c r="D868" s="142" t="s">
        <v>838</v>
      </c>
      <c r="E868" s="142" t="s">
        <v>959</v>
      </c>
      <c r="F868" s="140"/>
      <c r="G868" s="81">
        <f>SUM(G869)</f>
        <v>0</v>
      </c>
      <c r="H868" s="81">
        <f>SUM(H869)</f>
        <v>0</v>
      </c>
      <c r="I868" s="30" t="e">
        <f t="shared" si="40"/>
        <v>#DIV/0!</v>
      </c>
    </row>
    <row r="869" spans="1:9" ht="15" hidden="1">
      <c r="A869" s="94" t="s">
        <v>497</v>
      </c>
      <c r="B869" s="138"/>
      <c r="C869" s="142" t="s">
        <v>940</v>
      </c>
      <c r="D869" s="142" t="s">
        <v>838</v>
      </c>
      <c r="E869" s="142" t="s">
        <v>959</v>
      </c>
      <c r="F869" s="144" t="s">
        <v>498</v>
      </c>
      <c r="G869" s="81"/>
      <c r="H869" s="81"/>
      <c r="I869" s="30" t="e">
        <f t="shared" si="40"/>
        <v>#DIV/0!</v>
      </c>
    </row>
    <row r="870" spans="1:9" ht="15">
      <c r="A870" s="99" t="s">
        <v>115</v>
      </c>
      <c r="B870" s="138"/>
      <c r="C870" s="154" t="s">
        <v>940</v>
      </c>
      <c r="D870" s="154" t="s">
        <v>838</v>
      </c>
      <c r="E870" s="154" t="s">
        <v>960</v>
      </c>
      <c r="F870" s="144"/>
      <c r="G870" s="81">
        <f>SUM(G871)</f>
        <v>46632.4</v>
      </c>
      <c r="H870" s="81">
        <f>SUM(H871)</f>
        <v>46451.9</v>
      </c>
      <c r="I870" s="30">
        <f t="shared" si="40"/>
        <v>99.612930065791176</v>
      </c>
    </row>
    <row r="871" spans="1:9" ht="28.5">
      <c r="A871" s="94" t="s">
        <v>48</v>
      </c>
      <c r="B871" s="138"/>
      <c r="C871" s="142" t="s">
        <v>940</v>
      </c>
      <c r="D871" s="142" t="s">
        <v>838</v>
      </c>
      <c r="E871" s="142" t="s">
        <v>961</v>
      </c>
      <c r="F871" s="144"/>
      <c r="G871" s="81">
        <f>SUM(G872+G874)</f>
        <v>46632.4</v>
      </c>
      <c r="H871" s="81">
        <f>SUM(H872+H874)</f>
        <v>46451.9</v>
      </c>
      <c r="I871" s="30">
        <f t="shared" si="40"/>
        <v>99.612930065791176</v>
      </c>
    </row>
    <row r="872" spans="1:9" ht="15">
      <c r="A872" s="94" t="s">
        <v>49</v>
      </c>
      <c r="B872" s="138"/>
      <c r="C872" s="142" t="s">
        <v>940</v>
      </c>
      <c r="D872" s="142" t="s">
        <v>838</v>
      </c>
      <c r="E872" s="142" t="s">
        <v>961</v>
      </c>
      <c r="F872" s="144" t="s">
        <v>498</v>
      </c>
      <c r="G872" s="81">
        <v>1818.3</v>
      </c>
      <c r="H872" s="81">
        <v>1637.8</v>
      </c>
      <c r="I872" s="30">
        <f t="shared" si="40"/>
        <v>90.073145245559033</v>
      </c>
    </row>
    <row r="873" spans="1:9" ht="28.5">
      <c r="A873" s="94" t="s">
        <v>962</v>
      </c>
      <c r="B873" s="138"/>
      <c r="C873" s="142" t="s">
        <v>940</v>
      </c>
      <c r="D873" s="142" t="s">
        <v>838</v>
      </c>
      <c r="E873" s="142" t="s">
        <v>963</v>
      </c>
      <c r="F873" s="144"/>
      <c r="G873" s="81">
        <f>SUM(G874)</f>
        <v>44814.1</v>
      </c>
      <c r="H873" s="81">
        <f>SUM(H874)</f>
        <v>44814.1</v>
      </c>
      <c r="I873" s="30">
        <f t="shared" si="40"/>
        <v>100</v>
      </c>
    </row>
    <row r="874" spans="1:9" ht="15">
      <c r="A874" s="94" t="s">
        <v>49</v>
      </c>
      <c r="B874" s="138"/>
      <c r="C874" s="142" t="s">
        <v>940</v>
      </c>
      <c r="D874" s="142" t="s">
        <v>838</v>
      </c>
      <c r="E874" s="142" t="s">
        <v>963</v>
      </c>
      <c r="F874" s="144" t="s">
        <v>498</v>
      </c>
      <c r="G874" s="81">
        <v>44814.1</v>
      </c>
      <c r="H874" s="81">
        <v>44814.1</v>
      </c>
      <c r="I874" s="30">
        <f t="shared" si="40"/>
        <v>100</v>
      </c>
    </row>
    <row r="875" spans="1:9" ht="16.5" customHeight="1">
      <c r="A875" s="115" t="s">
        <v>964</v>
      </c>
      <c r="B875" s="138"/>
      <c r="C875" s="163" t="s">
        <v>940</v>
      </c>
      <c r="D875" s="163" t="s">
        <v>167</v>
      </c>
      <c r="E875" s="163"/>
      <c r="F875" s="164"/>
      <c r="G875" s="82">
        <f>SUM(G879+G976+G983+G876)+G979</f>
        <v>640468.19999999995</v>
      </c>
      <c r="H875" s="82">
        <f>SUM(H879+H976+H983+H876)+H979</f>
        <v>596359.50000000012</v>
      </c>
      <c r="I875" s="30">
        <f t="shared" si="40"/>
        <v>93.113053856538102</v>
      </c>
    </row>
    <row r="876" spans="1:9" ht="15" hidden="1">
      <c r="A876" s="95" t="s">
        <v>748</v>
      </c>
      <c r="B876" s="138"/>
      <c r="C876" s="163" t="s">
        <v>940</v>
      </c>
      <c r="D876" s="163" t="s">
        <v>167</v>
      </c>
      <c r="E876" s="138" t="s">
        <v>750</v>
      </c>
      <c r="F876" s="139"/>
      <c r="G876" s="81">
        <f>SUM(G878)</f>
        <v>0</v>
      </c>
      <c r="H876" s="81">
        <f>SUM(H878)</f>
        <v>0</v>
      </c>
      <c r="I876" s="30" t="e">
        <f t="shared" si="40"/>
        <v>#DIV/0!</v>
      </c>
    </row>
    <row r="877" spans="1:9" ht="19.5" hidden="1" customHeight="1">
      <c r="A877" s="95" t="s">
        <v>728</v>
      </c>
      <c r="B877" s="138"/>
      <c r="C877" s="163" t="s">
        <v>940</v>
      </c>
      <c r="D877" s="163" t="s">
        <v>167</v>
      </c>
      <c r="E877" s="138" t="s">
        <v>729</v>
      </c>
      <c r="F877" s="139"/>
      <c r="G877" s="81">
        <f>SUM(G878)</f>
        <v>0</v>
      </c>
      <c r="H877" s="81">
        <f>SUM(H878)</f>
        <v>0</v>
      </c>
      <c r="I877" s="30" t="e">
        <f t="shared" si="40"/>
        <v>#DIV/0!</v>
      </c>
    </row>
    <row r="878" spans="1:9" ht="15" hidden="1">
      <c r="A878" s="95" t="s">
        <v>592</v>
      </c>
      <c r="B878" s="142"/>
      <c r="C878" s="163" t="s">
        <v>940</v>
      </c>
      <c r="D878" s="163" t="s">
        <v>167</v>
      </c>
      <c r="E878" s="138" t="s">
        <v>729</v>
      </c>
      <c r="F878" s="140" t="s">
        <v>593</v>
      </c>
      <c r="G878" s="81"/>
      <c r="H878" s="81"/>
      <c r="I878" s="30" t="e">
        <f t="shared" si="40"/>
        <v>#DIV/0!</v>
      </c>
    </row>
    <row r="879" spans="1:9" ht="15">
      <c r="A879" s="95" t="s">
        <v>965</v>
      </c>
      <c r="B879" s="138"/>
      <c r="C879" s="138" t="s">
        <v>940</v>
      </c>
      <c r="D879" s="138" t="s">
        <v>167</v>
      </c>
      <c r="E879" s="138" t="s">
        <v>966</v>
      </c>
      <c r="F879" s="139"/>
      <c r="G879" s="81">
        <f>SUM(G880+G882+G884+G893+G895+G915+G923+G926+G928+G954+G899+G901+G908+G911+G919+G921+G906+G903+G913+G886+G889+G891+G897)</f>
        <v>638771.29999999993</v>
      </c>
      <c r="H879" s="81">
        <f>SUM(H880+H882+H884+H893+H895+H915+H923+H926+H928+H954+H899+H901+H908+H911+H919+H921+H906+H903+H913+H886+H889+H891+H897)</f>
        <v>594748.50000000012</v>
      </c>
      <c r="I879" s="30">
        <f t="shared" si="40"/>
        <v>93.108206333002158</v>
      </c>
    </row>
    <row r="880" spans="1:9" ht="42.75" hidden="1">
      <c r="A880" s="128" t="s">
        <v>967</v>
      </c>
      <c r="B880" s="138"/>
      <c r="C880" s="138" t="s">
        <v>940</v>
      </c>
      <c r="D880" s="138" t="s">
        <v>167</v>
      </c>
      <c r="E880" s="138" t="s">
        <v>968</v>
      </c>
      <c r="F880" s="139"/>
      <c r="G880" s="81">
        <f>SUM(G881:G881)</f>
        <v>0</v>
      </c>
      <c r="H880" s="81">
        <f>SUM(H881:H881)</f>
        <v>0</v>
      </c>
      <c r="I880" s="30" t="e">
        <f t="shared" si="40"/>
        <v>#DIV/0!</v>
      </c>
    </row>
    <row r="881" spans="1:9" ht="15" hidden="1">
      <c r="A881" s="95" t="s">
        <v>592</v>
      </c>
      <c r="B881" s="138"/>
      <c r="C881" s="138" t="s">
        <v>940</v>
      </c>
      <c r="D881" s="138" t="s">
        <v>167</v>
      </c>
      <c r="E881" s="138" t="s">
        <v>968</v>
      </c>
      <c r="F881" s="139" t="s">
        <v>593</v>
      </c>
      <c r="G881" s="81"/>
      <c r="H881" s="81"/>
      <c r="I881" s="30" t="e">
        <f t="shared" si="40"/>
        <v>#DIV/0!</v>
      </c>
    </row>
    <row r="882" spans="1:9" ht="42.75" hidden="1">
      <c r="A882" s="95" t="s">
        <v>969</v>
      </c>
      <c r="B882" s="138"/>
      <c r="C882" s="138" t="s">
        <v>940</v>
      </c>
      <c r="D882" s="138" t="s">
        <v>167</v>
      </c>
      <c r="E882" s="138" t="s">
        <v>970</v>
      </c>
      <c r="F882" s="139"/>
      <c r="G882" s="81">
        <f>SUM(G883:G883)</f>
        <v>0</v>
      </c>
      <c r="H882" s="81">
        <f>SUM(H883:H883)</f>
        <v>0</v>
      </c>
      <c r="I882" s="30" t="e">
        <f t="shared" si="40"/>
        <v>#DIV/0!</v>
      </c>
    </row>
    <row r="883" spans="1:9" ht="90" hidden="1" customHeight="1">
      <c r="A883" s="95" t="s">
        <v>592</v>
      </c>
      <c r="B883" s="138"/>
      <c r="C883" s="138" t="s">
        <v>940</v>
      </c>
      <c r="D883" s="138" t="s">
        <v>167</v>
      </c>
      <c r="E883" s="138" t="s">
        <v>970</v>
      </c>
      <c r="F883" s="139" t="s">
        <v>593</v>
      </c>
      <c r="G883" s="81"/>
      <c r="H883" s="81"/>
      <c r="I883" s="30" t="e">
        <f t="shared" si="40"/>
        <v>#DIV/0!</v>
      </c>
    </row>
    <row r="884" spans="1:9" ht="42.75" hidden="1">
      <c r="A884" s="95" t="s">
        <v>971</v>
      </c>
      <c r="B884" s="138"/>
      <c r="C884" s="142" t="s">
        <v>940</v>
      </c>
      <c r="D884" s="138" t="s">
        <v>167</v>
      </c>
      <c r="E884" s="138" t="s">
        <v>972</v>
      </c>
      <c r="F884" s="139"/>
      <c r="G884" s="81">
        <f>SUM(G885)</f>
        <v>0</v>
      </c>
      <c r="H884" s="81">
        <f>SUM(H885)</f>
        <v>0</v>
      </c>
      <c r="I884" s="30" t="e">
        <f t="shared" si="40"/>
        <v>#DIV/0!</v>
      </c>
    </row>
    <row r="885" spans="1:9" ht="15" hidden="1">
      <c r="A885" s="95" t="s">
        <v>592</v>
      </c>
      <c r="B885" s="138"/>
      <c r="C885" s="142" t="s">
        <v>940</v>
      </c>
      <c r="D885" s="138" t="s">
        <v>167</v>
      </c>
      <c r="E885" s="138" t="s">
        <v>972</v>
      </c>
      <c r="F885" s="139" t="s">
        <v>593</v>
      </c>
      <c r="G885" s="81"/>
      <c r="H885" s="81"/>
      <c r="I885" s="30" t="e">
        <f t="shared" si="40"/>
        <v>#DIV/0!</v>
      </c>
    </row>
    <row r="886" spans="1:9" ht="66" hidden="1" customHeight="1">
      <c r="A886" s="95" t="s">
        <v>975</v>
      </c>
      <c r="B886" s="138"/>
      <c r="C886" s="142" t="s">
        <v>940</v>
      </c>
      <c r="D886" s="138" t="s">
        <v>167</v>
      </c>
      <c r="E886" s="138" t="s">
        <v>976</v>
      </c>
      <c r="F886" s="139"/>
      <c r="G886" s="81">
        <f>SUM(G887:G888)</f>
        <v>0</v>
      </c>
      <c r="H886" s="81">
        <f>SUM(H887:H888)</f>
        <v>0</v>
      </c>
      <c r="I886" s="30" t="e">
        <f t="shared" si="40"/>
        <v>#DIV/0!</v>
      </c>
    </row>
    <row r="887" spans="1:9" ht="15" hidden="1">
      <c r="A887" s="95" t="s">
        <v>592</v>
      </c>
      <c r="B887" s="138"/>
      <c r="C887" s="142" t="s">
        <v>940</v>
      </c>
      <c r="D887" s="138" t="s">
        <v>167</v>
      </c>
      <c r="E887" s="138" t="s">
        <v>976</v>
      </c>
      <c r="F887" s="139" t="s">
        <v>593</v>
      </c>
      <c r="G887" s="81"/>
      <c r="H887" s="81"/>
      <c r="I887" s="30" t="e">
        <f t="shared" si="40"/>
        <v>#DIV/0!</v>
      </c>
    </row>
    <row r="888" spans="1:9" ht="36.75" hidden="1" customHeight="1">
      <c r="A888" s="115" t="s">
        <v>164</v>
      </c>
      <c r="B888" s="138"/>
      <c r="C888" s="142" t="s">
        <v>940</v>
      </c>
      <c r="D888" s="138" t="s">
        <v>167</v>
      </c>
      <c r="E888" s="138" t="s">
        <v>976</v>
      </c>
      <c r="F888" s="139" t="s">
        <v>165</v>
      </c>
      <c r="G888" s="81"/>
      <c r="H888" s="81"/>
      <c r="I888" s="30" t="e">
        <f t="shared" si="40"/>
        <v>#DIV/0!</v>
      </c>
    </row>
    <row r="889" spans="1:9" ht="57" hidden="1">
      <c r="A889" s="95" t="s">
        <v>62</v>
      </c>
      <c r="B889" s="138"/>
      <c r="C889" s="142" t="s">
        <v>940</v>
      </c>
      <c r="D889" s="138" t="s">
        <v>167</v>
      </c>
      <c r="E889" s="138" t="s">
        <v>63</v>
      </c>
      <c r="F889" s="139"/>
      <c r="G889" s="81">
        <f>SUM(G890)</f>
        <v>0</v>
      </c>
      <c r="H889" s="81">
        <f>SUM(H890)</f>
        <v>0</v>
      </c>
      <c r="I889" s="30" t="e">
        <f t="shared" si="40"/>
        <v>#DIV/0!</v>
      </c>
    </row>
    <row r="890" spans="1:9" s="33" customFormat="1" ht="15" hidden="1">
      <c r="A890" s="95" t="s">
        <v>592</v>
      </c>
      <c r="B890" s="138"/>
      <c r="C890" s="142" t="s">
        <v>940</v>
      </c>
      <c r="D890" s="138" t="s">
        <v>167</v>
      </c>
      <c r="E890" s="138" t="s">
        <v>63</v>
      </c>
      <c r="F890" s="139" t="s">
        <v>593</v>
      </c>
      <c r="G890" s="81"/>
      <c r="H890" s="81"/>
      <c r="I890" s="30" t="e">
        <f t="shared" si="40"/>
        <v>#DIV/0!</v>
      </c>
    </row>
    <row r="891" spans="1:9" s="33" customFormat="1" ht="42.75" hidden="1">
      <c r="A891" s="95" t="s">
        <v>844</v>
      </c>
      <c r="B891" s="138"/>
      <c r="C891" s="142" t="s">
        <v>940</v>
      </c>
      <c r="D891" s="138" t="s">
        <v>167</v>
      </c>
      <c r="E891" s="138" t="s">
        <v>845</v>
      </c>
      <c r="F891" s="139"/>
      <c r="G891" s="81">
        <f>SUM(G892)</f>
        <v>0</v>
      </c>
      <c r="H891" s="81">
        <f>SUM(H892)</f>
        <v>0</v>
      </c>
      <c r="I891" s="30" t="e">
        <f t="shared" si="40"/>
        <v>#DIV/0!</v>
      </c>
    </row>
    <row r="892" spans="1:9" s="33" customFormat="1" ht="15" hidden="1">
      <c r="A892" s="95" t="s">
        <v>592</v>
      </c>
      <c r="B892" s="138"/>
      <c r="C892" s="142" t="s">
        <v>940</v>
      </c>
      <c r="D892" s="138" t="s">
        <v>167</v>
      </c>
      <c r="E892" s="138" t="s">
        <v>845</v>
      </c>
      <c r="F892" s="139" t="s">
        <v>593</v>
      </c>
      <c r="G892" s="81"/>
      <c r="H892" s="81"/>
      <c r="I892" s="30" t="e">
        <f t="shared" si="40"/>
        <v>#DIV/0!</v>
      </c>
    </row>
    <row r="893" spans="1:9" s="33" customFormat="1" ht="18" hidden="1" customHeight="1">
      <c r="A893" s="119" t="s">
        <v>362</v>
      </c>
      <c r="B893" s="138"/>
      <c r="C893" s="142" t="s">
        <v>940</v>
      </c>
      <c r="D893" s="138" t="s">
        <v>167</v>
      </c>
      <c r="E893" s="138" t="s">
        <v>363</v>
      </c>
      <c r="F893" s="139"/>
      <c r="G893" s="81">
        <f>SUM(G894)</f>
        <v>0</v>
      </c>
      <c r="H893" s="81">
        <f>SUM(H894)</f>
        <v>0</v>
      </c>
      <c r="I893" s="30" t="e">
        <f t="shared" si="40"/>
        <v>#DIV/0!</v>
      </c>
    </row>
    <row r="894" spans="1:9" s="33" customFormat="1" ht="31.5" hidden="1" customHeight="1">
      <c r="A894" s="95" t="s">
        <v>592</v>
      </c>
      <c r="B894" s="138"/>
      <c r="C894" s="142" t="s">
        <v>940</v>
      </c>
      <c r="D894" s="138" t="s">
        <v>167</v>
      </c>
      <c r="E894" s="138" t="s">
        <v>363</v>
      </c>
      <c r="F894" s="139" t="s">
        <v>593</v>
      </c>
      <c r="G894" s="81"/>
      <c r="H894" s="81"/>
      <c r="I894" s="30" t="e">
        <f t="shared" ref="I894:I957" si="46">SUM(H894/G894*100)</f>
        <v>#DIV/0!</v>
      </c>
    </row>
    <row r="895" spans="1:9" s="33" customFormat="1" ht="35.25" customHeight="1">
      <c r="A895" s="114" t="s">
        <v>364</v>
      </c>
      <c r="B895" s="138"/>
      <c r="C895" s="142" t="s">
        <v>940</v>
      </c>
      <c r="D895" s="138" t="s">
        <v>167</v>
      </c>
      <c r="E895" s="138" t="s">
        <v>365</v>
      </c>
      <c r="F895" s="139"/>
      <c r="G895" s="81">
        <f>SUM(G896)</f>
        <v>4823</v>
      </c>
      <c r="H895" s="81">
        <f>SUM(H896)</f>
        <v>4822.8999999999996</v>
      </c>
      <c r="I895" s="30">
        <f t="shared" si="46"/>
        <v>99.997926601700186</v>
      </c>
    </row>
    <row r="896" spans="1:9" s="33" customFormat="1" ht="22.5" customHeight="1">
      <c r="A896" s="95" t="s">
        <v>592</v>
      </c>
      <c r="B896" s="138"/>
      <c r="C896" s="142" t="s">
        <v>940</v>
      </c>
      <c r="D896" s="138" t="s">
        <v>167</v>
      </c>
      <c r="E896" s="138" t="s">
        <v>365</v>
      </c>
      <c r="F896" s="139" t="s">
        <v>593</v>
      </c>
      <c r="G896" s="81">
        <v>4823</v>
      </c>
      <c r="H896" s="81">
        <v>4822.8999999999996</v>
      </c>
      <c r="I896" s="30">
        <f t="shared" si="46"/>
        <v>99.997926601700186</v>
      </c>
    </row>
    <row r="897" spans="1:9" s="33" customFormat="1" ht="19.5" hidden="1" customHeight="1">
      <c r="A897" s="95" t="s">
        <v>846</v>
      </c>
      <c r="B897" s="138"/>
      <c r="C897" s="142" t="s">
        <v>940</v>
      </c>
      <c r="D897" s="138" t="s">
        <v>167</v>
      </c>
      <c r="E897" s="138" t="s">
        <v>847</v>
      </c>
      <c r="F897" s="139"/>
      <c r="G897" s="81">
        <f>SUM(G898)</f>
        <v>0</v>
      </c>
      <c r="H897" s="81">
        <f>SUM(H898)</f>
        <v>0</v>
      </c>
      <c r="I897" s="30" t="e">
        <f t="shared" si="46"/>
        <v>#DIV/0!</v>
      </c>
    </row>
    <row r="898" spans="1:9" s="33" customFormat="1" ht="72.75" hidden="1" customHeight="1">
      <c r="A898" s="95" t="s">
        <v>592</v>
      </c>
      <c r="B898" s="138"/>
      <c r="C898" s="142" t="s">
        <v>940</v>
      </c>
      <c r="D898" s="138" t="s">
        <v>167</v>
      </c>
      <c r="E898" s="138" t="s">
        <v>847</v>
      </c>
      <c r="F898" s="139" t="s">
        <v>593</v>
      </c>
      <c r="G898" s="81"/>
      <c r="H898" s="81"/>
      <c r="I898" s="30" t="e">
        <f t="shared" si="46"/>
        <v>#DIV/0!</v>
      </c>
    </row>
    <row r="899" spans="1:9" s="33" customFormat="1" ht="19.5" hidden="1" customHeight="1">
      <c r="A899" s="95" t="s">
        <v>519</v>
      </c>
      <c r="B899" s="138"/>
      <c r="C899" s="142" t="s">
        <v>940</v>
      </c>
      <c r="D899" s="138" t="s">
        <v>167</v>
      </c>
      <c r="E899" s="138" t="s">
        <v>366</v>
      </c>
      <c r="F899" s="139"/>
      <c r="G899" s="81">
        <f>SUM(G900)</f>
        <v>0</v>
      </c>
      <c r="H899" s="81">
        <f>SUM(H900)</f>
        <v>0</v>
      </c>
      <c r="I899" s="30" t="e">
        <f t="shared" si="46"/>
        <v>#DIV/0!</v>
      </c>
    </row>
    <row r="900" spans="1:9" s="33" customFormat="1" ht="67.5" hidden="1" customHeight="1">
      <c r="A900" s="95" t="s">
        <v>592</v>
      </c>
      <c r="B900" s="138"/>
      <c r="C900" s="142" t="s">
        <v>940</v>
      </c>
      <c r="D900" s="138" t="s">
        <v>167</v>
      </c>
      <c r="E900" s="138" t="s">
        <v>366</v>
      </c>
      <c r="F900" s="139" t="s">
        <v>593</v>
      </c>
      <c r="G900" s="81"/>
      <c r="H900" s="81"/>
      <c r="I900" s="30" t="e">
        <f t="shared" si="46"/>
        <v>#DIV/0!</v>
      </c>
    </row>
    <row r="901" spans="1:9" s="33" customFormat="1" ht="21.75" hidden="1" customHeight="1">
      <c r="A901" s="95" t="s">
        <v>520</v>
      </c>
      <c r="B901" s="138"/>
      <c r="C901" s="142" t="s">
        <v>940</v>
      </c>
      <c r="D901" s="138" t="s">
        <v>167</v>
      </c>
      <c r="E901" s="138" t="s">
        <v>367</v>
      </c>
      <c r="F901" s="139"/>
      <c r="G901" s="81">
        <f>SUM(G902)</f>
        <v>0</v>
      </c>
      <c r="H901" s="81">
        <f>SUM(H902)</f>
        <v>0</v>
      </c>
      <c r="I901" s="30" t="e">
        <f t="shared" si="46"/>
        <v>#DIV/0!</v>
      </c>
    </row>
    <row r="902" spans="1:9" s="33" customFormat="1" ht="21.75" hidden="1" customHeight="1">
      <c r="A902" s="95" t="s">
        <v>592</v>
      </c>
      <c r="B902" s="138"/>
      <c r="C902" s="142" t="s">
        <v>940</v>
      </c>
      <c r="D902" s="138" t="s">
        <v>167</v>
      </c>
      <c r="E902" s="138" t="s">
        <v>367</v>
      </c>
      <c r="F902" s="139" t="s">
        <v>593</v>
      </c>
      <c r="G902" s="81"/>
      <c r="H902" s="81"/>
      <c r="I902" s="30" t="e">
        <f t="shared" si="46"/>
        <v>#DIV/0!</v>
      </c>
    </row>
    <row r="903" spans="1:9" s="33" customFormat="1" ht="37.5" hidden="1" customHeight="1">
      <c r="A903" s="95" t="s">
        <v>418</v>
      </c>
      <c r="B903" s="138"/>
      <c r="C903" s="142" t="s">
        <v>940</v>
      </c>
      <c r="D903" s="138" t="s">
        <v>167</v>
      </c>
      <c r="E903" s="138" t="s">
        <v>419</v>
      </c>
      <c r="F903" s="139"/>
      <c r="G903" s="81">
        <f>SUM(G904:G905)</f>
        <v>0</v>
      </c>
      <c r="H903" s="81">
        <f>SUM(H904:H905)</f>
        <v>0</v>
      </c>
      <c r="I903" s="30" t="e">
        <f t="shared" si="46"/>
        <v>#DIV/0!</v>
      </c>
    </row>
    <row r="904" spans="1:9" s="33" customFormat="1" ht="19.5" hidden="1" customHeight="1">
      <c r="A904" s="95" t="s">
        <v>592</v>
      </c>
      <c r="B904" s="138"/>
      <c r="C904" s="142" t="s">
        <v>940</v>
      </c>
      <c r="D904" s="138" t="s">
        <v>167</v>
      </c>
      <c r="E904" s="138" t="s">
        <v>419</v>
      </c>
      <c r="F904" s="139" t="s">
        <v>593</v>
      </c>
      <c r="G904" s="81"/>
      <c r="H904" s="81"/>
      <c r="I904" s="30" t="e">
        <f t="shared" si="46"/>
        <v>#DIV/0!</v>
      </c>
    </row>
    <row r="905" spans="1:9" s="33" customFormat="1" ht="48.75" hidden="1" customHeight="1">
      <c r="A905" s="115" t="s">
        <v>164</v>
      </c>
      <c r="B905" s="138"/>
      <c r="C905" s="142" t="s">
        <v>940</v>
      </c>
      <c r="D905" s="138" t="s">
        <v>167</v>
      </c>
      <c r="E905" s="138" t="s">
        <v>419</v>
      </c>
      <c r="F905" s="139" t="s">
        <v>165</v>
      </c>
      <c r="G905" s="81"/>
      <c r="H905" s="81"/>
      <c r="I905" s="30" t="e">
        <f t="shared" si="46"/>
        <v>#DIV/0!</v>
      </c>
    </row>
    <row r="906" spans="1:9" s="33" customFormat="1" ht="18.75" hidden="1" customHeight="1">
      <c r="A906" s="95" t="s">
        <v>420</v>
      </c>
      <c r="B906" s="138"/>
      <c r="C906" s="142" t="s">
        <v>940</v>
      </c>
      <c r="D906" s="138" t="s">
        <v>167</v>
      </c>
      <c r="E906" s="138" t="s">
        <v>421</v>
      </c>
      <c r="F906" s="139"/>
      <c r="G906" s="81">
        <f>SUM(G907)</f>
        <v>0</v>
      </c>
      <c r="H906" s="81">
        <f>SUM(H907)</f>
        <v>0</v>
      </c>
      <c r="I906" s="30" t="e">
        <f t="shared" si="46"/>
        <v>#DIV/0!</v>
      </c>
    </row>
    <row r="907" spans="1:9" s="33" customFormat="1" ht="18" hidden="1" customHeight="1">
      <c r="A907" s="95" t="s">
        <v>592</v>
      </c>
      <c r="B907" s="138"/>
      <c r="C907" s="142" t="s">
        <v>940</v>
      </c>
      <c r="D907" s="138" t="s">
        <v>167</v>
      </c>
      <c r="E907" s="138" t="s">
        <v>421</v>
      </c>
      <c r="F907" s="139" t="s">
        <v>593</v>
      </c>
      <c r="G907" s="81"/>
      <c r="H907" s="81"/>
      <c r="I907" s="30" t="e">
        <f t="shared" si="46"/>
        <v>#DIV/0!</v>
      </c>
    </row>
    <row r="908" spans="1:9" s="33" customFormat="1" ht="19.5" hidden="1" customHeight="1">
      <c r="A908" s="95" t="s">
        <v>422</v>
      </c>
      <c r="B908" s="138"/>
      <c r="C908" s="142" t="s">
        <v>940</v>
      </c>
      <c r="D908" s="138" t="s">
        <v>167</v>
      </c>
      <c r="E908" s="138" t="s">
        <v>423</v>
      </c>
      <c r="F908" s="139"/>
      <c r="G908" s="81">
        <f>SUM(G909:G910)</f>
        <v>0</v>
      </c>
      <c r="H908" s="81">
        <f>SUM(H909:H910)</f>
        <v>0</v>
      </c>
      <c r="I908" s="30" t="e">
        <f t="shared" si="46"/>
        <v>#DIV/0!</v>
      </c>
    </row>
    <row r="909" spans="1:9" s="33" customFormat="1" ht="19.5" hidden="1" customHeight="1">
      <c r="A909" s="95" t="s">
        <v>592</v>
      </c>
      <c r="B909" s="138"/>
      <c r="C909" s="142" t="s">
        <v>940</v>
      </c>
      <c r="D909" s="138" t="s">
        <v>167</v>
      </c>
      <c r="E909" s="138" t="s">
        <v>423</v>
      </c>
      <c r="F909" s="139" t="s">
        <v>593</v>
      </c>
      <c r="G909" s="81"/>
      <c r="H909" s="81"/>
      <c r="I909" s="30" t="e">
        <f t="shared" si="46"/>
        <v>#DIV/0!</v>
      </c>
    </row>
    <row r="910" spans="1:9" s="33" customFormat="1" ht="19.5" hidden="1" customHeight="1">
      <c r="A910" s="115" t="s">
        <v>164</v>
      </c>
      <c r="B910" s="138"/>
      <c r="C910" s="142" t="s">
        <v>940</v>
      </c>
      <c r="D910" s="138" t="s">
        <v>167</v>
      </c>
      <c r="E910" s="138" t="s">
        <v>423</v>
      </c>
      <c r="F910" s="139" t="s">
        <v>165</v>
      </c>
      <c r="G910" s="81"/>
      <c r="H910" s="81"/>
      <c r="I910" s="30" t="e">
        <f t="shared" si="46"/>
        <v>#DIV/0!</v>
      </c>
    </row>
    <row r="911" spans="1:9" s="33" customFormat="1" ht="19.5" hidden="1" customHeight="1">
      <c r="A911" s="95" t="s">
        <v>969</v>
      </c>
      <c r="B911" s="138"/>
      <c r="C911" s="142" t="s">
        <v>940</v>
      </c>
      <c r="D911" s="138" t="s">
        <v>167</v>
      </c>
      <c r="E911" s="138" t="s">
        <v>424</v>
      </c>
      <c r="F911" s="139"/>
      <c r="G911" s="81">
        <f>SUM(G912)</f>
        <v>0</v>
      </c>
      <c r="H911" s="81">
        <f>SUM(H912)</f>
        <v>0</v>
      </c>
      <c r="I911" s="30" t="e">
        <f t="shared" si="46"/>
        <v>#DIV/0!</v>
      </c>
    </row>
    <row r="912" spans="1:9" ht="18" hidden="1" customHeight="1">
      <c r="A912" s="95" t="s">
        <v>592</v>
      </c>
      <c r="B912" s="138"/>
      <c r="C912" s="142" t="s">
        <v>940</v>
      </c>
      <c r="D912" s="138" t="s">
        <v>167</v>
      </c>
      <c r="E912" s="138" t="s">
        <v>424</v>
      </c>
      <c r="F912" s="139" t="s">
        <v>593</v>
      </c>
      <c r="G912" s="81"/>
      <c r="H912" s="81"/>
      <c r="I912" s="30" t="e">
        <f t="shared" si="46"/>
        <v>#DIV/0!</v>
      </c>
    </row>
    <row r="913" spans="1:9" ht="16.5" hidden="1" customHeight="1">
      <c r="A913" s="95" t="s">
        <v>425</v>
      </c>
      <c r="B913" s="138"/>
      <c r="C913" s="142" t="s">
        <v>940</v>
      </c>
      <c r="D913" s="138" t="s">
        <v>167</v>
      </c>
      <c r="E913" s="138" t="s">
        <v>426</v>
      </c>
      <c r="F913" s="139"/>
      <c r="G913" s="81">
        <f>SUM(G914)</f>
        <v>0</v>
      </c>
      <c r="H913" s="81">
        <f>SUM(H914)</f>
        <v>0</v>
      </c>
      <c r="I913" s="30" t="e">
        <f t="shared" si="46"/>
        <v>#DIV/0!</v>
      </c>
    </row>
    <row r="914" spans="1:9" ht="15.75" hidden="1" customHeight="1">
      <c r="A914" s="95" t="s">
        <v>592</v>
      </c>
      <c r="B914" s="138"/>
      <c r="C914" s="142" t="s">
        <v>940</v>
      </c>
      <c r="D914" s="138" t="s">
        <v>167</v>
      </c>
      <c r="E914" s="138" t="s">
        <v>426</v>
      </c>
      <c r="F914" s="139" t="s">
        <v>593</v>
      </c>
      <c r="G914" s="81"/>
      <c r="H914" s="81"/>
      <c r="I914" s="30" t="e">
        <f t="shared" si="46"/>
        <v>#DIV/0!</v>
      </c>
    </row>
    <row r="915" spans="1:9" ht="25.5" customHeight="1">
      <c r="A915" s="128" t="s">
        <v>427</v>
      </c>
      <c r="B915" s="160"/>
      <c r="C915" s="160" t="s">
        <v>940</v>
      </c>
      <c r="D915" s="160" t="s">
        <v>167</v>
      </c>
      <c r="E915" s="160" t="s">
        <v>428</v>
      </c>
      <c r="F915" s="141"/>
      <c r="G915" s="81">
        <f>SUM(G916:G918)</f>
        <v>19120.3</v>
      </c>
      <c r="H915" s="81">
        <f>SUM(H916:H918)</f>
        <v>19120.2</v>
      </c>
      <c r="I915" s="30">
        <f t="shared" si="46"/>
        <v>99.999476995653851</v>
      </c>
    </row>
    <row r="916" spans="1:9" ht="15.75" customHeight="1">
      <c r="A916" s="95" t="s">
        <v>592</v>
      </c>
      <c r="B916" s="160"/>
      <c r="C916" s="160" t="s">
        <v>940</v>
      </c>
      <c r="D916" s="160" t="s">
        <v>167</v>
      </c>
      <c r="E916" s="160" t="s">
        <v>428</v>
      </c>
      <c r="F916" s="141" t="s">
        <v>593</v>
      </c>
      <c r="G916" s="81">
        <v>15039.1</v>
      </c>
      <c r="H916" s="81">
        <v>15039.1</v>
      </c>
      <c r="I916" s="30">
        <f t="shared" si="46"/>
        <v>100</v>
      </c>
    </row>
    <row r="917" spans="1:9" ht="18" customHeight="1">
      <c r="A917" s="95" t="s">
        <v>164</v>
      </c>
      <c r="B917" s="160"/>
      <c r="C917" s="160" t="s">
        <v>940</v>
      </c>
      <c r="D917" s="160" t="s">
        <v>167</v>
      </c>
      <c r="E917" s="160" t="s">
        <v>428</v>
      </c>
      <c r="F917" s="141" t="s">
        <v>165</v>
      </c>
      <c r="G917" s="81">
        <v>3781.2</v>
      </c>
      <c r="H917" s="81">
        <v>3781.1</v>
      </c>
      <c r="I917" s="30">
        <f t="shared" si="46"/>
        <v>99.997355336930084</v>
      </c>
    </row>
    <row r="918" spans="1:9" ht="45.75" customHeight="1">
      <c r="A918" s="97" t="s">
        <v>954</v>
      </c>
      <c r="B918" s="160"/>
      <c r="C918" s="160" t="s">
        <v>940</v>
      </c>
      <c r="D918" s="160" t="s">
        <v>167</v>
      </c>
      <c r="E918" s="160" t="s">
        <v>428</v>
      </c>
      <c r="F918" s="141" t="s">
        <v>51</v>
      </c>
      <c r="G918" s="81">
        <v>300</v>
      </c>
      <c r="H918" s="81">
        <v>300</v>
      </c>
      <c r="I918" s="30">
        <f t="shared" si="46"/>
        <v>100</v>
      </c>
    </row>
    <row r="919" spans="1:9" ht="29.25" hidden="1" customHeight="1">
      <c r="A919" s="95" t="s">
        <v>429</v>
      </c>
      <c r="B919" s="160"/>
      <c r="C919" s="160" t="s">
        <v>940</v>
      </c>
      <c r="D919" s="160" t="s">
        <v>167</v>
      </c>
      <c r="E919" s="160" t="s">
        <v>430</v>
      </c>
      <c r="F919" s="141"/>
      <c r="G919" s="81">
        <f>SUM(G920)</f>
        <v>0</v>
      </c>
      <c r="H919" s="81">
        <f>SUM(H920)</f>
        <v>0</v>
      </c>
      <c r="I919" s="30" t="e">
        <f t="shared" si="46"/>
        <v>#DIV/0!</v>
      </c>
    </row>
    <row r="920" spans="1:9" ht="22.5" hidden="1" customHeight="1">
      <c r="A920" s="95" t="s">
        <v>592</v>
      </c>
      <c r="B920" s="160"/>
      <c r="C920" s="160" t="s">
        <v>940</v>
      </c>
      <c r="D920" s="160" t="s">
        <v>167</v>
      </c>
      <c r="E920" s="160" t="s">
        <v>430</v>
      </c>
      <c r="F920" s="141" t="s">
        <v>593</v>
      </c>
      <c r="G920" s="81"/>
      <c r="H920" s="81"/>
      <c r="I920" s="30" t="e">
        <f t="shared" si="46"/>
        <v>#DIV/0!</v>
      </c>
    </row>
    <row r="921" spans="1:9" ht="45" customHeight="1">
      <c r="A921" s="119" t="s">
        <v>548</v>
      </c>
      <c r="B921" s="138"/>
      <c r="C921" s="142" t="s">
        <v>940</v>
      </c>
      <c r="D921" s="142" t="s">
        <v>167</v>
      </c>
      <c r="E921" s="142" t="s">
        <v>549</v>
      </c>
      <c r="F921" s="140"/>
      <c r="G921" s="81">
        <f>SUM(G922)</f>
        <v>77.099999999999994</v>
      </c>
      <c r="H921" s="81">
        <f>SUM(H922)</f>
        <v>2.8</v>
      </c>
      <c r="I921" s="30">
        <f t="shared" si="46"/>
        <v>3.6316472114137488</v>
      </c>
    </row>
    <row r="922" spans="1:9" ht="20.25" customHeight="1">
      <c r="A922" s="95" t="s">
        <v>592</v>
      </c>
      <c r="B922" s="138"/>
      <c r="C922" s="142" t="s">
        <v>940</v>
      </c>
      <c r="D922" s="142" t="s">
        <v>167</v>
      </c>
      <c r="E922" s="142" t="s">
        <v>549</v>
      </c>
      <c r="F922" s="140" t="s">
        <v>593</v>
      </c>
      <c r="G922" s="81">
        <v>77.099999999999994</v>
      </c>
      <c r="H922" s="81">
        <v>2.8</v>
      </c>
      <c r="I922" s="30">
        <f t="shared" si="46"/>
        <v>3.6316472114137488</v>
      </c>
    </row>
    <row r="923" spans="1:9" ht="22.5" customHeight="1">
      <c r="A923" s="114" t="s">
        <v>550</v>
      </c>
      <c r="B923" s="138"/>
      <c r="C923" s="142" t="s">
        <v>940</v>
      </c>
      <c r="D923" s="142" t="s">
        <v>167</v>
      </c>
      <c r="E923" s="142" t="s">
        <v>551</v>
      </c>
      <c r="F923" s="140"/>
      <c r="G923" s="81">
        <f>SUM(G924:G925)</f>
        <v>115034.90000000001</v>
      </c>
      <c r="H923" s="81">
        <f>SUM(H924:H925)</f>
        <v>80152.5</v>
      </c>
      <c r="I923" s="30">
        <f t="shared" si="46"/>
        <v>69.676680729065694</v>
      </c>
    </row>
    <row r="924" spans="1:9" ht="18" customHeight="1">
      <c r="A924" s="95" t="s">
        <v>592</v>
      </c>
      <c r="B924" s="142"/>
      <c r="C924" s="142" t="s">
        <v>940</v>
      </c>
      <c r="D924" s="142" t="s">
        <v>167</v>
      </c>
      <c r="E924" s="142" t="s">
        <v>551</v>
      </c>
      <c r="F924" s="140" t="s">
        <v>593</v>
      </c>
      <c r="G924" s="81">
        <v>114894.3</v>
      </c>
      <c r="H924" s="81">
        <v>80011.899999999994</v>
      </c>
      <c r="I924" s="30">
        <f t="shared" si="46"/>
        <v>69.63957306846379</v>
      </c>
    </row>
    <row r="925" spans="1:9" ht="21.75" customHeight="1">
      <c r="A925" s="115" t="s">
        <v>164</v>
      </c>
      <c r="B925" s="142"/>
      <c r="C925" s="142" t="s">
        <v>940</v>
      </c>
      <c r="D925" s="142" t="s">
        <v>167</v>
      </c>
      <c r="E925" s="142" t="s">
        <v>551</v>
      </c>
      <c r="F925" s="140" t="s">
        <v>165</v>
      </c>
      <c r="G925" s="81">
        <v>140.6</v>
      </c>
      <c r="H925" s="81">
        <v>140.6</v>
      </c>
      <c r="I925" s="30">
        <f t="shared" si="46"/>
        <v>100</v>
      </c>
    </row>
    <row r="926" spans="1:9" ht="39.75" customHeight="1">
      <c r="A926" s="95" t="s">
        <v>552</v>
      </c>
      <c r="B926" s="138"/>
      <c r="C926" s="142" t="s">
        <v>940</v>
      </c>
      <c r="D926" s="142" t="s">
        <v>167</v>
      </c>
      <c r="E926" s="142" t="s">
        <v>553</v>
      </c>
      <c r="F926" s="140"/>
      <c r="G926" s="81">
        <f>SUM(G927)</f>
        <v>97590.399999999994</v>
      </c>
      <c r="H926" s="81">
        <f>SUM(H927)</f>
        <v>97581.9</v>
      </c>
      <c r="I926" s="30">
        <f t="shared" si="46"/>
        <v>99.991290126897724</v>
      </c>
    </row>
    <row r="927" spans="1:9" ht="21" customHeight="1">
      <c r="A927" s="95" t="s">
        <v>592</v>
      </c>
      <c r="B927" s="138"/>
      <c r="C927" s="142" t="s">
        <v>940</v>
      </c>
      <c r="D927" s="142" t="s">
        <v>167</v>
      </c>
      <c r="E927" s="142" t="s">
        <v>553</v>
      </c>
      <c r="F927" s="140" t="s">
        <v>593</v>
      </c>
      <c r="G927" s="81">
        <v>97590.399999999994</v>
      </c>
      <c r="H927" s="81">
        <v>97581.9</v>
      </c>
      <c r="I927" s="30">
        <f t="shared" si="46"/>
        <v>99.991290126897724</v>
      </c>
    </row>
    <row r="928" spans="1:9" ht="24" customHeight="1">
      <c r="A928" s="95" t="s">
        <v>556</v>
      </c>
      <c r="B928" s="138"/>
      <c r="C928" s="142" t="s">
        <v>940</v>
      </c>
      <c r="D928" s="142" t="s">
        <v>167</v>
      </c>
      <c r="E928" s="142" t="s">
        <v>557</v>
      </c>
      <c r="F928" s="140"/>
      <c r="G928" s="81">
        <f>SUM(G931+G935+G937+G939+G941+G952+G950+G945+G956+G933+G948)+G959+G961+G964+G966+G969+G971+G974</f>
        <v>402125.6</v>
      </c>
      <c r="H928" s="81">
        <f>SUM(H931+H935+H937+H939+H941+H952+H950+H945+H956+H933+H948)+H959+H961+H964+H966+H969+H971+H974</f>
        <v>393068.20000000007</v>
      </c>
      <c r="I928" s="30">
        <f t="shared" si="46"/>
        <v>97.747619151827209</v>
      </c>
    </row>
    <row r="929" spans="1:9" ht="18" hidden="1" customHeight="1">
      <c r="A929" s="97" t="s">
        <v>863</v>
      </c>
      <c r="B929" s="160"/>
      <c r="C929" s="160" t="s">
        <v>940</v>
      </c>
      <c r="D929" s="160" t="s">
        <v>167</v>
      </c>
      <c r="E929" s="160" t="s">
        <v>864</v>
      </c>
      <c r="F929" s="141"/>
      <c r="G929" s="187">
        <f>G930</f>
        <v>0</v>
      </c>
      <c r="H929" s="187">
        <f>H930</f>
        <v>0</v>
      </c>
      <c r="I929" s="30" t="e">
        <f t="shared" si="46"/>
        <v>#DIV/0!</v>
      </c>
    </row>
    <row r="930" spans="1:9" ht="15" hidden="1">
      <c r="A930" s="97" t="s">
        <v>592</v>
      </c>
      <c r="B930" s="160"/>
      <c r="C930" s="160" t="s">
        <v>940</v>
      </c>
      <c r="D930" s="160" t="s">
        <v>167</v>
      </c>
      <c r="E930" s="160" t="s">
        <v>864</v>
      </c>
      <c r="F930" s="141" t="s">
        <v>593</v>
      </c>
      <c r="G930" s="184">
        <v>0</v>
      </c>
      <c r="H930" s="184">
        <v>0</v>
      </c>
      <c r="I930" s="30" t="e">
        <f t="shared" si="46"/>
        <v>#DIV/0!</v>
      </c>
    </row>
    <row r="931" spans="1:9" ht="28.5">
      <c r="A931" s="119" t="s">
        <v>865</v>
      </c>
      <c r="B931" s="138"/>
      <c r="C931" s="142" t="s">
        <v>940</v>
      </c>
      <c r="D931" s="142" t="s">
        <v>167</v>
      </c>
      <c r="E931" s="142" t="s">
        <v>769</v>
      </c>
      <c r="F931" s="140"/>
      <c r="G931" s="188">
        <f>SUM(G932)</f>
        <v>51550</v>
      </c>
      <c r="H931" s="188">
        <f>SUM(H932)</f>
        <v>51355.9</v>
      </c>
      <c r="I931" s="30">
        <f t="shared" si="46"/>
        <v>99.623472356935011</v>
      </c>
    </row>
    <row r="932" spans="1:9" ht="15">
      <c r="A932" s="95" t="s">
        <v>592</v>
      </c>
      <c r="B932" s="138"/>
      <c r="C932" s="142" t="s">
        <v>940</v>
      </c>
      <c r="D932" s="142" t="s">
        <v>167</v>
      </c>
      <c r="E932" s="142" t="s">
        <v>769</v>
      </c>
      <c r="F932" s="140" t="s">
        <v>593</v>
      </c>
      <c r="G932" s="81">
        <v>51550</v>
      </c>
      <c r="H932" s="81">
        <v>51355.9</v>
      </c>
      <c r="I932" s="30">
        <f t="shared" si="46"/>
        <v>99.623472356935011</v>
      </c>
    </row>
    <row r="933" spans="1:9" ht="57">
      <c r="A933" s="95" t="s">
        <v>866</v>
      </c>
      <c r="B933" s="138"/>
      <c r="C933" s="142" t="s">
        <v>940</v>
      </c>
      <c r="D933" s="138" t="s">
        <v>167</v>
      </c>
      <c r="E933" s="142" t="s">
        <v>848</v>
      </c>
      <c r="F933" s="139"/>
      <c r="G933" s="81">
        <f>SUM(G934)</f>
        <v>53270.5</v>
      </c>
      <c r="H933" s="81">
        <f>SUM(H934)</f>
        <v>53036.5</v>
      </c>
      <c r="I933" s="30">
        <f t="shared" si="46"/>
        <v>99.560732487962383</v>
      </c>
    </row>
    <row r="934" spans="1:9" ht="20.25" customHeight="1">
      <c r="A934" s="95" t="s">
        <v>592</v>
      </c>
      <c r="B934" s="138"/>
      <c r="C934" s="142" t="s">
        <v>940</v>
      </c>
      <c r="D934" s="138" t="s">
        <v>167</v>
      </c>
      <c r="E934" s="142" t="s">
        <v>848</v>
      </c>
      <c r="F934" s="139" t="s">
        <v>593</v>
      </c>
      <c r="G934" s="81">
        <v>53270.5</v>
      </c>
      <c r="H934" s="81">
        <v>53036.5</v>
      </c>
      <c r="I934" s="30">
        <f t="shared" si="46"/>
        <v>99.560732487962383</v>
      </c>
    </row>
    <row r="935" spans="1:9" ht="71.25" hidden="1">
      <c r="A935" s="117" t="s">
        <v>370</v>
      </c>
      <c r="B935" s="138"/>
      <c r="C935" s="142" t="s">
        <v>940</v>
      </c>
      <c r="D935" s="138" t="s">
        <v>167</v>
      </c>
      <c r="E935" s="142" t="s">
        <v>770</v>
      </c>
      <c r="F935" s="139"/>
      <c r="G935" s="81">
        <f>SUM(G936)</f>
        <v>0</v>
      </c>
      <c r="H935" s="81">
        <f>SUM(H936)</f>
        <v>0</v>
      </c>
      <c r="I935" s="30" t="e">
        <f t="shared" si="46"/>
        <v>#DIV/0!</v>
      </c>
    </row>
    <row r="936" spans="1:9" ht="15" hidden="1">
      <c r="A936" s="95" t="s">
        <v>592</v>
      </c>
      <c r="B936" s="138"/>
      <c r="C936" s="142" t="s">
        <v>940</v>
      </c>
      <c r="D936" s="138" t="s">
        <v>167</v>
      </c>
      <c r="E936" s="142" t="s">
        <v>770</v>
      </c>
      <c r="F936" s="139" t="s">
        <v>593</v>
      </c>
      <c r="G936" s="81"/>
      <c r="H936" s="81"/>
      <c r="I936" s="30" t="e">
        <f t="shared" si="46"/>
        <v>#DIV/0!</v>
      </c>
    </row>
    <row r="937" spans="1:9" ht="71.25" hidden="1">
      <c r="A937" s="117" t="s">
        <v>1005</v>
      </c>
      <c r="B937" s="138"/>
      <c r="C937" s="142" t="s">
        <v>940</v>
      </c>
      <c r="D937" s="138" t="s">
        <v>167</v>
      </c>
      <c r="E937" s="142" t="s">
        <v>771</v>
      </c>
      <c r="F937" s="139"/>
      <c r="G937" s="81">
        <f>SUM(G938)</f>
        <v>0</v>
      </c>
      <c r="H937" s="81">
        <f>SUM(H938)</f>
        <v>0</v>
      </c>
      <c r="I937" s="30" t="e">
        <f t="shared" si="46"/>
        <v>#DIV/0!</v>
      </c>
    </row>
    <row r="938" spans="1:9" ht="15" hidden="1">
      <c r="A938" s="95" t="s">
        <v>592</v>
      </c>
      <c r="B938" s="138"/>
      <c r="C938" s="142" t="s">
        <v>940</v>
      </c>
      <c r="D938" s="138" t="s">
        <v>167</v>
      </c>
      <c r="E938" s="142" t="s">
        <v>771</v>
      </c>
      <c r="F938" s="139" t="s">
        <v>593</v>
      </c>
      <c r="G938" s="81"/>
      <c r="H938" s="81"/>
      <c r="I938" s="30" t="e">
        <f t="shared" si="46"/>
        <v>#DIV/0!</v>
      </c>
    </row>
    <row r="939" spans="1:9" ht="57" hidden="1">
      <c r="A939" s="95" t="s">
        <v>1006</v>
      </c>
      <c r="B939" s="138"/>
      <c r="C939" s="142" t="s">
        <v>940</v>
      </c>
      <c r="D939" s="138" t="s">
        <v>167</v>
      </c>
      <c r="E939" s="142" t="s">
        <v>770</v>
      </c>
      <c r="F939" s="139"/>
      <c r="G939" s="81">
        <f>SUM(G940)</f>
        <v>0</v>
      </c>
      <c r="H939" s="81">
        <f>SUM(H940)</f>
        <v>0</v>
      </c>
      <c r="I939" s="30" t="e">
        <f t="shared" si="46"/>
        <v>#DIV/0!</v>
      </c>
    </row>
    <row r="940" spans="1:9" ht="15" hidden="1">
      <c r="A940" s="95" t="s">
        <v>592</v>
      </c>
      <c r="B940" s="138"/>
      <c r="C940" s="142" t="s">
        <v>940</v>
      </c>
      <c r="D940" s="138" t="s">
        <v>167</v>
      </c>
      <c r="E940" s="142" t="s">
        <v>770</v>
      </c>
      <c r="F940" s="139" t="s">
        <v>593</v>
      </c>
      <c r="G940" s="81"/>
      <c r="H940" s="81"/>
      <c r="I940" s="30" t="e">
        <f t="shared" si="46"/>
        <v>#DIV/0!</v>
      </c>
    </row>
    <row r="941" spans="1:9" ht="15.75" hidden="1" customHeight="1">
      <c r="A941" s="95" t="s">
        <v>1007</v>
      </c>
      <c r="B941" s="138"/>
      <c r="C941" s="142" t="s">
        <v>940</v>
      </c>
      <c r="D941" s="138" t="s">
        <v>167</v>
      </c>
      <c r="E941" s="142" t="s">
        <v>771</v>
      </c>
      <c r="F941" s="139"/>
      <c r="G941" s="81">
        <f>SUM(G942)</f>
        <v>0</v>
      </c>
      <c r="H941" s="81">
        <f>SUM(H942)</f>
        <v>0</v>
      </c>
      <c r="I941" s="30" t="e">
        <f t="shared" si="46"/>
        <v>#DIV/0!</v>
      </c>
    </row>
    <row r="942" spans="1:9" ht="15" hidden="1">
      <c r="A942" s="95" t="s">
        <v>592</v>
      </c>
      <c r="B942" s="138"/>
      <c r="C942" s="142" t="s">
        <v>940</v>
      </c>
      <c r="D942" s="138" t="s">
        <v>167</v>
      </c>
      <c r="E942" s="142" t="s">
        <v>771</v>
      </c>
      <c r="F942" s="139" t="s">
        <v>593</v>
      </c>
      <c r="G942" s="81"/>
      <c r="H942" s="81"/>
      <c r="I942" s="30" t="e">
        <f t="shared" si="46"/>
        <v>#DIV/0!</v>
      </c>
    </row>
    <row r="943" spans="1:9" ht="42.75" hidden="1">
      <c r="A943" s="119" t="s">
        <v>772</v>
      </c>
      <c r="B943" s="138"/>
      <c r="C943" s="142" t="s">
        <v>940</v>
      </c>
      <c r="D943" s="142" t="s">
        <v>167</v>
      </c>
      <c r="E943" s="142" t="s">
        <v>773</v>
      </c>
      <c r="F943" s="140"/>
      <c r="G943" s="81">
        <f>SUM(G944)</f>
        <v>0</v>
      </c>
      <c r="H943" s="81">
        <f>SUM(H944)</f>
        <v>0</v>
      </c>
      <c r="I943" s="30" t="e">
        <f t="shared" si="46"/>
        <v>#DIV/0!</v>
      </c>
    </row>
    <row r="944" spans="1:9" ht="21.75" hidden="1" customHeight="1">
      <c r="A944" s="95" t="s">
        <v>592</v>
      </c>
      <c r="B944" s="138"/>
      <c r="C944" s="142" t="s">
        <v>940</v>
      </c>
      <c r="D944" s="142" t="s">
        <v>167</v>
      </c>
      <c r="E944" s="142" t="s">
        <v>773</v>
      </c>
      <c r="F944" s="140" t="s">
        <v>593</v>
      </c>
      <c r="G944" s="81"/>
      <c r="H944" s="81"/>
      <c r="I944" s="30" t="e">
        <f t="shared" si="46"/>
        <v>#DIV/0!</v>
      </c>
    </row>
    <row r="945" spans="1:9" ht="71.25">
      <c r="A945" s="95" t="s">
        <v>887</v>
      </c>
      <c r="B945" s="138"/>
      <c r="C945" s="142" t="s">
        <v>940</v>
      </c>
      <c r="D945" s="142" t="s">
        <v>167</v>
      </c>
      <c r="E945" s="142" t="s">
        <v>777</v>
      </c>
      <c r="F945" s="140"/>
      <c r="G945" s="81">
        <f>SUM(G946:G947)</f>
        <v>146026.6</v>
      </c>
      <c r="H945" s="81">
        <f>SUM(H946:H947)</f>
        <v>139418.70000000001</v>
      </c>
      <c r="I945" s="30">
        <f t="shared" si="46"/>
        <v>95.474865538196468</v>
      </c>
    </row>
    <row r="946" spans="1:9" ht="14.25" customHeight="1">
      <c r="A946" s="95" t="s">
        <v>592</v>
      </c>
      <c r="B946" s="138"/>
      <c r="C946" s="142" t="s">
        <v>940</v>
      </c>
      <c r="D946" s="138" t="s">
        <v>167</v>
      </c>
      <c r="E946" s="142" t="s">
        <v>777</v>
      </c>
      <c r="F946" s="139" t="s">
        <v>593</v>
      </c>
      <c r="G946" s="81">
        <v>145411.4</v>
      </c>
      <c r="H946" s="81">
        <v>138803.5</v>
      </c>
      <c r="I946" s="30">
        <f t="shared" si="46"/>
        <v>95.455720803183254</v>
      </c>
    </row>
    <row r="947" spans="1:9" ht="25.5" customHeight="1">
      <c r="A947" s="115" t="s">
        <v>164</v>
      </c>
      <c r="B947" s="138"/>
      <c r="C947" s="142" t="s">
        <v>940</v>
      </c>
      <c r="D947" s="138" t="s">
        <v>167</v>
      </c>
      <c r="E947" s="142" t="s">
        <v>777</v>
      </c>
      <c r="F947" s="139" t="s">
        <v>165</v>
      </c>
      <c r="G947" s="81">
        <v>615.20000000000005</v>
      </c>
      <c r="H947" s="81">
        <v>615.20000000000005</v>
      </c>
      <c r="I947" s="30">
        <f t="shared" si="46"/>
        <v>100</v>
      </c>
    </row>
    <row r="948" spans="1:9" ht="71.25">
      <c r="A948" s="115" t="s">
        <v>867</v>
      </c>
      <c r="B948" s="138"/>
      <c r="C948" s="142" t="s">
        <v>940</v>
      </c>
      <c r="D948" s="142" t="s">
        <v>167</v>
      </c>
      <c r="E948" s="142" t="s">
        <v>849</v>
      </c>
      <c r="F948" s="139"/>
      <c r="G948" s="81">
        <f>SUM(G949)</f>
        <v>1517.3</v>
      </c>
      <c r="H948" s="81">
        <f>SUM(H949)</f>
        <v>1513.9</v>
      </c>
      <c r="I948" s="30">
        <f t="shared" si="46"/>
        <v>99.775917748632452</v>
      </c>
    </row>
    <row r="949" spans="1:9" ht="15">
      <c r="A949" s="95" t="s">
        <v>592</v>
      </c>
      <c r="B949" s="138"/>
      <c r="C949" s="142" t="s">
        <v>940</v>
      </c>
      <c r="D949" s="142" t="s">
        <v>167</v>
      </c>
      <c r="E949" s="142" t="s">
        <v>849</v>
      </c>
      <c r="F949" s="139" t="s">
        <v>593</v>
      </c>
      <c r="G949" s="81">
        <v>1517.3</v>
      </c>
      <c r="H949" s="81">
        <v>1513.9</v>
      </c>
      <c r="I949" s="30">
        <f t="shared" si="46"/>
        <v>99.775917748632452</v>
      </c>
    </row>
    <row r="950" spans="1:9" ht="71.25" hidden="1">
      <c r="A950" s="119" t="s">
        <v>573</v>
      </c>
      <c r="B950" s="138"/>
      <c r="C950" s="142" t="s">
        <v>940</v>
      </c>
      <c r="D950" s="142" t="s">
        <v>167</v>
      </c>
      <c r="E950" s="142" t="s">
        <v>778</v>
      </c>
      <c r="F950" s="140"/>
      <c r="G950" s="81">
        <f>SUM(G951)</f>
        <v>0</v>
      </c>
      <c r="H950" s="81">
        <f>SUM(H951)</f>
        <v>0</v>
      </c>
      <c r="I950" s="30" t="e">
        <f t="shared" si="46"/>
        <v>#DIV/0!</v>
      </c>
    </row>
    <row r="951" spans="1:9" ht="19.5" hidden="1" customHeight="1">
      <c r="A951" s="95" t="s">
        <v>592</v>
      </c>
      <c r="B951" s="138"/>
      <c r="C951" s="142" t="s">
        <v>940</v>
      </c>
      <c r="D951" s="142" t="s">
        <v>167</v>
      </c>
      <c r="E951" s="142" t="s">
        <v>778</v>
      </c>
      <c r="F951" s="140" t="s">
        <v>593</v>
      </c>
      <c r="G951" s="81"/>
      <c r="H951" s="81"/>
      <c r="I951" s="30" t="e">
        <f t="shared" si="46"/>
        <v>#DIV/0!</v>
      </c>
    </row>
    <row r="952" spans="1:9" ht="19.5" hidden="1" customHeight="1">
      <c r="A952" s="119" t="s">
        <v>371</v>
      </c>
      <c r="B952" s="138"/>
      <c r="C952" s="142" t="s">
        <v>940</v>
      </c>
      <c r="D952" s="142" t="s">
        <v>167</v>
      </c>
      <c r="E952" s="142" t="s">
        <v>779</v>
      </c>
      <c r="F952" s="140"/>
      <c r="G952" s="81">
        <f>SUM(G953)</f>
        <v>0</v>
      </c>
      <c r="H952" s="81">
        <f>SUM(H953)</f>
        <v>0</v>
      </c>
      <c r="I952" s="30" t="e">
        <f t="shared" si="46"/>
        <v>#DIV/0!</v>
      </c>
    </row>
    <row r="953" spans="1:9" ht="99" hidden="1" customHeight="1">
      <c r="A953" s="95" t="s">
        <v>592</v>
      </c>
      <c r="B953" s="138"/>
      <c r="C953" s="142" t="s">
        <v>940</v>
      </c>
      <c r="D953" s="142" t="s">
        <v>167</v>
      </c>
      <c r="E953" s="142" t="s">
        <v>779</v>
      </c>
      <c r="F953" s="140" t="s">
        <v>593</v>
      </c>
      <c r="G953" s="81"/>
      <c r="H953" s="81"/>
      <c r="I953" s="30" t="e">
        <f t="shared" si="46"/>
        <v>#DIV/0!</v>
      </c>
    </row>
    <row r="954" spans="1:9" ht="17.25" hidden="1" customHeight="1">
      <c r="A954" s="94" t="s">
        <v>429</v>
      </c>
      <c r="B954" s="142"/>
      <c r="C954" s="142" t="s">
        <v>940</v>
      </c>
      <c r="D954" s="142" t="s">
        <v>167</v>
      </c>
      <c r="E954" s="142" t="s">
        <v>780</v>
      </c>
      <c r="F954" s="140"/>
      <c r="G954" s="81">
        <f>SUM(G955)</f>
        <v>0</v>
      </c>
      <c r="H954" s="81">
        <f>SUM(H955)</f>
        <v>0</v>
      </c>
      <c r="I954" s="30" t="e">
        <f t="shared" si="46"/>
        <v>#DIV/0!</v>
      </c>
    </row>
    <row r="955" spans="1:9" ht="18.75" hidden="1" customHeight="1">
      <c r="A955" s="94" t="s">
        <v>592</v>
      </c>
      <c r="B955" s="142"/>
      <c r="C955" s="142" t="s">
        <v>940</v>
      </c>
      <c r="D955" s="142" t="s">
        <v>167</v>
      </c>
      <c r="E955" s="142" t="s">
        <v>780</v>
      </c>
      <c r="F955" s="140" t="s">
        <v>593</v>
      </c>
      <c r="G955" s="81"/>
      <c r="H955" s="81"/>
      <c r="I955" s="30" t="e">
        <f t="shared" si="46"/>
        <v>#DIV/0!</v>
      </c>
    </row>
    <row r="956" spans="1:9" ht="87" customHeight="1">
      <c r="A956" s="94" t="s">
        <v>868</v>
      </c>
      <c r="B956" s="142"/>
      <c r="C956" s="142" t="s">
        <v>940</v>
      </c>
      <c r="D956" s="142" t="s">
        <v>167</v>
      </c>
      <c r="E956" s="142" t="s">
        <v>327</v>
      </c>
      <c r="F956" s="140"/>
      <c r="G956" s="81">
        <f>SUM(G957:G958)</f>
        <v>7537</v>
      </c>
      <c r="H956" s="81">
        <f>SUM(H957:H958)</f>
        <v>7067.4</v>
      </c>
      <c r="I956" s="30">
        <f t="shared" si="46"/>
        <v>93.769404272256864</v>
      </c>
    </row>
    <row r="957" spans="1:9" ht="18" customHeight="1">
      <c r="A957" s="95" t="s">
        <v>592</v>
      </c>
      <c r="B957" s="138"/>
      <c r="C957" s="142" t="s">
        <v>940</v>
      </c>
      <c r="D957" s="138" t="s">
        <v>167</v>
      </c>
      <c r="E957" s="142" t="s">
        <v>327</v>
      </c>
      <c r="F957" s="139" t="s">
        <v>593</v>
      </c>
      <c r="G957" s="81">
        <v>7506.6</v>
      </c>
      <c r="H957" s="81">
        <v>7037</v>
      </c>
      <c r="I957" s="30">
        <f t="shared" si="46"/>
        <v>93.744171795486636</v>
      </c>
    </row>
    <row r="958" spans="1:9" ht="26.25" customHeight="1">
      <c r="A958" s="115" t="s">
        <v>164</v>
      </c>
      <c r="B958" s="138"/>
      <c r="C958" s="142" t="s">
        <v>940</v>
      </c>
      <c r="D958" s="138" t="s">
        <v>167</v>
      </c>
      <c r="E958" s="142" t="s">
        <v>327</v>
      </c>
      <c r="F958" s="139" t="s">
        <v>165</v>
      </c>
      <c r="G958" s="188">
        <v>30.4</v>
      </c>
      <c r="H958" s="188">
        <v>30.4</v>
      </c>
      <c r="I958" s="30">
        <f t="shared" ref="I958:I1021" si="47">SUM(H958/G958*100)</f>
        <v>100</v>
      </c>
    </row>
    <row r="959" spans="1:9" ht="53.25" customHeight="1">
      <c r="A959" s="97" t="s">
        <v>869</v>
      </c>
      <c r="B959" s="160"/>
      <c r="C959" s="160" t="s">
        <v>940</v>
      </c>
      <c r="D959" s="160" t="s">
        <v>167</v>
      </c>
      <c r="E959" s="160" t="s">
        <v>870</v>
      </c>
      <c r="F959" s="141"/>
      <c r="G959" s="184">
        <f>SUM(G960)</f>
        <v>120748.1</v>
      </c>
      <c r="H959" s="184">
        <f>SUM(H960)</f>
        <v>120075</v>
      </c>
      <c r="I959" s="30">
        <f t="shared" si="47"/>
        <v>99.442558516448699</v>
      </c>
    </row>
    <row r="960" spans="1:9" ht="18" customHeight="1">
      <c r="A960" s="97" t="s">
        <v>592</v>
      </c>
      <c r="B960" s="160"/>
      <c r="C960" s="160" t="s">
        <v>940</v>
      </c>
      <c r="D960" s="160" t="s">
        <v>167</v>
      </c>
      <c r="E960" s="160" t="s">
        <v>870</v>
      </c>
      <c r="F960" s="141" t="s">
        <v>593</v>
      </c>
      <c r="G960" s="184">
        <v>120748.1</v>
      </c>
      <c r="H960" s="184">
        <v>120075</v>
      </c>
      <c r="I960" s="30">
        <f t="shared" si="47"/>
        <v>99.442558516448699</v>
      </c>
    </row>
    <row r="961" spans="1:9" ht="73.5" customHeight="1">
      <c r="A961" s="97" t="s">
        <v>871</v>
      </c>
      <c r="B961" s="160"/>
      <c r="C961" s="160" t="s">
        <v>940</v>
      </c>
      <c r="D961" s="160" t="s">
        <v>167</v>
      </c>
      <c r="E961" s="160" t="s">
        <v>872</v>
      </c>
      <c r="F961" s="141"/>
      <c r="G961" s="184">
        <f>SUM(G962:G963)</f>
        <v>985.3</v>
      </c>
      <c r="H961" s="184">
        <f>SUM(H962:H963)</f>
        <v>905.19999999999993</v>
      </c>
      <c r="I961" s="30">
        <f t="shared" si="47"/>
        <v>91.870496295544498</v>
      </c>
    </row>
    <row r="962" spans="1:9" ht="18" customHeight="1">
      <c r="A962" s="97" t="s">
        <v>592</v>
      </c>
      <c r="B962" s="160"/>
      <c r="C962" s="160" t="s">
        <v>940</v>
      </c>
      <c r="D962" s="160" t="s">
        <v>167</v>
      </c>
      <c r="E962" s="160" t="s">
        <v>872</v>
      </c>
      <c r="F962" s="141" t="s">
        <v>593</v>
      </c>
      <c r="G962" s="184">
        <v>980.4</v>
      </c>
      <c r="H962" s="184">
        <v>900.3</v>
      </c>
      <c r="I962" s="30">
        <f t="shared" si="47"/>
        <v>91.829865361077111</v>
      </c>
    </row>
    <row r="963" spans="1:9" ht="23.25" customHeight="1">
      <c r="A963" s="115" t="s">
        <v>164</v>
      </c>
      <c r="B963" s="138"/>
      <c r="C963" s="142" t="s">
        <v>940</v>
      </c>
      <c r="D963" s="138" t="s">
        <v>167</v>
      </c>
      <c r="E963" s="160" t="s">
        <v>872</v>
      </c>
      <c r="F963" s="139" t="s">
        <v>165</v>
      </c>
      <c r="G963" s="188">
        <v>4.9000000000000004</v>
      </c>
      <c r="H963" s="188">
        <v>4.9000000000000004</v>
      </c>
      <c r="I963" s="30">
        <f t="shared" si="47"/>
        <v>100</v>
      </c>
    </row>
    <row r="964" spans="1:9" ht="73.5" customHeight="1">
      <c r="A964" s="97" t="s">
        <v>873</v>
      </c>
      <c r="B964" s="160"/>
      <c r="C964" s="160" t="s">
        <v>940</v>
      </c>
      <c r="D964" s="160" t="s">
        <v>167</v>
      </c>
      <c r="E964" s="160" t="s">
        <v>874</v>
      </c>
      <c r="F964" s="141"/>
      <c r="G964" s="184">
        <f>SUM(G965)</f>
        <v>262.7</v>
      </c>
      <c r="H964" s="184">
        <f>SUM(H965)</f>
        <v>234</v>
      </c>
      <c r="I964" s="30">
        <f t="shared" si="47"/>
        <v>89.074990483441198</v>
      </c>
    </row>
    <row r="965" spans="1:9" ht="18" customHeight="1">
      <c r="A965" s="97" t="s">
        <v>592</v>
      </c>
      <c r="B965" s="160"/>
      <c r="C965" s="160" t="s">
        <v>940</v>
      </c>
      <c r="D965" s="160" t="s">
        <v>167</v>
      </c>
      <c r="E965" s="160" t="s">
        <v>874</v>
      </c>
      <c r="F965" s="141" t="s">
        <v>593</v>
      </c>
      <c r="G965" s="184">
        <v>262.7</v>
      </c>
      <c r="H965" s="184">
        <v>234</v>
      </c>
      <c r="I965" s="30">
        <f t="shared" si="47"/>
        <v>89.074990483441198</v>
      </c>
    </row>
    <row r="966" spans="1:9" ht="48" customHeight="1">
      <c r="A966" s="97" t="s">
        <v>875</v>
      </c>
      <c r="B966" s="160"/>
      <c r="C966" s="160" t="s">
        <v>940</v>
      </c>
      <c r="D966" s="160" t="s">
        <v>167</v>
      </c>
      <c r="E966" s="160" t="s">
        <v>876</v>
      </c>
      <c r="F966" s="141"/>
      <c r="G966" s="184">
        <f>SUM(G967:G968)</f>
        <v>6405.1</v>
      </c>
      <c r="H966" s="184">
        <f>SUM(H967:H968)</f>
        <v>5682.3</v>
      </c>
      <c r="I966" s="30">
        <f t="shared" si="47"/>
        <v>88.715242541100054</v>
      </c>
    </row>
    <row r="967" spans="1:9" ht="18" customHeight="1">
      <c r="A967" s="97" t="s">
        <v>592</v>
      </c>
      <c r="B967" s="160"/>
      <c r="C967" s="160" t="s">
        <v>940</v>
      </c>
      <c r="D967" s="160" t="s">
        <v>167</v>
      </c>
      <c r="E967" s="160" t="s">
        <v>876</v>
      </c>
      <c r="F967" s="141" t="s">
        <v>593</v>
      </c>
      <c r="G967" s="184">
        <v>6391.1</v>
      </c>
      <c r="H967" s="184">
        <v>5668.3</v>
      </c>
      <c r="I967" s="30">
        <f t="shared" si="47"/>
        <v>88.690522758210633</v>
      </c>
    </row>
    <row r="968" spans="1:9" ht="25.5" customHeight="1">
      <c r="A968" s="115" t="s">
        <v>164</v>
      </c>
      <c r="B968" s="138"/>
      <c r="C968" s="142" t="s">
        <v>940</v>
      </c>
      <c r="D968" s="138" t="s">
        <v>167</v>
      </c>
      <c r="E968" s="160" t="s">
        <v>876</v>
      </c>
      <c r="F968" s="139" t="s">
        <v>165</v>
      </c>
      <c r="G968" s="188">
        <v>14</v>
      </c>
      <c r="H968" s="188">
        <v>14</v>
      </c>
      <c r="I968" s="30">
        <f t="shared" si="47"/>
        <v>100</v>
      </c>
    </row>
    <row r="969" spans="1:9" ht="35.25" customHeight="1">
      <c r="A969" s="97" t="s">
        <v>877</v>
      </c>
      <c r="B969" s="160"/>
      <c r="C969" s="160" t="s">
        <v>940</v>
      </c>
      <c r="D969" s="160" t="s">
        <v>167</v>
      </c>
      <c r="E969" s="160" t="s">
        <v>878</v>
      </c>
      <c r="F969" s="141"/>
      <c r="G969" s="184">
        <f>SUM(G970)</f>
        <v>5777.2</v>
      </c>
      <c r="H969" s="184">
        <f>SUM(H970)</f>
        <v>5774.4</v>
      </c>
      <c r="I969" s="30">
        <f t="shared" si="47"/>
        <v>99.951533614899944</v>
      </c>
    </row>
    <row r="970" spans="1:9" ht="21" customHeight="1">
      <c r="A970" s="97" t="s">
        <v>592</v>
      </c>
      <c r="B970" s="160"/>
      <c r="C970" s="160" t="s">
        <v>940</v>
      </c>
      <c r="D970" s="160" t="s">
        <v>167</v>
      </c>
      <c r="E970" s="160" t="s">
        <v>878</v>
      </c>
      <c r="F970" s="141" t="s">
        <v>593</v>
      </c>
      <c r="G970" s="184">
        <v>5777.2</v>
      </c>
      <c r="H970" s="184">
        <v>5774.4</v>
      </c>
      <c r="I970" s="30">
        <f t="shared" si="47"/>
        <v>99.951533614899944</v>
      </c>
    </row>
    <row r="971" spans="1:9" ht="45" customHeight="1">
      <c r="A971" s="170" t="s">
        <v>879</v>
      </c>
      <c r="B971" s="160"/>
      <c r="C971" s="160" t="s">
        <v>940</v>
      </c>
      <c r="D971" s="160" t="s">
        <v>167</v>
      </c>
      <c r="E971" s="160" t="s">
        <v>880</v>
      </c>
      <c r="F971" s="141"/>
      <c r="G971" s="184">
        <f>SUM(G972:G973)</f>
        <v>1922</v>
      </c>
      <c r="H971" s="184">
        <f>SUM(H972:H973)</f>
        <v>1830</v>
      </c>
      <c r="I971" s="30">
        <f t="shared" si="47"/>
        <v>95.21331945889699</v>
      </c>
    </row>
    <row r="972" spans="1:9" ht="18" customHeight="1">
      <c r="A972" s="97" t="s">
        <v>592</v>
      </c>
      <c r="B972" s="160"/>
      <c r="C972" s="160" t="s">
        <v>940</v>
      </c>
      <c r="D972" s="160" t="s">
        <v>167</v>
      </c>
      <c r="E972" s="160" t="s">
        <v>880</v>
      </c>
      <c r="F972" s="141" t="s">
        <v>593</v>
      </c>
      <c r="G972" s="184">
        <v>1656.4</v>
      </c>
      <c r="H972" s="184">
        <v>1564.4</v>
      </c>
      <c r="I972" s="30">
        <f t="shared" si="47"/>
        <v>94.445786042018824</v>
      </c>
    </row>
    <row r="973" spans="1:9" ht="46.5" customHeight="1">
      <c r="A973" s="97" t="s">
        <v>954</v>
      </c>
      <c r="B973" s="160"/>
      <c r="C973" s="160" t="s">
        <v>940</v>
      </c>
      <c r="D973" s="160" t="s">
        <v>167</v>
      </c>
      <c r="E973" s="160" t="s">
        <v>880</v>
      </c>
      <c r="F973" s="141" t="s">
        <v>51</v>
      </c>
      <c r="G973" s="184">
        <v>265.60000000000002</v>
      </c>
      <c r="H973" s="184">
        <v>265.60000000000002</v>
      </c>
      <c r="I973" s="30">
        <f t="shared" si="47"/>
        <v>100</v>
      </c>
    </row>
    <row r="974" spans="1:9" ht="43.5" customHeight="1">
      <c r="A974" s="97" t="s">
        <v>881</v>
      </c>
      <c r="B974" s="160"/>
      <c r="C974" s="160" t="s">
        <v>940</v>
      </c>
      <c r="D974" s="160" t="s">
        <v>167</v>
      </c>
      <c r="E974" s="160" t="s">
        <v>882</v>
      </c>
      <c r="F974" s="141"/>
      <c r="G974" s="184">
        <f>SUM(G975)</f>
        <v>6123.8</v>
      </c>
      <c r="H974" s="184">
        <f>SUM(H975)</f>
        <v>6174.9</v>
      </c>
      <c r="I974" s="30">
        <f t="shared" si="47"/>
        <v>100.83444919821025</v>
      </c>
    </row>
    <row r="975" spans="1:9" ht="15" customHeight="1">
      <c r="A975" s="97" t="s">
        <v>592</v>
      </c>
      <c r="B975" s="160"/>
      <c r="C975" s="160" t="s">
        <v>940</v>
      </c>
      <c r="D975" s="160" t="s">
        <v>167</v>
      </c>
      <c r="E975" s="160" t="s">
        <v>882</v>
      </c>
      <c r="F975" s="141" t="s">
        <v>593</v>
      </c>
      <c r="G975" s="184">
        <v>6123.8</v>
      </c>
      <c r="H975" s="184">
        <v>6174.9</v>
      </c>
      <c r="I975" s="30">
        <f t="shared" si="47"/>
        <v>100.83444919821025</v>
      </c>
    </row>
    <row r="976" spans="1:9" ht="15">
      <c r="A976" s="95" t="s">
        <v>330</v>
      </c>
      <c r="B976" s="138"/>
      <c r="C976" s="142" t="s">
        <v>940</v>
      </c>
      <c r="D976" s="138" t="s">
        <v>167</v>
      </c>
      <c r="E976" s="138" t="s">
        <v>331</v>
      </c>
      <c r="F976" s="140"/>
      <c r="G976" s="81">
        <f>SUM(G977)</f>
        <v>1078</v>
      </c>
      <c r="H976" s="81">
        <f>SUM(H977)</f>
        <v>1078</v>
      </c>
      <c r="I976" s="30">
        <f t="shared" si="47"/>
        <v>100</v>
      </c>
    </row>
    <row r="977" spans="1:9" ht="15">
      <c r="A977" s="94" t="s">
        <v>332</v>
      </c>
      <c r="B977" s="138"/>
      <c r="C977" s="142" t="s">
        <v>940</v>
      </c>
      <c r="D977" s="138" t="s">
        <v>167</v>
      </c>
      <c r="E977" s="138" t="s">
        <v>333</v>
      </c>
      <c r="F977" s="140"/>
      <c r="G977" s="81">
        <f>SUM(G978:G978)</f>
        <v>1078</v>
      </c>
      <c r="H977" s="81">
        <f>SUM(H978:H978)</f>
        <v>1078</v>
      </c>
      <c r="I977" s="30">
        <f t="shared" si="47"/>
        <v>100</v>
      </c>
    </row>
    <row r="978" spans="1:9" ht="18" customHeight="1">
      <c r="A978" s="95" t="s">
        <v>592</v>
      </c>
      <c r="B978" s="138"/>
      <c r="C978" s="142" t="s">
        <v>940</v>
      </c>
      <c r="D978" s="138" t="s">
        <v>167</v>
      </c>
      <c r="E978" s="138" t="s">
        <v>333</v>
      </c>
      <c r="F978" s="140" t="s">
        <v>593</v>
      </c>
      <c r="G978" s="81">
        <v>1078</v>
      </c>
      <c r="H978" s="81">
        <v>1078</v>
      </c>
      <c r="I978" s="30">
        <f t="shared" si="47"/>
        <v>100</v>
      </c>
    </row>
    <row r="979" spans="1:9" ht="49.5" customHeight="1">
      <c r="A979" s="94" t="s">
        <v>1050</v>
      </c>
      <c r="B979" s="138"/>
      <c r="C979" s="142" t="s">
        <v>940</v>
      </c>
      <c r="D979" s="138" t="s">
        <v>167</v>
      </c>
      <c r="E979" s="138" t="s">
        <v>1053</v>
      </c>
      <c r="F979" s="140"/>
      <c r="G979" s="81">
        <f t="shared" ref="G979:H981" si="48">SUM(G980)</f>
        <v>85.9</v>
      </c>
      <c r="H979" s="81">
        <f t="shared" si="48"/>
        <v>0</v>
      </c>
      <c r="I979" s="30">
        <f t="shared" si="47"/>
        <v>0</v>
      </c>
    </row>
    <row r="980" spans="1:9" ht="39.75" customHeight="1">
      <c r="A980" s="94" t="s">
        <v>1051</v>
      </c>
      <c r="B980" s="138"/>
      <c r="C980" s="142" t="s">
        <v>940</v>
      </c>
      <c r="D980" s="138" t="s">
        <v>167</v>
      </c>
      <c r="E980" s="138" t="s">
        <v>1054</v>
      </c>
      <c r="F980" s="140"/>
      <c r="G980" s="81">
        <f t="shared" si="48"/>
        <v>85.9</v>
      </c>
      <c r="H980" s="81">
        <f t="shared" si="48"/>
        <v>0</v>
      </c>
      <c r="I980" s="30">
        <f t="shared" si="47"/>
        <v>0</v>
      </c>
    </row>
    <row r="981" spans="1:9" ht="37.5" customHeight="1">
      <c r="A981" s="94" t="s">
        <v>1052</v>
      </c>
      <c r="B981" s="138"/>
      <c r="C981" s="142" t="s">
        <v>940</v>
      </c>
      <c r="D981" s="138" t="s">
        <v>167</v>
      </c>
      <c r="E981" s="138" t="s">
        <v>1055</v>
      </c>
      <c r="F981" s="140"/>
      <c r="G981" s="81">
        <f t="shared" si="48"/>
        <v>85.9</v>
      </c>
      <c r="H981" s="81">
        <f t="shared" si="48"/>
        <v>0</v>
      </c>
      <c r="I981" s="30">
        <f t="shared" si="47"/>
        <v>0</v>
      </c>
    </row>
    <row r="982" spans="1:9" ht="18" customHeight="1">
      <c r="A982" s="94" t="s">
        <v>592</v>
      </c>
      <c r="B982" s="138"/>
      <c r="C982" s="142" t="s">
        <v>940</v>
      </c>
      <c r="D982" s="138" t="s">
        <v>167</v>
      </c>
      <c r="E982" s="138" t="s">
        <v>1055</v>
      </c>
      <c r="F982" s="140" t="s">
        <v>593</v>
      </c>
      <c r="G982" s="81">
        <v>85.9</v>
      </c>
      <c r="H982" s="81"/>
      <c r="I982" s="30">
        <f t="shared" si="47"/>
        <v>0</v>
      </c>
    </row>
    <row r="983" spans="1:9" s="25" customFormat="1" ht="15">
      <c r="A983" s="97" t="s">
        <v>200</v>
      </c>
      <c r="B983" s="138"/>
      <c r="C983" s="142" t="s">
        <v>940</v>
      </c>
      <c r="D983" s="142" t="s">
        <v>167</v>
      </c>
      <c r="E983" s="142" t="s">
        <v>201</v>
      </c>
      <c r="F983" s="140"/>
      <c r="G983" s="81">
        <f>SUM(G984+G986)+G988</f>
        <v>533</v>
      </c>
      <c r="H983" s="81">
        <f>SUM(H984+H986)+H988</f>
        <v>533</v>
      </c>
      <c r="I983" s="30">
        <f t="shared" si="47"/>
        <v>100</v>
      </c>
    </row>
    <row r="984" spans="1:9" s="25" customFormat="1" ht="37.5" hidden="1" customHeight="1">
      <c r="A984" s="97" t="s">
        <v>326</v>
      </c>
      <c r="B984" s="138"/>
      <c r="C984" s="142" t="s">
        <v>940</v>
      </c>
      <c r="D984" s="142" t="s">
        <v>167</v>
      </c>
      <c r="E984" s="142" t="s">
        <v>507</v>
      </c>
      <c r="F984" s="140"/>
      <c r="G984" s="81">
        <f>SUM(G985)</f>
        <v>0</v>
      </c>
      <c r="H984" s="81">
        <f>SUM(H985)</f>
        <v>0</v>
      </c>
      <c r="I984" s="30" t="e">
        <f t="shared" si="47"/>
        <v>#DIV/0!</v>
      </c>
    </row>
    <row r="985" spans="1:9" ht="15" hidden="1">
      <c r="A985" s="95" t="s">
        <v>332</v>
      </c>
      <c r="B985" s="109"/>
      <c r="C985" s="142" t="s">
        <v>940</v>
      </c>
      <c r="D985" s="142" t="s">
        <v>167</v>
      </c>
      <c r="E985" s="142" t="s">
        <v>507</v>
      </c>
      <c r="F985" s="141" t="s">
        <v>508</v>
      </c>
      <c r="G985" s="81"/>
      <c r="H985" s="81"/>
      <c r="I985" s="30" t="e">
        <f t="shared" si="47"/>
        <v>#DIV/0!</v>
      </c>
    </row>
    <row r="986" spans="1:9" ht="42.75" hidden="1">
      <c r="A986" s="94" t="s">
        <v>272</v>
      </c>
      <c r="B986" s="142"/>
      <c r="C986" s="142" t="s">
        <v>940</v>
      </c>
      <c r="D986" s="142" t="s">
        <v>167</v>
      </c>
      <c r="E986" s="142" t="s">
        <v>271</v>
      </c>
      <c r="F986" s="140"/>
      <c r="G986" s="81">
        <f>SUM(G987)</f>
        <v>0</v>
      </c>
      <c r="H986" s="81">
        <f>SUM(H987)</f>
        <v>0</v>
      </c>
      <c r="I986" s="30" t="e">
        <f t="shared" si="47"/>
        <v>#DIV/0!</v>
      </c>
    </row>
    <row r="987" spans="1:9" ht="19.5" hidden="1" customHeight="1">
      <c r="A987" s="94" t="s">
        <v>332</v>
      </c>
      <c r="B987" s="146"/>
      <c r="C987" s="142" t="s">
        <v>940</v>
      </c>
      <c r="D987" s="142" t="s">
        <v>167</v>
      </c>
      <c r="E987" s="142" t="s">
        <v>271</v>
      </c>
      <c r="F987" s="140" t="s">
        <v>508</v>
      </c>
      <c r="G987" s="81"/>
      <c r="H987" s="81"/>
      <c r="I987" s="30" t="e">
        <f t="shared" si="47"/>
        <v>#DIV/0!</v>
      </c>
    </row>
    <row r="988" spans="1:9" ht="45.75" customHeight="1">
      <c r="A988" s="94" t="s">
        <v>1056</v>
      </c>
      <c r="B988" s="146"/>
      <c r="C988" s="142" t="s">
        <v>940</v>
      </c>
      <c r="D988" s="142" t="s">
        <v>167</v>
      </c>
      <c r="E988" s="142" t="s">
        <v>1057</v>
      </c>
      <c r="F988" s="140"/>
      <c r="G988" s="81">
        <f>SUM(G989)</f>
        <v>533</v>
      </c>
      <c r="H988" s="81">
        <f>SUM(H989)</f>
        <v>533</v>
      </c>
      <c r="I988" s="30">
        <f t="shared" si="47"/>
        <v>100</v>
      </c>
    </row>
    <row r="989" spans="1:9" ht="19.5" customHeight="1">
      <c r="A989" s="94" t="s">
        <v>332</v>
      </c>
      <c r="B989" s="146"/>
      <c r="C989" s="142" t="s">
        <v>940</v>
      </c>
      <c r="D989" s="142" t="s">
        <v>167</v>
      </c>
      <c r="E989" s="142" t="s">
        <v>1057</v>
      </c>
      <c r="F989" s="140" t="s">
        <v>508</v>
      </c>
      <c r="G989" s="81">
        <v>533</v>
      </c>
      <c r="H989" s="81">
        <v>533</v>
      </c>
      <c r="I989" s="30">
        <f t="shared" si="47"/>
        <v>100</v>
      </c>
    </row>
    <row r="990" spans="1:9" ht="19.5" customHeight="1">
      <c r="A990" s="119" t="s">
        <v>279</v>
      </c>
      <c r="B990" s="138"/>
      <c r="C990" s="154" t="s">
        <v>940</v>
      </c>
      <c r="D990" s="163" t="s">
        <v>191</v>
      </c>
      <c r="E990" s="163"/>
      <c r="F990" s="164"/>
      <c r="G990" s="82">
        <f>SUM(G991+G994)</f>
        <v>30987.3</v>
      </c>
      <c r="H990" s="82">
        <f>SUM(H991+H994)</f>
        <v>30987.3</v>
      </c>
      <c r="I990" s="30">
        <f t="shared" si="47"/>
        <v>100</v>
      </c>
    </row>
    <row r="991" spans="1:9" ht="15" hidden="1">
      <c r="A991" s="119" t="s">
        <v>965</v>
      </c>
      <c r="B991" s="138"/>
      <c r="C991" s="154" t="s">
        <v>940</v>
      </c>
      <c r="D991" s="163" t="s">
        <v>191</v>
      </c>
      <c r="E991" s="163" t="s">
        <v>966</v>
      </c>
      <c r="F991" s="164"/>
      <c r="G991" s="81">
        <f>SUM(G992)</f>
        <v>0</v>
      </c>
      <c r="H991" s="81">
        <f>SUM(H992)</f>
        <v>0</v>
      </c>
      <c r="I991" s="30" t="e">
        <f t="shared" si="47"/>
        <v>#DIV/0!</v>
      </c>
    </row>
    <row r="992" spans="1:9" ht="28.5" hidden="1">
      <c r="A992" s="97" t="s">
        <v>1008</v>
      </c>
      <c r="B992" s="138"/>
      <c r="C992" s="154" t="s">
        <v>940</v>
      </c>
      <c r="D992" s="163" t="s">
        <v>191</v>
      </c>
      <c r="E992" s="163" t="s">
        <v>280</v>
      </c>
      <c r="F992" s="164"/>
      <c r="G992" s="81">
        <f>SUM(G993)</f>
        <v>0</v>
      </c>
      <c r="H992" s="81">
        <f>SUM(H993)</f>
        <v>0</v>
      </c>
      <c r="I992" s="30" t="e">
        <f t="shared" si="47"/>
        <v>#DIV/0!</v>
      </c>
    </row>
    <row r="993" spans="1:9" ht="15" hidden="1">
      <c r="A993" s="97" t="s">
        <v>592</v>
      </c>
      <c r="B993" s="138"/>
      <c r="C993" s="154" t="s">
        <v>940</v>
      </c>
      <c r="D993" s="163" t="s">
        <v>191</v>
      </c>
      <c r="E993" s="163" t="s">
        <v>280</v>
      </c>
      <c r="F993" s="140" t="s">
        <v>593</v>
      </c>
      <c r="G993" s="81"/>
      <c r="H993" s="81"/>
      <c r="I993" s="30" t="e">
        <f t="shared" si="47"/>
        <v>#DIV/0!</v>
      </c>
    </row>
    <row r="994" spans="1:9" ht="20.25" customHeight="1">
      <c r="A994" s="97" t="s">
        <v>281</v>
      </c>
      <c r="B994" s="138"/>
      <c r="C994" s="154" t="s">
        <v>940</v>
      </c>
      <c r="D994" s="163" t="s">
        <v>191</v>
      </c>
      <c r="E994" s="163" t="s">
        <v>435</v>
      </c>
      <c r="F994" s="140"/>
      <c r="G994" s="81">
        <f>SUM(G995)</f>
        <v>30987.3</v>
      </c>
      <c r="H994" s="81">
        <f>SUM(H995)</f>
        <v>30987.3</v>
      </c>
      <c r="I994" s="30">
        <f t="shared" si="47"/>
        <v>100</v>
      </c>
    </row>
    <row r="995" spans="1:9" ht="28.5">
      <c r="A995" s="97" t="s">
        <v>883</v>
      </c>
      <c r="B995" s="138"/>
      <c r="C995" s="154" t="s">
        <v>940</v>
      </c>
      <c r="D995" s="163" t="s">
        <v>191</v>
      </c>
      <c r="E995" s="166" t="s">
        <v>285</v>
      </c>
      <c r="F995" s="164"/>
      <c r="G995" s="81">
        <f>SUM(G1000)+G1004+G996+G998</f>
        <v>30987.3</v>
      </c>
      <c r="H995" s="81">
        <f>SUM(H1000)+H1004+H996+H998</f>
        <v>30987.3</v>
      </c>
      <c r="I995" s="30">
        <f t="shared" si="47"/>
        <v>100</v>
      </c>
    </row>
    <row r="996" spans="1:9" ht="27.75" customHeight="1">
      <c r="A996" s="97" t="s">
        <v>286</v>
      </c>
      <c r="B996" s="138"/>
      <c r="C996" s="154" t="s">
        <v>940</v>
      </c>
      <c r="D996" s="154" t="s">
        <v>191</v>
      </c>
      <c r="E996" s="166" t="s">
        <v>287</v>
      </c>
      <c r="F996" s="144"/>
      <c r="G996" s="81">
        <f>SUM(G997)</f>
        <v>3216.8</v>
      </c>
      <c r="H996" s="81">
        <f>SUM(H997)</f>
        <v>3216.8</v>
      </c>
      <c r="I996" s="30">
        <f t="shared" si="47"/>
        <v>100</v>
      </c>
    </row>
    <row r="997" spans="1:9" ht="30.75" customHeight="1">
      <c r="A997" s="97" t="s">
        <v>288</v>
      </c>
      <c r="B997" s="138"/>
      <c r="C997" s="154" t="s">
        <v>940</v>
      </c>
      <c r="D997" s="154" t="s">
        <v>191</v>
      </c>
      <c r="E997" s="166" t="s">
        <v>287</v>
      </c>
      <c r="F997" s="144" t="s">
        <v>289</v>
      </c>
      <c r="G997" s="81">
        <v>3216.8</v>
      </c>
      <c r="H997" s="81">
        <v>3216.8</v>
      </c>
      <c r="I997" s="30">
        <f t="shared" si="47"/>
        <v>100</v>
      </c>
    </row>
    <row r="998" spans="1:9" ht="25.5" customHeight="1">
      <c r="A998" s="97" t="s">
        <v>884</v>
      </c>
      <c r="B998" s="138"/>
      <c r="C998" s="154" t="s">
        <v>940</v>
      </c>
      <c r="D998" s="154" t="s">
        <v>191</v>
      </c>
      <c r="E998" s="166" t="s">
        <v>290</v>
      </c>
      <c r="F998" s="144"/>
      <c r="G998" s="81">
        <f>SUM(G999)</f>
        <v>2977</v>
      </c>
      <c r="H998" s="81">
        <f>SUM(H999)</f>
        <v>2977</v>
      </c>
      <c r="I998" s="30">
        <f t="shared" si="47"/>
        <v>100</v>
      </c>
    </row>
    <row r="999" spans="1:9" ht="28.5" customHeight="1">
      <c r="A999" s="97" t="s">
        <v>288</v>
      </c>
      <c r="B999" s="138"/>
      <c r="C999" s="154" t="s">
        <v>940</v>
      </c>
      <c r="D999" s="154" t="s">
        <v>191</v>
      </c>
      <c r="E999" s="166" t="s">
        <v>290</v>
      </c>
      <c r="F999" s="144" t="s">
        <v>289</v>
      </c>
      <c r="G999" s="81">
        <v>2977</v>
      </c>
      <c r="H999" s="81">
        <v>2977</v>
      </c>
      <c r="I999" s="30">
        <f t="shared" si="47"/>
        <v>100</v>
      </c>
    </row>
    <row r="1000" spans="1:9" ht="27.75" customHeight="1">
      <c r="A1000" s="97" t="s">
        <v>885</v>
      </c>
      <c r="B1000" s="138"/>
      <c r="C1000" s="154" t="s">
        <v>940</v>
      </c>
      <c r="D1000" s="154" t="s">
        <v>191</v>
      </c>
      <c r="E1000" s="166" t="s">
        <v>886</v>
      </c>
      <c r="F1000" s="144"/>
      <c r="G1000" s="81">
        <f>SUM(G1001)</f>
        <v>24793.5</v>
      </c>
      <c r="H1000" s="81">
        <f>SUM(H1001)</f>
        <v>24793.5</v>
      </c>
      <c r="I1000" s="30">
        <f t="shared" si="47"/>
        <v>100</v>
      </c>
    </row>
    <row r="1001" spans="1:9" ht="28.5">
      <c r="A1001" s="97" t="s">
        <v>288</v>
      </c>
      <c r="B1001" s="138"/>
      <c r="C1001" s="154" t="s">
        <v>940</v>
      </c>
      <c r="D1001" s="154" t="s">
        <v>191</v>
      </c>
      <c r="E1001" s="166" t="s">
        <v>886</v>
      </c>
      <c r="F1001" s="144" t="s">
        <v>289</v>
      </c>
      <c r="G1001" s="81">
        <v>24793.5</v>
      </c>
      <c r="H1001" s="81">
        <v>24793.5</v>
      </c>
      <c r="I1001" s="30">
        <f t="shared" si="47"/>
        <v>100</v>
      </c>
    </row>
    <row r="1002" spans="1:9" ht="15" hidden="1">
      <c r="A1002" s="94" t="s">
        <v>592</v>
      </c>
      <c r="B1002" s="138"/>
      <c r="C1002" s="154" t="s">
        <v>940</v>
      </c>
      <c r="D1002" s="154" t="s">
        <v>191</v>
      </c>
      <c r="E1002" s="163" t="s">
        <v>291</v>
      </c>
      <c r="F1002" s="144" t="s">
        <v>593</v>
      </c>
      <c r="G1002" s="81"/>
      <c r="H1002" s="81"/>
      <c r="I1002" s="30" t="e">
        <f t="shared" si="47"/>
        <v>#DIV/0!</v>
      </c>
    </row>
    <row r="1003" spans="1:9" ht="20.25" hidden="1" customHeight="1">
      <c r="A1003" s="94" t="s">
        <v>288</v>
      </c>
      <c r="B1003" s="138"/>
      <c r="C1003" s="154" t="s">
        <v>940</v>
      </c>
      <c r="D1003" s="154" t="s">
        <v>191</v>
      </c>
      <c r="E1003" s="163" t="s">
        <v>291</v>
      </c>
      <c r="F1003" s="144" t="s">
        <v>289</v>
      </c>
      <c r="G1003" s="81"/>
      <c r="H1003" s="81"/>
      <c r="I1003" s="30" t="e">
        <f t="shared" si="47"/>
        <v>#DIV/0!</v>
      </c>
    </row>
    <row r="1004" spans="1:9" ht="42.75" hidden="1" customHeight="1">
      <c r="A1004" s="94" t="s">
        <v>288</v>
      </c>
      <c r="B1004" s="138"/>
      <c r="C1004" s="154" t="s">
        <v>940</v>
      </c>
      <c r="D1004" s="154" t="s">
        <v>191</v>
      </c>
      <c r="E1004" s="163" t="s">
        <v>292</v>
      </c>
      <c r="F1004" s="144"/>
      <c r="G1004" s="81">
        <f>SUM(G1005)</f>
        <v>0</v>
      </c>
      <c r="H1004" s="81">
        <f>SUM(H1005)</f>
        <v>0</v>
      </c>
      <c r="I1004" s="30" t="e">
        <f t="shared" si="47"/>
        <v>#DIV/0!</v>
      </c>
    </row>
    <row r="1005" spans="1:9" ht="42.75" hidden="1">
      <c r="A1005" s="94" t="s">
        <v>293</v>
      </c>
      <c r="B1005" s="138"/>
      <c r="C1005" s="154" t="s">
        <v>940</v>
      </c>
      <c r="D1005" s="154" t="s">
        <v>191</v>
      </c>
      <c r="E1005" s="163" t="s">
        <v>292</v>
      </c>
      <c r="F1005" s="144" t="s">
        <v>289</v>
      </c>
      <c r="G1005" s="81"/>
      <c r="H1005" s="81"/>
      <c r="I1005" s="30" t="e">
        <f t="shared" si="47"/>
        <v>#DIV/0!</v>
      </c>
    </row>
    <row r="1006" spans="1:9" ht="21" customHeight="1">
      <c r="A1006" s="115" t="s">
        <v>294</v>
      </c>
      <c r="B1006" s="138"/>
      <c r="C1006" s="163" t="s">
        <v>940</v>
      </c>
      <c r="D1006" s="163" t="s">
        <v>732</v>
      </c>
      <c r="E1006" s="163"/>
      <c r="F1006" s="164"/>
      <c r="G1006" s="82">
        <f>SUM(G1007)+G1032+G1020+G1022+G1024+G1027</f>
        <v>36449.5</v>
      </c>
      <c r="H1006" s="82">
        <f>SUM(H1007)+H1032+H1020+H1022+H1024+H1027</f>
        <v>36448.800000000003</v>
      </c>
      <c r="I1006" s="30">
        <f t="shared" si="47"/>
        <v>99.998079534698704</v>
      </c>
    </row>
    <row r="1007" spans="1:9" ht="41.25" customHeight="1">
      <c r="A1007" s="95" t="s">
        <v>160</v>
      </c>
      <c r="B1007" s="138"/>
      <c r="C1007" s="138" t="s">
        <v>940</v>
      </c>
      <c r="D1007" s="138" t="s">
        <v>732</v>
      </c>
      <c r="E1007" s="138" t="s">
        <v>161</v>
      </c>
      <c r="F1007" s="140"/>
      <c r="G1007" s="81">
        <f>SUM(G1008)</f>
        <v>27321.599999999999</v>
      </c>
      <c r="H1007" s="81">
        <f>SUM(H1008)</f>
        <v>27320.899999999998</v>
      </c>
      <c r="I1007" s="30">
        <f t="shared" si="47"/>
        <v>99.997437924572495</v>
      </c>
    </row>
    <row r="1008" spans="1:9" ht="19.5" customHeight="1">
      <c r="A1008" s="95" t="s">
        <v>168</v>
      </c>
      <c r="B1008" s="138"/>
      <c r="C1008" s="138" t="s">
        <v>940</v>
      </c>
      <c r="D1008" s="138" t="s">
        <v>732</v>
      </c>
      <c r="E1008" s="138" t="s">
        <v>170</v>
      </c>
      <c r="F1008" s="140"/>
      <c r="G1008" s="81">
        <f>SUM(G1016+G1010+G1012+G1018+G1009)</f>
        <v>27321.599999999999</v>
      </c>
      <c r="H1008" s="81">
        <f>SUM(H1016+H1010+H1012+H1018+H1009)</f>
        <v>27320.899999999998</v>
      </c>
      <c r="I1008" s="30">
        <f t="shared" si="47"/>
        <v>99.997437924572495</v>
      </c>
    </row>
    <row r="1009" spans="1:9" s="35" customFormat="1" ht="21.75" customHeight="1">
      <c r="A1009" s="115" t="s">
        <v>164</v>
      </c>
      <c r="B1009" s="138"/>
      <c r="C1009" s="138" t="s">
        <v>940</v>
      </c>
      <c r="D1009" s="138" t="s">
        <v>732</v>
      </c>
      <c r="E1009" s="138" t="s">
        <v>170</v>
      </c>
      <c r="F1009" s="149" t="s">
        <v>165</v>
      </c>
      <c r="G1009" s="81">
        <v>3618</v>
      </c>
      <c r="H1009" s="81">
        <v>3617.3</v>
      </c>
      <c r="I1009" s="30">
        <f t="shared" si="47"/>
        <v>99.980652294085132</v>
      </c>
    </row>
    <row r="1010" spans="1:9" s="35" customFormat="1" ht="29.25" hidden="1" customHeight="1">
      <c r="A1010" s="115" t="s">
        <v>295</v>
      </c>
      <c r="B1010" s="138"/>
      <c r="C1010" s="138" t="s">
        <v>940</v>
      </c>
      <c r="D1010" s="138" t="s">
        <v>732</v>
      </c>
      <c r="E1010" s="138" t="s">
        <v>296</v>
      </c>
      <c r="F1010" s="149"/>
      <c r="G1010" s="81">
        <f>SUM(G1011)</f>
        <v>0</v>
      </c>
      <c r="H1010" s="81">
        <f>SUM(H1011)</f>
        <v>0</v>
      </c>
      <c r="I1010" s="30" t="e">
        <f t="shared" si="47"/>
        <v>#DIV/0!</v>
      </c>
    </row>
    <row r="1011" spans="1:9" s="35" customFormat="1" ht="19.5" hidden="1" customHeight="1">
      <c r="A1011" s="115" t="s">
        <v>164</v>
      </c>
      <c r="B1011" s="138"/>
      <c r="C1011" s="138" t="s">
        <v>940</v>
      </c>
      <c r="D1011" s="138" t="s">
        <v>732</v>
      </c>
      <c r="E1011" s="138" t="s">
        <v>296</v>
      </c>
      <c r="F1011" s="149" t="s">
        <v>165</v>
      </c>
      <c r="G1011" s="81"/>
      <c r="H1011" s="81"/>
      <c r="I1011" s="30" t="e">
        <f t="shared" si="47"/>
        <v>#DIV/0!</v>
      </c>
    </row>
    <row r="1012" spans="1:9" ht="29.25" customHeight="1">
      <c r="A1012" s="115" t="s">
        <v>297</v>
      </c>
      <c r="B1012" s="138"/>
      <c r="C1012" s="138" t="s">
        <v>940</v>
      </c>
      <c r="D1012" s="138" t="s">
        <v>732</v>
      </c>
      <c r="E1012" s="138" t="s">
        <v>298</v>
      </c>
      <c r="F1012" s="149"/>
      <c r="G1012" s="81">
        <f>SUM(G1013)</f>
        <v>4131.3</v>
      </c>
      <c r="H1012" s="81">
        <f>SUM(H1013)</f>
        <v>4131.3</v>
      </c>
      <c r="I1012" s="30">
        <f t="shared" si="47"/>
        <v>100</v>
      </c>
    </row>
    <row r="1013" spans="1:9" ht="21" customHeight="1">
      <c r="A1013" s="115" t="s">
        <v>164</v>
      </c>
      <c r="B1013" s="171"/>
      <c r="C1013" s="138" t="s">
        <v>940</v>
      </c>
      <c r="D1013" s="138" t="s">
        <v>732</v>
      </c>
      <c r="E1013" s="138" t="s">
        <v>298</v>
      </c>
      <c r="F1013" s="149" t="s">
        <v>165</v>
      </c>
      <c r="G1013" s="81">
        <v>4131.3</v>
      </c>
      <c r="H1013" s="81">
        <v>4131.3</v>
      </c>
      <c r="I1013" s="30">
        <f t="shared" si="47"/>
        <v>100</v>
      </c>
    </row>
    <row r="1014" spans="1:9" ht="36" hidden="1" customHeight="1">
      <c r="A1014" s="115" t="s">
        <v>299</v>
      </c>
      <c r="B1014" s="171"/>
      <c r="C1014" s="138" t="s">
        <v>940</v>
      </c>
      <c r="D1014" s="138" t="s">
        <v>732</v>
      </c>
      <c r="E1014" s="138" t="s">
        <v>300</v>
      </c>
      <c r="F1014" s="149"/>
      <c r="G1014" s="81"/>
      <c r="H1014" s="81"/>
      <c r="I1014" s="30" t="e">
        <f t="shared" si="47"/>
        <v>#DIV/0!</v>
      </c>
    </row>
    <row r="1015" spans="1:9" s="35" customFormat="1" ht="37.5" hidden="1" customHeight="1">
      <c r="A1015" s="115" t="s">
        <v>164</v>
      </c>
      <c r="B1015" s="138"/>
      <c r="C1015" s="138" t="s">
        <v>940</v>
      </c>
      <c r="D1015" s="138" t="s">
        <v>732</v>
      </c>
      <c r="E1015" s="138" t="s">
        <v>300</v>
      </c>
      <c r="F1015" s="149" t="s">
        <v>165</v>
      </c>
      <c r="G1015" s="81"/>
      <c r="H1015" s="81"/>
      <c r="I1015" s="30" t="e">
        <f t="shared" si="47"/>
        <v>#DIV/0!</v>
      </c>
    </row>
    <row r="1016" spans="1:9" ht="30.75" customHeight="1">
      <c r="A1016" s="115" t="s">
        <v>295</v>
      </c>
      <c r="B1016" s="138"/>
      <c r="C1016" s="138" t="s">
        <v>940</v>
      </c>
      <c r="D1016" s="138" t="s">
        <v>732</v>
      </c>
      <c r="E1016" s="138" t="s">
        <v>296</v>
      </c>
      <c r="F1016" s="149"/>
      <c r="G1016" s="81">
        <f>SUM(G1017)</f>
        <v>14160.4</v>
      </c>
      <c r="H1016" s="81">
        <f>SUM(H1017)</f>
        <v>14160.4</v>
      </c>
      <c r="I1016" s="30">
        <f t="shared" si="47"/>
        <v>100</v>
      </c>
    </row>
    <row r="1017" spans="1:9" s="25" customFormat="1" ht="18.75" customHeight="1">
      <c r="A1017" s="115" t="s">
        <v>164</v>
      </c>
      <c r="B1017" s="138"/>
      <c r="C1017" s="138" t="s">
        <v>940</v>
      </c>
      <c r="D1017" s="138" t="s">
        <v>732</v>
      </c>
      <c r="E1017" s="138" t="s">
        <v>296</v>
      </c>
      <c r="F1017" s="149" t="s">
        <v>165</v>
      </c>
      <c r="G1017" s="81">
        <v>14160.4</v>
      </c>
      <c r="H1017" s="81">
        <v>14160.4</v>
      </c>
      <c r="I1017" s="30">
        <f t="shared" si="47"/>
        <v>100</v>
      </c>
    </row>
    <row r="1018" spans="1:9" s="25" customFormat="1" ht="28.5" customHeight="1">
      <c r="A1018" s="115" t="s">
        <v>299</v>
      </c>
      <c r="B1018" s="171"/>
      <c r="C1018" s="138" t="s">
        <v>940</v>
      </c>
      <c r="D1018" s="138" t="s">
        <v>732</v>
      </c>
      <c r="E1018" s="138" t="s">
        <v>301</v>
      </c>
      <c r="F1018" s="149"/>
      <c r="G1018" s="81">
        <f>SUM(G1019)</f>
        <v>5411.9</v>
      </c>
      <c r="H1018" s="81">
        <f>SUM(H1019)</f>
        <v>5411.9</v>
      </c>
      <c r="I1018" s="30">
        <f t="shared" si="47"/>
        <v>100</v>
      </c>
    </row>
    <row r="1019" spans="1:9" s="25" customFormat="1" ht="24.75" customHeight="1">
      <c r="A1019" s="115" t="s">
        <v>164</v>
      </c>
      <c r="B1019" s="138"/>
      <c r="C1019" s="138" t="s">
        <v>940</v>
      </c>
      <c r="D1019" s="138" t="s">
        <v>732</v>
      </c>
      <c r="E1019" s="138" t="s">
        <v>301</v>
      </c>
      <c r="F1019" s="149" t="s">
        <v>165</v>
      </c>
      <c r="G1019" s="81">
        <v>5411.9</v>
      </c>
      <c r="H1019" s="81">
        <v>5411.9</v>
      </c>
      <c r="I1019" s="30">
        <f t="shared" si="47"/>
        <v>100</v>
      </c>
    </row>
    <row r="1020" spans="1:9" s="25" customFormat="1" ht="23.25" customHeight="1">
      <c r="A1020" s="95" t="s">
        <v>902</v>
      </c>
      <c r="B1020" s="138"/>
      <c r="C1020" s="138" t="s">
        <v>940</v>
      </c>
      <c r="D1020" s="138" t="s">
        <v>732</v>
      </c>
      <c r="E1020" s="138" t="s">
        <v>903</v>
      </c>
      <c r="F1020" s="139"/>
      <c r="G1020" s="30">
        <f>SUM(G1021)</f>
        <v>206.4</v>
      </c>
      <c r="H1020" s="30">
        <f>SUM(H1021)</f>
        <v>206.4</v>
      </c>
      <c r="I1020" s="30">
        <f t="shared" si="47"/>
        <v>100</v>
      </c>
    </row>
    <row r="1021" spans="1:9" s="25" customFormat="1" ht="22.5" customHeight="1">
      <c r="A1021" s="95" t="s">
        <v>164</v>
      </c>
      <c r="B1021" s="138"/>
      <c r="C1021" s="138" t="s">
        <v>940</v>
      </c>
      <c r="D1021" s="138" t="s">
        <v>732</v>
      </c>
      <c r="E1021" s="138" t="s">
        <v>903</v>
      </c>
      <c r="F1021" s="139" t="s">
        <v>165</v>
      </c>
      <c r="G1021" s="30">
        <v>206.4</v>
      </c>
      <c r="H1021" s="30">
        <v>206.4</v>
      </c>
      <c r="I1021" s="30">
        <f t="shared" si="47"/>
        <v>100</v>
      </c>
    </row>
    <row r="1022" spans="1:9" s="25" customFormat="1" ht="29.25" customHeight="1">
      <c r="A1022" s="95" t="s">
        <v>904</v>
      </c>
      <c r="B1022" s="138"/>
      <c r="C1022" s="138" t="s">
        <v>940</v>
      </c>
      <c r="D1022" s="138" t="s">
        <v>732</v>
      </c>
      <c r="E1022" s="138" t="s">
        <v>905</v>
      </c>
      <c r="F1022" s="139"/>
      <c r="G1022" s="30">
        <f>SUM(G1023)</f>
        <v>1064.7</v>
      </c>
      <c r="H1022" s="30">
        <f>SUM(H1023)</f>
        <v>1064.7</v>
      </c>
      <c r="I1022" s="30">
        <f t="shared" ref="I1022:I1036" si="49">SUM(H1022/G1022*100)</f>
        <v>100</v>
      </c>
    </row>
    <row r="1023" spans="1:9" s="25" customFormat="1" ht="21.75" customHeight="1">
      <c r="A1023" s="95" t="s">
        <v>164</v>
      </c>
      <c r="B1023" s="138"/>
      <c r="C1023" s="138" t="s">
        <v>940</v>
      </c>
      <c r="D1023" s="138" t="s">
        <v>732</v>
      </c>
      <c r="E1023" s="138" t="s">
        <v>905</v>
      </c>
      <c r="F1023" s="139" t="s">
        <v>165</v>
      </c>
      <c r="G1023" s="30">
        <v>1064.7</v>
      </c>
      <c r="H1023" s="30">
        <v>1064.7</v>
      </c>
      <c r="I1023" s="30">
        <f t="shared" si="49"/>
        <v>100</v>
      </c>
    </row>
    <row r="1024" spans="1:9" s="25" customFormat="1" ht="32.25" customHeight="1">
      <c r="A1024" s="95" t="s">
        <v>175</v>
      </c>
      <c r="B1024" s="138"/>
      <c r="C1024" s="138" t="s">
        <v>940</v>
      </c>
      <c r="D1024" s="138" t="s">
        <v>732</v>
      </c>
      <c r="E1024" s="138" t="s">
        <v>176</v>
      </c>
      <c r="F1024" s="141"/>
      <c r="G1024" s="81">
        <f>SUM(G1025)</f>
        <v>1863.4</v>
      </c>
      <c r="H1024" s="81">
        <f>SUM(H1025)</f>
        <v>1863.4</v>
      </c>
      <c r="I1024" s="30">
        <f t="shared" si="49"/>
        <v>100</v>
      </c>
    </row>
    <row r="1025" spans="1:9" ht="21.75" customHeight="1">
      <c r="A1025" s="95" t="s">
        <v>177</v>
      </c>
      <c r="B1025" s="138"/>
      <c r="C1025" s="138" t="s">
        <v>940</v>
      </c>
      <c r="D1025" s="138" t="s">
        <v>732</v>
      </c>
      <c r="E1025" s="138" t="s">
        <v>501</v>
      </c>
      <c r="F1025" s="141"/>
      <c r="G1025" s="81">
        <f>SUM(G1026)</f>
        <v>1863.4</v>
      </c>
      <c r="H1025" s="81">
        <f>SUM(H1026)</f>
        <v>1863.4</v>
      </c>
      <c r="I1025" s="30">
        <f t="shared" si="49"/>
        <v>100</v>
      </c>
    </row>
    <row r="1026" spans="1:9" ht="20.25" customHeight="1">
      <c r="A1026" s="95" t="s">
        <v>164</v>
      </c>
      <c r="B1026" s="138"/>
      <c r="C1026" s="138" t="s">
        <v>940</v>
      </c>
      <c r="D1026" s="138" t="s">
        <v>732</v>
      </c>
      <c r="E1026" s="138" t="s">
        <v>501</v>
      </c>
      <c r="F1026" s="141" t="s">
        <v>165</v>
      </c>
      <c r="G1026" s="81">
        <v>1863.4</v>
      </c>
      <c r="H1026" s="81">
        <v>1863.4</v>
      </c>
      <c r="I1026" s="30">
        <f t="shared" si="49"/>
        <v>100</v>
      </c>
    </row>
    <row r="1027" spans="1:9" ht="20.25" customHeight="1">
      <c r="A1027" s="95" t="s">
        <v>932</v>
      </c>
      <c r="B1027" s="138"/>
      <c r="C1027" s="138" t="s">
        <v>940</v>
      </c>
      <c r="D1027" s="138" t="s">
        <v>732</v>
      </c>
      <c r="E1027" s="138" t="s">
        <v>933</v>
      </c>
      <c r="F1027" s="141"/>
      <c r="G1027" s="81">
        <f>SUM(G1030)+G1028</f>
        <v>2730</v>
      </c>
      <c r="H1027" s="81">
        <f>SUM(H1030)+H1028</f>
        <v>2730</v>
      </c>
      <c r="I1027" s="30">
        <f t="shared" si="49"/>
        <v>100</v>
      </c>
    </row>
    <row r="1028" spans="1:9" ht="28.5">
      <c r="A1028" s="95" t="s">
        <v>1117</v>
      </c>
      <c r="B1028" s="138"/>
      <c r="C1028" s="138" t="s">
        <v>940</v>
      </c>
      <c r="D1028" s="138" t="s">
        <v>732</v>
      </c>
      <c r="E1028" s="138" t="s">
        <v>528</v>
      </c>
      <c r="F1028" s="141"/>
      <c r="G1028" s="81">
        <f>SUM(G1029)</f>
        <v>730</v>
      </c>
      <c r="H1028" s="81">
        <f>SUM(H1029)</f>
        <v>730</v>
      </c>
      <c r="I1028" s="30">
        <f t="shared" si="49"/>
        <v>100</v>
      </c>
    </row>
    <row r="1029" spans="1:9" ht="15">
      <c r="A1029" s="95" t="s">
        <v>1118</v>
      </c>
      <c r="B1029" s="138"/>
      <c r="C1029" s="138" t="s">
        <v>940</v>
      </c>
      <c r="D1029" s="138" t="s">
        <v>732</v>
      </c>
      <c r="E1029" s="138" t="s">
        <v>528</v>
      </c>
      <c r="F1029" s="141" t="s">
        <v>508</v>
      </c>
      <c r="G1029" s="81">
        <v>730</v>
      </c>
      <c r="H1029" s="81">
        <v>730</v>
      </c>
      <c r="I1029" s="30">
        <f t="shared" si="49"/>
        <v>100</v>
      </c>
    </row>
    <row r="1030" spans="1:9" ht="81.75" customHeight="1">
      <c r="A1030" s="95" t="s">
        <v>1058</v>
      </c>
      <c r="B1030" s="138"/>
      <c r="C1030" s="138" t="s">
        <v>940</v>
      </c>
      <c r="D1030" s="138" t="s">
        <v>732</v>
      </c>
      <c r="E1030" s="138" t="s">
        <v>1059</v>
      </c>
      <c r="F1030" s="141"/>
      <c r="G1030" s="81">
        <f>SUM(G1031)</f>
        <v>2000</v>
      </c>
      <c r="H1030" s="81">
        <f>SUM(H1031)</f>
        <v>2000</v>
      </c>
      <c r="I1030" s="30">
        <f t="shared" si="49"/>
        <v>100</v>
      </c>
    </row>
    <row r="1031" spans="1:9" ht="20.25" customHeight="1">
      <c r="A1031" s="95" t="s">
        <v>164</v>
      </c>
      <c r="B1031" s="138"/>
      <c r="C1031" s="138" t="s">
        <v>940</v>
      </c>
      <c r="D1031" s="138" t="s">
        <v>732</v>
      </c>
      <c r="E1031" s="138" t="s">
        <v>1059</v>
      </c>
      <c r="F1031" s="141" t="s">
        <v>165</v>
      </c>
      <c r="G1031" s="81">
        <v>2000</v>
      </c>
      <c r="H1031" s="81">
        <v>2000</v>
      </c>
      <c r="I1031" s="30">
        <f t="shared" si="49"/>
        <v>100</v>
      </c>
    </row>
    <row r="1032" spans="1:9" ht="20.25" customHeight="1">
      <c r="A1032" s="94" t="s">
        <v>200</v>
      </c>
      <c r="B1032" s="142"/>
      <c r="C1032" s="142" t="s">
        <v>940</v>
      </c>
      <c r="D1032" s="142" t="s">
        <v>732</v>
      </c>
      <c r="E1032" s="142" t="s">
        <v>201</v>
      </c>
      <c r="F1032" s="140"/>
      <c r="G1032" s="81">
        <f>SUM(G1033)</f>
        <v>3263.4</v>
      </c>
      <c r="H1032" s="81">
        <f>SUM(H1033)</f>
        <v>3263.4</v>
      </c>
      <c r="I1032" s="30">
        <f t="shared" si="49"/>
        <v>100</v>
      </c>
    </row>
    <row r="1033" spans="1:9" ht="81" customHeight="1">
      <c r="A1033" s="115" t="s">
        <v>223</v>
      </c>
      <c r="B1033" s="138"/>
      <c r="C1033" s="138" t="s">
        <v>940</v>
      </c>
      <c r="D1033" s="138" t="s">
        <v>732</v>
      </c>
      <c r="E1033" s="142" t="s">
        <v>694</v>
      </c>
      <c r="F1033" s="149"/>
      <c r="G1033" s="81">
        <f>SUM(G1035+G1036)+G1034</f>
        <v>3263.4</v>
      </c>
      <c r="H1033" s="81">
        <f>SUM(H1035+H1036)+H1034</f>
        <v>3263.4</v>
      </c>
      <c r="I1033" s="30">
        <f t="shared" si="49"/>
        <v>100</v>
      </c>
    </row>
    <row r="1034" spans="1:9" ht="30.75" hidden="1" customHeight="1">
      <c r="A1034" s="115" t="s">
        <v>164</v>
      </c>
      <c r="B1034" s="142"/>
      <c r="C1034" s="138" t="s">
        <v>940</v>
      </c>
      <c r="D1034" s="138" t="s">
        <v>732</v>
      </c>
      <c r="E1034" s="142" t="s">
        <v>694</v>
      </c>
      <c r="F1034" s="140" t="s">
        <v>165</v>
      </c>
      <c r="G1034" s="81"/>
      <c r="H1034" s="81"/>
      <c r="I1034" s="30" t="e">
        <f t="shared" si="49"/>
        <v>#DIV/0!</v>
      </c>
    </row>
    <row r="1035" spans="1:9" ht="48.75" customHeight="1">
      <c r="A1035" s="115" t="s">
        <v>275</v>
      </c>
      <c r="B1035" s="138"/>
      <c r="C1035" s="138" t="s">
        <v>940</v>
      </c>
      <c r="D1035" s="138" t="s">
        <v>732</v>
      </c>
      <c r="E1035" s="142" t="s">
        <v>694</v>
      </c>
      <c r="F1035" s="149" t="s">
        <v>51</v>
      </c>
      <c r="G1035" s="81">
        <v>2634.3</v>
      </c>
      <c r="H1035" s="81">
        <v>2634.3</v>
      </c>
      <c r="I1035" s="30">
        <f t="shared" si="49"/>
        <v>100</v>
      </c>
    </row>
    <row r="1036" spans="1:9" ht="25.5" customHeight="1">
      <c r="A1036" s="115" t="s">
        <v>276</v>
      </c>
      <c r="B1036" s="138"/>
      <c r="C1036" s="138" t="s">
        <v>940</v>
      </c>
      <c r="D1036" s="138" t="s">
        <v>732</v>
      </c>
      <c r="E1036" s="142" t="s">
        <v>694</v>
      </c>
      <c r="F1036" s="149" t="s">
        <v>132</v>
      </c>
      <c r="G1036" s="81">
        <v>629.1</v>
      </c>
      <c r="H1036" s="81">
        <v>629.1</v>
      </c>
      <c r="I1036" s="30">
        <f t="shared" si="49"/>
        <v>100</v>
      </c>
    </row>
    <row r="1037" spans="1:9" ht="39" hidden="1" customHeight="1">
      <c r="A1037" s="145" t="s">
        <v>369</v>
      </c>
      <c r="B1037" s="157" t="s">
        <v>521</v>
      </c>
      <c r="C1037" s="158"/>
      <c r="D1037" s="158"/>
      <c r="E1037" s="158"/>
      <c r="F1037" s="159"/>
      <c r="G1037" s="183">
        <f>SUM(G1038+G1058+G1074+G1096)+G1124+G1050</f>
        <v>0</v>
      </c>
      <c r="H1037" s="183">
        <f>SUM(H1038+H1058+H1074+H1096)+H1124+H1050</f>
        <v>0</v>
      </c>
      <c r="I1037" s="30"/>
    </row>
    <row r="1038" spans="1:9" ht="20.25" hidden="1" customHeight="1">
      <c r="A1038" s="95" t="s">
        <v>835</v>
      </c>
      <c r="B1038" s="138"/>
      <c r="C1038" s="138" t="s">
        <v>836</v>
      </c>
      <c r="D1038" s="138"/>
      <c r="E1038" s="138"/>
      <c r="F1038" s="139"/>
      <c r="G1038" s="81">
        <f>SUM(G1039+G1043)</f>
        <v>0</v>
      </c>
      <c r="H1038" s="81">
        <f>SUM(H1039+H1043)</f>
        <v>0</v>
      </c>
      <c r="I1038" s="30"/>
    </row>
    <row r="1039" spans="1:9" ht="18" hidden="1" customHeight="1">
      <c r="A1039" s="95" t="s">
        <v>1003</v>
      </c>
      <c r="B1039" s="138"/>
      <c r="C1039" s="138" t="s">
        <v>836</v>
      </c>
      <c r="D1039" s="138" t="s">
        <v>191</v>
      </c>
      <c r="E1039" s="138"/>
      <c r="F1039" s="139"/>
      <c r="G1039" s="81">
        <f t="shared" ref="G1039:H1041" si="50">SUM(G1040)</f>
        <v>0</v>
      </c>
      <c r="H1039" s="81">
        <f t="shared" si="50"/>
        <v>0</v>
      </c>
      <c r="I1039" s="30"/>
    </row>
    <row r="1040" spans="1:9" ht="18.75" hidden="1" customHeight="1">
      <c r="A1040" s="95" t="s">
        <v>160</v>
      </c>
      <c r="B1040" s="138"/>
      <c r="C1040" s="138" t="s">
        <v>836</v>
      </c>
      <c r="D1040" s="138" t="s">
        <v>191</v>
      </c>
      <c r="E1040" s="138" t="s">
        <v>161</v>
      </c>
      <c r="F1040" s="140"/>
      <c r="G1040" s="81">
        <f t="shared" si="50"/>
        <v>0</v>
      </c>
      <c r="H1040" s="81">
        <f t="shared" si="50"/>
        <v>0</v>
      </c>
      <c r="I1040" s="30" t="e">
        <f t="shared" ref="I1040:I1046" si="51">SUM(H1040/G1043*100)</f>
        <v>#DIV/0!</v>
      </c>
    </row>
    <row r="1041" spans="1:9" ht="15" hidden="1">
      <c r="A1041" s="95" t="s">
        <v>168</v>
      </c>
      <c r="B1041" s="138"/>
      <c r="C1041" s="138" t="s">
        <v>836</v>
      </c>
      <c r="D1041" s="138" t="s">
        <v>191</v>
      </c>
      <c r="E1041" s="138" t="s">
        <v>170</v>
      </c>
      <c r="F1041" s="140"/>
      <c r="G1041" s="81">
        <f t="shared" si="50"/>
        <v>0</v>
      </c>
      <c r="H1041" s="81">
        <f t="shared" si="50"/>
        <v>0</v>
      </c>
      <c r="I1041" s="30" t="e">
        <f t="shared" si="51"/>
        <v>#DIV/0!</v>
      </c>
    </row>
    <row r="1042" spans="1:9" ht="15" hidden="1">
      <c r="A1042" s="95" t="s">
        <v>164</v>
      </c>
      <c r="B1042" s="138"/>
      <c r="C1042" s="138" t="s">
        <v>836</v>
      </c>
      <c r="D1042" s="138" t="s">
        <v>191</v>
      </c>
      <c r="E1042" s="138" t="s">
        <v>170</v>
      </c>
      <c r="F1042" s="139" t="s">
        <v>165</v>
      </c>
      <c r="G1042" s="81"/>
      <c r="H1042" s="81"/>
      <c r="I1042" s="30" t="e">
        <f t="shared" si="51"/>
        <v>#DIV/0!</v>
      </c>
    </row>
    <row r="1043" spans="1:9" ht="27" hidden="1" customHeight="1">
      <c r="A1043" s="95" t="s">
        <v>173</v>
      </c>
      <c r="B1043" s="138"/>
      <c r="C1043" s="138" t="s">
        <v>836</v>
      </c>
      <c r="D1043" s="138" t="s">
        <v>469</v>
      </c>
      <c r="E1043" s="138"/>
      <c r="F1043" s="140"/>
      <c r="G1043" s="81">
        <f>SUM(G1044+G1047)</f>
        <v>0</v>
      </c>
      <c r="H1043" s="81">
        <f>SUM(H1044+H1047)</f>
        <v>0</v>
      </c>
      <c r="I1043" s="30" t="e">
        <f t="shared" si="51"/>
        <v>#DIV/0!</v>
      </c>
    </row>
    <row r="1044" spans="1:9" ht="31.5" hidden="1" customHeight="1">
      <c r="A1044" s="119" t="s">
        <v>499</v>
      </c>
      <c r="B1044" s="138"/>
      <c r="C1044" s="138" t="s">
        <v>836</v>
      </c>
      <c r="D1044" s="138" t="s">
        <v>469</v>
      </c>
      <c r="E1044" s="138" t="s">
        <v>187</v>
      </c>
      <c r="F1044" s="139"/>
      <c r="G1044" s="81">
        <f>SUM(G1045)</f>
        <v>0</v>
      </c>
      <c r="H1044" s="81">
        <f>SUM(H1045)</f>
        <v>0</v>
      </c>
      <c r="I1044" s="30" t="e">
        <f t="shared" si="51"/>
        <v>#DIV/0!</v>
      </c>
    </row>
    <row r="1045" spans="1:9" ht="19.5" hidden="1" customHeight="1">
      <c r="A1045" s="119" t="s">
        <v>188</v>
      </c>
      <c r="B1045" s="138"/>
      <c r="C1045" s="138" t="s">
        <v>836</v>
      </c>
      <c r="D1045" s="138" t="s">
        <v>469</v>
      </c>
      <c r="E1045" s="138" t="s">
        <v>500</v>
      </c>
      <c r="F1045" s="139"/>
      <c r="G1045" s="81">
        <f>SUM(G1046)</f>
        <v>0</v>
      </c>
      <c r="H1045" s="81">
        <f>SUM(H1046)</f>
        <v>0</v>
      </c>
      <c r="I1045" s="30" t="e">
        <f t="shared" si="51"/>
        <v>#DIV/0!</v>
      </c>
    </row>
    <row r="1046" spans="1:9" ht="19.5" hidden="1" customHeight="1">
      <c r="A1046" s="95" t="s">
        <v>164</v>
      </c>
      <c r="B1046" s="138"/>
      <c r="C1046" s="138" t="s">
        <v>836</v>
      </c>
      <c r="D1046" s="138" t="s">
        <v>469</v>
      </c>
      <c r="E1046" s="138" t="s">
        <v>500</v>
      </c>
      <c r="F1046" s="139" t="s">
        <v>165</v>
      </c>
      <c r="G1046" s="81"/>
      <c r="H1046" s="81"/>
      <c r="I1046" s="30" t="e">
        <f t="shared" si="51"/>
        <v>#DIV/0!</v>
      </c>
    </row>
    <row r="1047" spans="1:9" ht="19.5" hidden="1" customHeight="1">
      <c r="A1047" s="95" t="s">
        <v>175</v>
      </c>
      <c r="B1047" s="138"/>
      <c r="C1047" s="138" t="s">
        <v>836</v>
      </c>
      <c r="D1047" s="138" t="s">
        <v>469</v>
      </c>
      <c r="E1047" s="138" t="s">
        <v>176</v>
      </c>
      <c r="F1047" s="141"/>
      <c r="G1047" s="81">
        <f>SUM(G1048)</f>
        <v>0</v>
      </c>
      <c r="H1047" s="81">
        <f>SUM(H1048)</f>
        <v>0</v>
      </c>
      <c r="I1047" s="30"/>
    </row>
    <row r="1048" spans="1:9" ht="36.75" hidden="1" customHeight="1">
      <c r="A1048" s="95" t="s">
        <v>177</v>
      </c>
      <c r="B1048" s="138"/>
      <c r="C1048" s="138" t="s">
        <v>836</v>
      </c>
      <c r="D1048" s="138" t="s">
        <v>469</v>
      </c>
      <c r="E1048" s="138" t="s">
        <v>501</v>
      </c>
      <c r="F1048" s="141"/>
      <c r="G1048" s="81">
        <f>SUM(G1049)</f>
        <v>0</v>
      </c>
      <c r="H1048" s="81">
        <f>SUM(H1049)</f>
        <v>0</v>
      </c>
      <c r="I1048" s="30"/>
    </row>
    <row r="1049" spans="1:9" ht="27" hidden="1" customHeight="1">
      <c r="A1049" s="95" t="s">
        <v>164</v>
      </c>
      <c r="B1049" s="138"/>
      <c r="C1049" s="138" t="s">
        <v>836</v>
      </c>
      <c r="D1049" s="138" t="s">
        <v>469</v>
      </c>
      <c r="E1049" s="138" t="s">
        <v>501</v>
      </c>
      <c r="F1049" s="141" t="s">
        <v>165</v>
      </c>
      <c r="G1049" s="81"/>
      <c r="H1049" s="81"/>
      <c r="I1049" s="30"/>
    </row>
    <row r="1050" spans="1:9" ht="30.75" hidden="1" customHeight="1">
      <c r="A1050" s="115" t="s">
        <v>214</v>
      </c>
      <c r="B1050" s="163"/>
      <c r="C1050" s="154" t="s">
        <v>167</v>
      </c>
      <c r="D1050" s="154"/>
      <c r="E1050" s="154"/>
      <c r="F1050" s="144"/>
      <c r="G1050" s="81">
        <f>SUM(G1051)</f>
        <v>0</v>
      </c>
      <c r="H1050" s="81">
        <f>SUM(H1051)</f>
        <v>0</v>
      </c>
      <c r="I1050" s="30"/>
    </row>
    <row r="1051" spans="1:9" ht="26.25" hidden="1" customHeight="1">
      <c r="A1051" s="119" t="s">
        <v>602</v>
      </c>
      <c r="B1051" s="138"/>
      <c r="C1051" s="142" t="s">
        <v>167</v>
      </c>
      <c r="D1051" s="142" t="s">
        <v>603</v>
      </c>
      <c r="E1051" s="142"/>
      <c r="F1051" s="140"/>
      <c r="G1051" s="81">
        <f>SUM(G1055+G1063+G1066)+G1053</f>
        <v>0</v>
      </c>
      <c r="H1051" s="81">
        <f>SUM(H1055+H1063+H1066)+H1053</f>
        <v>0</v>
      </c>
      <c r="I1051" s="30"/>
    </row>
    <row r="1052" spans="1:9" ht="19.5" hidden="1" customHeight="1">
      <c r="A1052" s="95" t="s">
        <v>200</v>
      </c>
      <c r="B1052" s="138"/>
      <c r="C1052" s="142" t="s">
        <v>167</v>
      </c>
      <c r="D1052" s="142" t="s">
        <v>603</v>
      </c>
      <c r="E1052" s="138" t="s">
        <v>201</v>
      </c>
      <c r="F1052" s="140"/>
      <c r="G1052" s="81">
        <f>SUM(G1053)</f>
        <v>0</v>
      </c>
      <c r="H1052" s="81">
        <f>SUM(H1053)</f>
        <v>0</v>
      </c>
      <c r="I1052" s="30"/>
    </row>
    <row r="1053" spans="1:9" ht="19.5" hidden="1" customHeight="1">
      <c r="A1053" s="95" t="s">
        <v>243</v>
      </c>
      <c r="B1053" s="138"/>
      <c r="C1053" s="142" t="s">
        <v>167</v>
      </c>
      <c r="D1053" s="142" t="s">
        <v>603</v>
      </c>
      <c r="E1053" s="138" t="s">
        <v>244</v>
      </c>
      <c r="F1053" s="141"/>
      <c r="G1053" s="81">
        <f>SUM(G1054)</f>
        <v>0</v>
      </c>
      <c r="H1053" s="81">
        <f>SUM(H1054)</f>
        <v>0</v>
      </c>
      <c r="I1053" s="30"/>
    </row>
    <row r="1054" spans="1:9" ht="19.5" hidden="1" customHeight="1">
      <c r="A1054" s="95" t="s">
        <v>164</v>
      </c>
      <c r="B1054" s="138"/>
      <c r="C1054" s="142" t="s">
        <v>167</v>
      </c>
      <c r="D1054" s="142" t="s">
        <v>603</v>
      </c>
      <c r="E1054" s="138" t="s">
        <v>244</v>
      </c>
      <c r="F1054" s="141" t="s">
        <v>165</v>
      </c>
      <c r="G1054" s="81"/>
      <c r="H1054" s="81"/>
      <c r="I1054" s="30"/>
    </row>
    <row r="1055" spans="1:9" s="105" customFormat="1" ht="14.25" hidden="1" customHeight="1">
      <c r="A1055" s="95"/>
      <c r="B1055" s="138"/>
      <c r="C1055" s="138"/>
      <c r="D1055" s="138"/>
      <c r="E1055" s="138"/>
      <c r="F1055" s="141"/>
      <c r="G1055" s="81"/>
      <c r="H1055" s="81"/>
      <c r="I1055" s="204" t="e">
        <f>SUM(H1055/G1058*100)</f>
        <v>#DIV/0!</v>
      </c>
    </row>
    <row r="1056" spans="1:9" s="105" customFormat="1" ht="15" hidden="1">
      <c r="A1056" s="95"/>
      <c r="B1056" s="138"/>
      <c r="C1056" s="138"/>
      <c r="D1056" s="138"/>
      <c r="E1056" s="138"/>
      <c r="F1056" s="141"/>
      <c r="G1056" s="81"/>
      <c r="H1056" s="81"/>
      <c r="I1056" s="204"/>
    </row>
    <row r="1057" spans="1:9" s="105" customFormat="1" ht="15" hidden="1">
      <c r="A1057" s="95"/>
      <c r="B1057" s="138"/>
      <c r="C1057" s="138"/>
      <c r="D1057" s="138"/>
      <c r="E1057" s="138"/>
      <c r="F1057" s="141"/>
      <c r="G1057" s="81"/>
      <c r="H1057" s="81"/>
      <c r="I1057" s="204"/>
    </row>
    <row r="1058" spans="1:9" s="105" customFormat="1" ht="17.25" hidden="1" customHeight="1">
      <c r="A1058" s="115" t="s">
        <v>190</v>
      </c>
      <c r="B1058" s="163"/>
      <c r="C1058" s="163" t="s">
        <v>191</v>
      </c>
      <c r="D1058" s="163"/>
      <c r="E1058" s="163"/>
      <c r="F1058" s="164"/>
      <c r="G1058" s="82">
        <f>SUM(G1065+G1059)</f>
        <v>0</v>
      </c>
      <c r="H1058" s="82">
        <f>SUM(H1065+H1059)</f>
        <v>0</v>
      </c>
      <c r="I1058" s="204"/>
    </row>
    <row r="1059" spans="1:9" s="105" customFormat="1" ht="19.5" hidden="1" customHeight="1">
      <c r="A1059" s="115" t="s">
        <v>192</v>
      </c>
      <c r="B1059" s="163"/>
      <c r="C1059" s="163" t="s">
        <v>191</v>
      </c>
      <c r="D1059" s="163" t="s">
        <v>193</v>
      </c>
      <c r="E1059" s="163"/>
      <c r="F1059" s="164"/>
      <c r="G1059" s="82">
        <f>SUM(G1060,G1062)</f>
        <v>0</v>
      </c>
      <c r="H1059" s="82">
        <f>SUM(H1060,H1062)</f>
        <v>0</v>
      </c>
      <c r="I1059" s="204"/>
    </row>
    <row r="1060" spans="1:9" s="105" customFormat="1" ht="12.75" hidden="1" customHeight="1">
      <c r="A1060" s="94" t="s">
        <v>850</v>
      </c>
      <c r="B1060" s="163"/>
      <c r="C1060" s="163" t="s">
        <v>191</v>
      </c>
      <c r="D1060" s="163" t="s">
        <v>193</v>
      </c>
      <c r="E1060" s="163" t="s">
        <v>851</v>
      </c>
      <c r="F1060" s="164"/>
      <c r="G1060" s="82">
        <f>SUM(G1061)</f>
        <v>0</v>
      </c>
      <c r="H1060" s="82">
        <f>SUM(H1061)</f>
        <v>0</v>
      </c>
      <c r="I1060" s="204"/>
    </row>
    <row r="1061" spans="1:9" s="105" customFormat="1" ht="17.25" hidden="1" customHeight="1">
      <c r="A1061" s="94" t="s">
        <v>164</v>
      </c>
      <c r="B1061" s="163"/>
      <c r="C1061" s="163" t="s">
        <v>191</v>
      </c>
      <c r="D1061" s="163" t="s">
        <v>193</v>
      </c>
      <c r="E1061" s="163" t="s">
        <v>851</v>
      </c>
      <c r="F1061" s="164" t="s">
        <v>165</v>
      </c>
      <c r="G1061" s="82"/>
      <c r="H1061" s="82"/>
      <c r="I1061" s="204"/>
    </row>
    <row r="1062" spans="1:9" ht="19.5" hidden="1" customHeight="1">
      <c r="A1062" s="119" t="s">
        <v>922</v>
      </c>
      <c r="B1062" s="163"/>
      <c r="C1062" s="163" t="s">
        <v>191</v>
      </c>
      <c r="D1062" s="163" t="s">
        <v>193</v>
      </c>
      <c r="E1062" s="163" t="s">
        <v>575</v>
      </c>
      <c r="F1062" s="164"/>
      <c r="G1062" s="82">
        <f>SUM(G1063)</f>
        <v>0</v>
      </c>
      <c r="H1062" s="82">
        <f>SUM(H1063)</f>
        <v>0</v>
      </c>
      <c r="I1062" s="30" t="e">
        <f t="shared" ref="I1062:I1078" si="52">SUM(H1062/G1065*100)</f>
        <v>#DIV/0!</v>
      </c>
    </row>
    <row r="1063" spans="1:9" ht="19.5" hidden="1" customHeight="1">
      <c r="A1063" s="119" t="s">
        <v>923</v>
      </c>
      <c r="B1063" s="163"/>
      <c r="C1063" s="163" t="s">
        <v>555</v>
      </c>
      <c r="D1063" s="163" t="s">
        <v>193</v>
      </c>
      <c r="E1063" s="163" t="s">
        <v>577</v>
      </c>
      <c r="F1063" s="164"/>
      <c r="G1063" s="82">
        <f>SUM(G1064)</f>
        <v>0</v>
      </c>
      <c r="H1063" s="82">
        <f>SUM(H1064)</f>
        <v>0</v>
      </c>
      <c r="I1063" s="30" t="e">
        <f t="shared" si="52"/>
        <v>#DIV/0!</v>
      </c>
    </row>
    <row r="1064" spans="1:9" ht="19.5" hidden="1" customHeight="1">
      <c r="A1064" s="95" t="s">
        <v>943</v>
      </c>
      <c r="B1064" s="163"/>
      <c r="C1064" s="163" t="s">
        <v>191</v>
      </c>
      <c r="D1064" s="163" t="s">
        <v>193</v>
      </c>
      <c r="E1064" s="163" t="s">
        <v>577</v>
      </c>
      <c r="F1064" s="164" t="s">
        <v>944</v>
      </c>
      <c r="G1064" s="82"/>
      <c r="H1064" s="82"/>
      <c r="I1064" s="30" t="e">
        <f t="shared" si="52"/>
        <v>#DIV/0!</v>
      </c>
    </row>
    <row r="1065" spans="1:9" ht="19.5" hidden="1" customHeight="1">
      <c r="A1065" s="94" t="s">
        <v>765</v>
      </c>
      <c r="B1065" s="142"/>
      <c r="C1065" s="142" t="s">
        <v>191</v>
      </c>
      <c r="D1065" s="142" t="s">
        <v>749</v>
      </c>
      <c r="E1065" s="142"/>
      <c r="F1065" s="140"/>
      <c r="G1065" s="81">
        <f>SUM(G1066+G1071)</f>
        <v>0</v>
      </c>
      <c r="H1065" s="81">
        <f>SUM(H1066+H1071)</f>
        <v>0</v>
      </c>
      <c r="I1065" s="30" t="e">
        <f t="shared" si="52"/>
        <v>#DIV/0!</v>
      </c>
    </row>
    <row r="1066" spans="1:9" ht="19.5" hidden="1" customHeight="1">
      <c r="A1066" s="94" t="s">
        <v>502</v>
      </c>
      <c r="B1066" s="142"/>
      <c r="C1066" s="142" t="s">
        <v>191</v>
      </c>
      <c r="D1066" s="142" t="s">
        <v>749</v>
      </c>
      <c r="E1066" s="142" t="s">
        <v>783</v>
      </c>
      <c r="F1066" s="140"/>
      <c r="G1066" s="81">
        <f>SUM(G1068)</f>
        <v>0</v>
      </c>
      <c r="H1066" s="81">
        <f>SUM(H1068)</f>
        <v>0</v>
      </c>
      <c r="I1066" s="30" t="e">
        <f t="shared" si="52"/>
        <v>#DIV/0!</v>
      </c>
    </row>
    <row r="1067" spans="1:9" ht="19.5" hidden="1" customHeight="1">
      <c r="A1067" s="94" t="s">
        <v>205</v>
      </c>
      <c r="B1067" s="142"/>
      <c r="C1067" s="142" t="s">
        <v>191</v>
      </c>
      <c r="D1067" s="142" t="s">
        <v>749</v>
      </c>
      <c r="E1067" s="148" t="s">
        <v>206</v>
      </c>
      <c r="F1067" s="140"/>
      <c r="G1067" s="81">
        <f>SUM(G1068)</f>
        <v>0</v>
      </c>
      <c r="H1067" s="81">
        <f>SUM(H1068)</f>
        <v>0</v>
      </c>
      <c r="I1067" s="30" t="e">
        <f t="shared" si="52"/>
        <v>#DIV/0!</v>
      </c>
    </row>
    <row r="1068" spans="1:9" ht="15" hidden="1">
      <c r="A1068" s="94" t="s">
        <v>207</v>
      </c>
      <c r="B1068" s="142"/>
      <c r="C1068" s="142" t="s">
        <v>191</v>
      </c>
      <c r="D1068" s="142" t="s">
        <v>749</v>
      </c>
      <c r="E1068" s="148" t="s">
        <v>206</v>
      </c>
      <c r="F1068" s="140" t="s">
        <v>208</v>
      </c>
      <c r="G1068" s="81"/>
      <c r="H1068" s="81"/>
      <c r="I1068" s="30" t="e">
        <f t="shared" si="52"/>
        <v>#DIV/0!</v>
      </c>
    </row>
    <row r="1069" spans="1:9" ht="28.5" hidden="1">
      <c r="A1069" s="118" t="s">
        <v>791</v>
      </c>
      <c r="B1069" s="142"/>
      <c r="C1069" s="142" t="s">
        <v>191</v>
      </c>
      <c r="D1069" s="142" t="s">
        <v>749</v>
      </c>
      <c r="E1069" s="142" t="s">
        <v>792</v>
      </c>
      <c r="F1069" s="140"/>
      <c r="G1069" s="81">
        <f>SUM(G1070)</f>
        <v>0</v>
      </c>
      <c r="H1069" s="81">
        <f>SUM(H1070)</f>
        <v>0</v>
      </c>
      <c r="I1069" s="30" t="e">
        <f t="shared" si="52"/>
        <v>#DIV/0!</v>
      </c>
    </row>
    <row r="1070" spans="1:9" ht="29.25" hidden="1" customHeight="1">
      <c r="A1070" s="95" t="s">
        <v>164</v>
      </c>
      <c r="B1070" s="142"/>
      <c r="C1070" s="142" t="s">
        <v>191</v>
      </c>
      <c r="D1070" s="142" t="s">
        <v>749</v>
      </c>
      <c r="E1070" s="142" t="s">
        <v>792</v>
      </c>
      <c r="F1070" s="140" t="s">
        <v>165</v>
      </c>
      <c r="G1070" s="81"/>
      <c r="H1070" s="81"/>
      <c r="I1070" s="30" t="e">
        <f t="shared" si="52"/>
        <v>#DIV/0!</v>
      </c>
    </row>
    <row r="1071" spans="1:9" s="28" customFormat="1" ht="18" hidden="1" customHeight="1">
      <c r="A1071" s="95" t="s">
        <v>767</v>
      </c>
      <c r="B1071" s="138"/>
      <c r="C1071" s="142" t="s">
        <v>191</v>
      </c>
      <c r="D1071" s="142" t="s">
        <v>749</v>
      </c>
      <c r="E1071" s="138" t="s">
        <v>768</v>
      </c>
      <c r="F1071" s="140"/>
      <c r="G1071" s="81">
        <f>SUM(G1072)</f>
        <v>0</v>
      </c>
      <c r="H1071" s="81">
        <f>SUM(H1072)</f>
        <v>0</v>
      </c>
      <c r="I1071" s="30" t="e">
        <f t="shared" si="52"/>
        <v>#DIV/0!</v>
      </c>
    </row>
    <row r="1072" spans="1:9" ht="21" hidden="1" customHeight="1">
      <c r="A1072" s="95" t="s">
        <v>793</v>
      </c>
      <c r="B1072" s="138"/>
      <c r="C1072" s="142" t="s">
        <v>191</v>
      </c>
      <c r="D1072" s="142" t="s">
        <v>749</v>
      </c>
      <c r="E1072" s="138" t="s">
        <v>794</v>
      </c>
      <c r="F1072" s="140"/>
      <c r="G1072" s="81">
        <f>SUM(G1073)</f>
        <v>0</v>
      </c>
      <c r="H1072" s="81">
        <f>SUM(H1073)</f>
        <v>0</v>
      </c>
      <c r="I1072" s="30" t="e">
        <f t="shared" si="52"/>
        <v>#DIV/0!</v>
      </c>
    </row>
    <row r="1073" spans="1:9" s="25" customFormat="1" ht="19.5" hidden="1" customHeight="1">
      <c r="A1073" s="95" t="s">
        <v>164</v>
      </c>
      <c r="B1073" s="138"/>
      <c r="C1073" s="142" t="s">
        <v>191</v>
      </c>
      <c r="D1073" s="142" t="s">
        <v>749</v>
      </c>
      <c r="E1073" s="138" t="s">
        <v>794</v>
      </c>
      <c r="F1073" s="140" t="s">
        <v>165</v>
      </c>
      <c r="G1073" s="81"/>
      <c r="H1073" s="81"/>
      <c r="I1073" s="30" t="e">
        <f t="shared" si="52"/>
        <v>#DIV/0!</v>
      </c>
    </row>
    <row r="1074" spans="1:9" ht="19.5" hidden="1" customHeight="1">
      <c r="A1074" s="94" t="s">
        <v>797</v>
      </c>
      <c r="B1074" s="142"/>
      <c r="C1074" s="142" t="s">
        <v>204</v>
      </c>
      <c r="D1074" s="142"/>
      <c r="E1074" s="142"/>
      <c r="F1074" s="141"/>
      <c r="G1074" s="81">
        <f>SUM(G1086,G1075)</f>
        <v>0</v>
      </c>
      <c r="H1074" s="81">
        <f>SUM(H1086,H1075)</f>
        <v>0</v>
      </c>
      <c r="I1074" s="30" t="e">
        <f t="shared" si="52"/>
        <v>#DIV/0!</v>
      </c>
    </row>
    <row r="1075" spans="1:9" ht="19.5" hidden="1" customHeight="1">
      <c r="A1075" s="94" t="s">
        <v>798</v>
      </c>
      <c r="B1075" s="142"/>
      <c r="C1075" s="142" t="s">
        <v>204</v>
      </c>
      <c r="D1075" s="142" t="s">
        <v>836</v>
      </c>
      <c r="E1075" s="142"/>
      <c r="F1075" s="140"/>
      <c r="G1075" s="81">
        <f>SUM(G1076,G1084)</f>
        <v>0</v>
      </c>
      <c r="H1075" s="81">
        <f>SUM(H1076,H1084)</f>
        <v>0</v>
      </c>
      <c r="I1075" s="30" t="e">
        <f t="shared" si="52"/>
        <v>#DIV/0!</v>
      </c>
    </row>
    <row r="1076" spans="1:9" ht="15" hidden="1">
      <c r="A1076" s="113" t="s">
        <v>921</v>
      </c>
      <c r="B1076" s="150"/>
      <c r="C1076" s="138" t="s">
        <v>204</v>
      </c>
      <c r="D1076" s="138" t="s">
        <v>836</v>
      </c>
      <c r="E1076" s="138" t="s">
        <v>800</v>
      </c>
      <c r="F1076" s="139"/>
      <c r="G1076" s="81">
        <f>SUM(G1077+G1080)</f>
        <v>0</v>
      </c>
      <c r="H1076" s="81">
        <f>SUM(H1077+H1080)</f>
        <v>0</v>
      </c>
      <c r="I1076" s="30" t="e">
        <f t="shared" si="52"/>
        <v>#DIV/0!</v>
      </c>
    </row>
    <row r="1077" spans="1:9" ht="19.5" hidden="1" customHeight="1">
      <c r="A1077" s="118" t="s">
        <v>919</v>
      </c>
      <c r="B1077" s="142"/>
      <c r="C1077" s="142" t="s">
        <v>204</v>
      </c>
      <c r="D1077" s="142" t="s">
        <v>836</v>
      </c>
      <c r="E1077" s="142" t="s">
        <v>802</v>
      </c>
      <c r="F1077" s="140"/>
      <c r="G1077" s="81">
        <f>SUM(G1078)</f>
        <v>0</v>
      </c>
      <c r="H1077" s="81">
        <f>SUM(H1078)</f>
        <v>0</v>
      </c>
      <c r="I1077" s="30" t="e">
        <f t="shared" si="52"/>
        <v>#DIV/0!</v>
      </c>
    </row>
    <row r="1078" spans="1:9" ht="19.5" hidden="1" customHeight="1">
      <c r="A1078" s="118" t="s">
        <v>918</v>
      </c>
      <c r="B1078" s="142"/>
      <c r="C1078" s="142" t="s">
        <v>204</v>
      </c>
      <c r="D1078" s="142" t="s">
        <v>836</v>
      </c>
      <c r="E1078" s="142" t="s">
        <v>1</v>
      </c>
      <c r="F1078" s="140"/>
      <c r="G1078" s="81">
        <f>SUM(G1079)</f>
        <v>0</v>
      </c>
      <c r="H1078" s="81">
        <f>SUM(H1079)</f>
        <v>0</v>
      </c>
      <c r="I1078" s="30" t="e">
        <f t="shared" si="52"/>
        <v>#DIV/0!</v>
      </c>
    </row>
    <row r="1079" spans="1:9" ht="19.5" hidden="1" customHeight="1">
      <c r="A1079" s="94" t="s">
        <v>70</v>
      </c>
      <c r="B1079" s="142"/>
      <c r="C1079" s="142" t="s">
        <v>204</v>
      </c>
      <c r="D1079" s="142" t="s">
        <v>836</v>
      </c>
      <c r="E1079" s="142" t="s">
        <v>1</v>
      </c>
      <c r="F1079" s="139" t="s">
        <v>208</v>
      </c>
      <c r="G1079" s="82"/>
      <c r="H1079" s="82"/>
      <c r="I1079" s="30"/>
    </row>
    <row r="1080" spans="1:9" ht="42.75" hidden="1">
      <c r="A1080" s="118" t="s">
        <v>920</v>
      </c>
      <c r="B1080" s="142"/>
      <c r="C1080" s="142" t="s">
        <v>204</v>
      </c>
      <c r="D1080" s="142" t="s">
        <v>836</v>
      </c>
      <c r="E1080" s="142" t="s">
        <v>804</v>
      </c>
      <c r="F1080" s="140"/>
      <c r="G1080" s="81">
        <f>SUM(G1081)</f>
        <v>0</v>
      </c>
      <c r="H1080" s="81">
        <f>SUM(H1081)</f>
        <v>0</v>
      </c>
      <c r="I1080" s="30" t="e">
        <f>SUM(H1080/G1083*100)</f>
        <v>#DIV/0!</v>
      </c>
    </row>
    <row r="1081" spans="1:9" ht="28.5" hidden="1">
      <c r="A1081" s="118" t="s">
        <v>809</v>
      </c>
      <c r="B1081" s="142"/>
      <c r="C1081" s="142" t="s">
        <v>204</v>
      </c>
      <c r="D1081" s="142" t="s">
        <v>836</v>
      </c>
      <c r="E1081" s="142" t="s">
        <v>810</v>
      </c>
      <c r="F1081" s="140"/>
      <c r="G1081" s="81">
        <f>SUM(G1083,G1082)</f>
        <v>0</v>
      </c>
      <c r="H1081" s="81">
        <f>SUM(H1083,H1082)</f>
        <v>0</v>
      </c>
      <c r="I1081" s="30"/>
    </row>
    <row r="1082" spans="1:9" ht="15" hidden="1">
      <c r="A1082" s="118" t="s">
        <v>207</v>
      </c>
      <c r="B1082" s="142"/>
      <c r="C1082" s="142" t="s">
        <v>204</v>
      </c>
      <c r="D1082" s="142" t="s">
        <v>836</v>
      </c>
      <c r="E1082" s="142" t="s">
        <v>810</v>
      </c>
      <c r="F1082" s="140" t="s">
        <v>208</v>
      </c>
      <c r="G1082" s="81"/>
      <c r="H1082" s="81"/>
      <c r="I1082" s="30"/>
    </row>
    <row r="1083" spans="1:9" ht="21" hidden="1" customHeight="1">
      <c r="A1083" s="98" t="s">
        <v>813</v>
      </c>
      <c r="B1083" s="142"/>
      <c r="C1083" s="142" t="s">
        <v>204</v>
      </c>
      <c r="D1083" s="142" t="s">
        <v>836</v>
      </c>
      <c r="E1083" s="142" t="s">
        <v>810</v>
      </c>
      <c r="F1083" s="139" t="s">
        <v>814</v>
      </c>
      <c r="G1083" s="82"/>
      <c r="H1083" s="82"/>
      <c r="I1083" s="30" t="e">
        <f t="shared" ref="I1083:I1089" si="53">SUM(H1083/G1086*100)</f>
        <v>#DIV/0!</v>
      </c>
    </row>
    <row r="1084" spans="1:9" ht="19.5" hidden="1" customHeight="1">
      <c r="A1084" s="98" t="s">
        <v>775</v>
      </c>
      <c r="B1084" s="142"/>
      <c r="C1084" s="142" t="s">
        <v>204</v>
      </c>
      <c r="D1084" s="142" t="s">
        <v>836</v>
      </c>
      <c r="E1084" s="142" t="s">
        <v>774</v>
      </c>
      <c r="F1084" s="139"/>
      <c r="G1084" s="82">
        <f>SUM(G1085)</f>
        <v>0</v>
      </c>
      <c r="H1084" s="82">
        <f>SUM(H1085)</f>
        <v>0</v>
      </c>
      <c r="I1084" s="30" t="e">
        <f t="shared" si="53"/>
        <v>#DIV/0!</v>
      </c>
    </row>
    <row r="1085" spans="1:9" ht="19.5" hidden="1" customHeight="1">
      <c r="A1085" s="98" t="s">
        <v>207</v>
      </c>
      <c r="B1085" s="142"/>
      <c r="C1085" s="142" t="s">
        <v>204</v>
      </c>
      <c r="D1085" s="142" t="s">
        <v>836</v>
      </c>
      <c r="E1085" s="142" t="s">
        <v>774</v>
      </c>
      <c r="F1085" s="140" t="s">
        <v>208</v>
      </c>
      <c r="G1085" s="82"/>
      <c r="H1085" s="82"/>
      <c r="I1085" s="30" t="e">
        <f t="shared" si="53"/>
        <v>#DIV/0!</v>
      </c>
    </row>
    <row r="1086" spans="1:9" ht="15" hidden="1">
      <c r="A1086" s="94" t="s">
        <v>42</v>
      </c>
      <c r="B1086" s="142"/>
      <c r="C1086" s="142" t="s">
        <v>204</v>
      </c>
      <c r="D1086" s="142" t="s">
        <v>838</v>
      </c>
      <c r="E1086" s="142"/>
      <c r="F1086" s="140"/>
      <c r="G1086" s="81">
        <f>SUM(G1087,G1090,G1093)</f>
        <v>0</v>
      </c>
      <c r="H1086" s="81">
        <f>SUM(H1087,H1090,H1093)</f>
        <v>0</v>
      </c>
      <c r="I1086" s="30" t="e">
        <f t="shared" si="53"/>
        <v>#DIV/0!</v>
      </c>
    </row>
    <row r="1087" spans="1:9" ht="21" hidden="1" customHeight="1">
      <c r="A1087" s="118" t="s">
        <v>922</v>
      </c>
      <c r="B1087" s="142"/>
      <c r="C1087" s="142" t="s">
        <v>204</v>
      </c>
      <c r="D1087" s="142" t="s">
        <v>838</v>
      </c>
      <c r="E1087" s="142" t="s">
        <v>575</v>
      </c>
      <c r="F1087" s="140"/>
      <c r="G1087" s="81">
        <f>SUM(G1088)</f>
        <v>0</v>
      </c>
      <c r="H1087" s="81">
        <f>SUM(H1088)</f>
        <v>0</v>
      </c>
      <c r="I1087" s="30" t="e">
        <f t="shared" si="53"/>
        <v>#DIV/0!</v>
      </c>
    </row>
    <row r="1088" spans="1:9" ht="27" hidden="1" customHeight="1">
      <c r="A1088" s="119" t="s">
        <v>923</v>
      </c>
      <c r="B1088" s="142"/>
      <c r="C1088" s="142" t="s">
        <v>204</v>
      </c>
      <c r="D1088" s="142" t="s">
        <v>838</v>
      </c>
      <c r="E1088" s="142" t="s">
        <v>577</v>
      </c>
      <c r="F1088" s="140"/>
      <c r="G1088" s="81">
        <f>SUM(G1089)</f>
        <v>0</v>
      </c>
      <c r="H1088" s="81">
        <f>SUM(H1089)</f>
        <v>0</v>
      </c>
      <c r="I1088" s="30" t="e">
        <f t="shared" si="53"/>
        <v>#DIV/0!</v>
      </c>
    </row>
    <row r="1089" spans="1:9" ht="27" hidden="1" customHeight="1">
      <c r="A1089" s="95" t="s">
        <v>943</v>
      </c>
      <c r="B1089" s="142"/>
      <c r="C1089" s="142" t="s">
        <v>204</v>
      </c>
      <c r="D1089" s="142" t="s">
        <v>838</v>
      </c>
      <c r="E1089" s="142" t="s">
        <v>577</v>
      </c>
      <c r="F1089" s="139" t="s">
        <v>944</v>
      </c>
      <c r="G1089" s="82"/>
      <c r="H1089" s="82"/>
      <c r="I1089" s="30" t="e">
        <f t="shared" si="53"/>
        <v>#DIV/0!</v>
      </c>
    </row>
    <row r="1090" spans="1:9" ht="15" hidden="1">
      <c r="A1090" s="118" t="s">
        <v>578</v>
      </c>
      <c r="B1090" s="142"/>
      <c r="C1090" s="142" t="s">
        <v>204</v>
      </c>
      <c r="D1090" s="142" t="s">
        <v>838</v>
      </c>
      <c r="E1090" s="142" t="s">
        <v>44</v>
      </c>
      <c r="F1090" s="140"/>
      <c r="G1090" s="81">
        <f>SUM(G1091)</f>
        <v>0</v>
      </c>
      <c r="H1090" s="81">
        <f>SUM(H1091)</f>
        <v>0</v>
      </c>
      <c r="I1090" s="30"/>
    </row>
    <row r="1091" spans="1:9" ht="15" hidden="1">
      <c r="A1091" s="119" t="s">
        <v>17</v>
      </c>
      <c r="B1091" s="142"/>
      <c r="C1091" s="142" t="s">
        <v>204</v>
      </c>
      <c r="D1091" s="142" t="s">
        <v>838</v>
      </c>
      <c r="E1091" s="142" t="s">
        <v>18</v>
      </c>
      <c r="F1091" s="140"/>
      <c r="G1091" s="81">
        <f>SUM(G1092)</f>
        <v>0</v>
      </c>
      <c r="H1091" s="81">
        <f>SUM(H1092)</f>
        <v>0</v>
      </c>
      <c r="I1091" s="30"/>
    </row>
    <row r="1092" spans="1:9" ht="19.5" hidden="1" customHeight="1">
      <c r="A1092" s="95" t="s">
        <v>164</v>
      </c>
      <c r="B1092" s="142"/>
      <c r="C1092" s="142" t="s">
        <v>204</v>
      </c>
      <c r="D1092" s="142" t="s">
        <v>838</v>
      </c>
      <c r="E1092" s="142" t="s">
        <v>18</v>
      </c>
      <c r="F1092" s="139" t="s">
        <v>165</v>
      </c>
      <c r="G1092" s="82"/>
      <c r="H1092" s="82"/>
      <c r="I1092" s="30"/>
    </row>
    <row r="1093" spans="1:9" s="2" customFormat="1" ht="21.75" hidden="1" customHeight="1">
      <c r="A1093" s="97" t="s">
        <v>200</v>
      </c>
      <c r="B1093" s="142"/>
      <c r="C1093" s="142" t="s">
        <v>204</v>
      </c>
      <c r="D1093" s="142" t="s">
        <v>838</v>
      </c>
      <c r="E1093" s="142" t="s">
        <v>201</v>
      </c>
      <c r="F1093" s="139"/>
      <c r="G1093" s="82">
        <f>SUM(G1094)</f>
        <v>0</v>
      </c>
      <c r="H1093" s="82">
        <f>SUM(H1094)</f>
        <v>0</v>
      </c>
      <c r="I1093" s="204" t="e">
        <f>SUM(H1093/G1096*100)</f>
        <v>#DIV/0!</v>
      </c>
    </row>
    <row r="1094" spans="1:9" s="25" customFormat="1" ht="18" hidden="1" customHeight="1">
      <c r="A1094" s="94"/>
      <c r="B1094" s="142"/>
      <c r="C1094" s="142" t="s">
        <v>204</v>
      </c>
      <c r="D1094" s="142" t="s">
        <v>838</v>
      </c>
      <c r="E1094" s="142" t="s">
        <v>201</v>
      </c>
      <c r="F1094" s="139"/>
      <c r="G1094" s="82">
        <f>SUM(G1095)</f>
        <v>0</v>
      </c>
      <c r="H1094" s="82">
        <f>SUM(H1095)</f>
        <v>0</v>
      </c>
      <c r="I1094" s="30" t="e">
        <f>SUM(H1094/G1097*100)</f>
        <v>#DIV/0!</v>
      </c>
    </row>
    <row r="1095" spans="1:9" s="25" customFormat="1" ht="18" hidden="1" customHeight="1">
      <c r="A1095" s="94" t="s">
        <v>164</v>
      </c>
      <c r="B1095" s="142"/>
      <c r="C1095" s="142" t="s">
        <v>204</v>
      </c>
      <c r="D1095" s="142" t="s">
        <v>838</v>
      </c>
      <c r="E1095" s="142" t="s">
        <v>201</v>
      </c>
      <c r="F1095" s="139" t="s">
        <v>165</v>
      </c>
      <c r="G1095" s="82">
        <f>6000-6000</f>
        <v>0</v>
      </c>
      <c r="H1095" s="82">
        <f>6000-6000</f>
        <v>0</v>
      </c>
      <c r="I1095" s="30"/>
    </row>
    <row r="1096" spans="1:9" s="25" customFormat="1" ht="21.75" hidden="1" customHeight="1">
      <c r="A1096" s="115" t="s">
        <v>341</v>
      </c>
      <c r="B1096" s="163"/>
      <c r="C1096" s="163" t="s">
        <v>940</v>
      </c>
      <c r="D1096" s="163" t="s">
        <v>342</v>
      </c>
      <c r="E1096" s="163"/>
      <c r="F1096" s="164"/>
      <c r="G1096" s="82">
        <f>SUM(G1097)+G1120</f>
        <v>0</v>
      </c>
      <c r="H1096" s="82">
        <f>SUM(H1097)+H1120</f>
        <v>0</v>
      </c>
      <c r="I1096" s="30"/>
    </row>
    <row r="1097" spans="1:9" s="25" customFormat="1" ht="30" hidden="1" customHeight="1">
      <c r="A1097" s="115" t="s">
        <v>964</v>
      </c>
      <c r="B1097" s="138"/>
      <c r="C1097" s="163" t="s">
        <v>940</v>
      </c>
      <c r="D1097" s="163" t="s">
        <v>167</v>
      </c>
      <c r="E1097" s="163"/>
      <c r="F1097" s="164"/>
      <c r="G1097" s="82">
        <f>SUM(G1098+G1108+G1114)+G1104</f>
        <v>0</v>
      </c>
      <c r="H1097" s="82">
        <f>SUM(H1098+H1108+H1114)+H1104</f>
        <v>0</v>
      </c>
      <c r="I1097" s="30"/>
    </row>
    <row r="1098" spans="1:9" s="25" customFormat="1" ht="21.75" hidden="1" customHeight="1">
      <c r="A1098" s="115" t="s">
        <v>254</v>
      </c>
      <c r="B1098" s="138"/>
      <c r="C1098" s="138" t="s">
        <v>940</v>
      </c>
      <c r="D1098" s="142" t="s">
        <v>167</v>
      </c>
      <c r="E1098" s="138" t="s">
        <v>255</v>
      </c>
      <c r="F1098" s="164"/>
      <c r="G1098" s="82">
        <f>SUM(G1099)</f>
        <v>0</v>
      </c>
      <c r="H1098" s="82">
        <f>SUM(H1099)</f>
        <v>0</v>
      </c>
      <c r="I1098" s="30"/>
    </row>
    <row r="1099" spans="1:9" s="25" customFormat="1" ht="28.5" hidden="1" customHeight="1">
      <c r="A1099" s="119" t="s">
        <v>251</v>
      </c>
      <c r="B1099" s="138"/>
      <c r="C1099" s="138" t="s">
        <v>940</v>
      </c>
      <c r="D1099" s="142" t="s">
        <v>167</v>
      </c>
      <c r="E1099" s="138" t="s">
        <v>252</v>
      </c>
      <c r="F1099" s="139"/>
      <c r="G1099" s="82">
        <f>SUM(G1102)+G1100</f>
        <v>0</v>
      </c>
      <c r="H1099" s="82">
        <f>SUM(H1102)+H1100</f>
        <v>0</v>
      </c>
      <c r="I1099" s="30"/>
    </row>
    <row r="1100" spans="1:9" s="25" customFormat="1" ht="15" hidden="1" customHeight="1">
      <c r="A1100" s="119" t="s">
        <v>414</v>
      </c>
      <c r="B1100" s="138"/>
      <c r="C1100" s="138" t="s">
        <v>940</v>
      </c>
      <c r="D1100" s="142" t="s">
        <v>167</v>
      </c>
      <c r="E1100" s="138" t="s">
        <v>402</v>
      </c>
      <c r="F1100" s="139"/>
      <c r="G1100" s="82">
        <f>SUM(G1101)</f>
        <v>0</v>
      </c>
      <c r="H1100" s="82">
        <f>SUM(H1101)</f>
        <v>0</v>
      </c>
      <c r="I1100" s="30"/>
    </row>
    <row r="1101" spans="1:9" s="25" customFormat="1" ht="19.5" hidden="1" customHeight="1">
      <c r="A1101" s="95" t="s">
        <v>592</v>
      </c>
      <c r="B1101" s="138"/>
      <c r="C1101" s="138" t="s">
        <v>940</v>
      </c>
      <c r="D1101" s="142" t="s">
        <v>167</v>
      </c>
      <c r="E1101" s="138" t="s">
        <v>402</v>
      </c>
      <c r="F1101" s="139" t="s">
        <v>593</v>
      </c>
      <c r="G1101" s="82"/>
      <c r="H1101" s="82"/>
      <c r="I1101" s="30"/>
    </row>
    <row r="1102" spans="1:9" s="25" customFormat="1" ht="19.5" hidden="1" customHeight="1">
      <c r="A1102" s="119" t="s">
        <v>359</v>
      </c>
      <c r="B1102" s="138"/>
      <c r="C1102" s="142" t="s">
        <v>940</v>
      </c>
      <c r="D1102" s="142" t="s">
        <v>167</v>
      </c>
      <c r="E1102" s="138" t="s">
        <v>253</v>
      </c>
      <c r="F1102" s="140"/>
      <c r="G1102" s="82">
        <f>SUM(G1103)</f>
        <v>0</v>
      </c>
      <c r="H1102" s="82">
        <f>SUM(H1103)</f>
        <v>0</v>
      </c>
      <c r="I1102" s="30"/>
    </row>
    <row r="1103" spans="1:9" s="25" customFormat="1" ht="19.5" hidden="1" customHeight="1">
      <c r="A1103" s="119" t="s">
        <v>503</v>
      </c>
      <c r="B1103" s="138"/>
      <c r="C1103" s="142" t="s">
        <v>940</v>
      </c>
      <c r="D1103" s="142" t="s">
        <v>167</v>
      </c>
      <c r="E1103" s="138" t="s">
        <v>253</v>
      </c>
      <c r="F1103" s="140" t="s">
        <v>505</v>
      </c>
      <c r="G1103" s="82"/>
      <c r="H1103" s="82"/>
      <c r="I1103" s="30"/>
    </row>
    <row r="1104" spans="1:9" s="25" customFormat="1" ht="19.5" hidden="1" customHeight="1">
      <c r="A1104" s="95" t="s">
        <v>965</v>
      </c>
      <c r="B1104" s="138"/>
      <c r="C1104" s="138" t="s">
        <v>940</v>
      </c>
      <c r="D1104" s="138" t="s">
        <v>167</v>
      </c>
      <c r="E1104" s="138" t="s">
        <v>966</v>
      </c>
      <c r="F1104" s="140"/>
      <c r="G1104" s="82">
        <f t="shared" ref="G1104:H1106" si="54">SUM(G1105)</f>
        <v>0</v>
      </c>
      <c r="H1104" s="82">
        <f t="shared" si="54"/>
        <v>0</v>
      </c>
      <c r="I1104" s="30"/>
    </row>
    <row r="1105" spans="1:9" ht="19.5" hidden="1" customHeight="1">
      <c r="A1105" s="95" t="s">
        <v>380</v>
      </c>
      <c r="B1105" s="138"/>
      <c r="C1105" s="142" t="s">
        <v>940</v>
      </c>
      <c r="D1105" s="142" t="s">
        <v>167</v>
      </c>
      <c r="E1105" s="138" t="s">
        <v>381</v>
      </c>
      <c r="F1105" s="139"/>
      <c r="G1105" s="81">
        <f t="shared" si="54"/>
        <v>0</v>
      </c>
      <c r="H1105" s="81">
        <f t="shared" si="54"/>
        <v>0</v>
      </c>
      <c r="I1105" s="30"/>
    </row>
    <row r="1106" spans="1:9" ht="57" hidden="1">
      <c r="A1106" s="119" t="s">
        <v>122</v>
      </c>
      <c r="B1106" s="138"/>
      <c r="C1106" s="142" t="s">
        <v>940</v>
      </c>
      <c r="D1106" s="142" t="s">
        <v>167</v>
      </c>
      <c r="E1106" s="138" t="s">
        <v>123</v>
      </c>
      <c r="F1106" s="140"/>
      <c r="G1106" s="81">
        <f t="shared" si="54"/>
        <v>0</v>
      </c>
      <c r="H1106" s="81">
        <f t="shared" si="54"/>
        <v>0</v>
      </c>
      <c r="I1106" s="30"/>
    </row>
    <row r="1107" spans="1:9" ht="15" hidden="1">
      <c r="A1107" s="95" t="s">
        <v>592</v>
      </c>
      <c r="B1107" s="143"/>
      <c r="C1107" s="142" t="s">
        <v>940</v>
      </c>
      <c r="D1107" s="142" t="s">
        <v>167</v>
      </c>
      <c r="E1107" s="138" t="s">
        <v>123</v>
      </c>
      <c r="F1107" s="144" t="s">
        <v>593</v>
      </c>
      <c r="G1107" s="82"/>
      <c r="H1107" s="82"/>
      <c r="I1107" s="30"/>
    </row>
    <row r="1108" spans="1:9" ht="15" hidden="1">
      <c r="A1108" s="95" t="s">
        <v>932</v>
      </c>
      <c r="B1108" s="109"/>
      <c r="C1108" s="142" t="s">
        <v>940</v>
      </c>
      <c r="D1108" s="142" t="s">
        <v>167</v>
      </c>
      <c r="E1108" s="142" t="s">
        <v>933</v>
      </c>
      <c r="F1108" s="144"/>
      <c r="G1108" s="82">
        <f>SUM(G1109)</f>
        <v>0</v>
      </c>
      <c r="H1108" s="82">
        <f>SUM(H1109)</f>
        <v>0</v>
      </c>
      <c r="I1108" s="30"/>
    </row>
    <row r="1109" spans="1:9" ht="42.75" hidden="1">
      <c r="A1109" s="95" t="s">
        <v>334</v>
      </c>
      <c r="B1109" s="143"/>
      <c r="C1109" s="142" t="s">
        <v>940</v>
      </c>
      <c r="D1109" s="142" t="s">
        <v>167</v>
      </c>
      <c r="E1109" s="142" t="s">
        <v>826</v>
      </c>
      <c r="F1109" s="144"/>
      <c r="G1109" s="82">
        <f>SUM(G1110)+G1112</f>
        <v>0</v>
      </c>
      <c r="H1109" s="82">
        <f>SUM(H1110)+H1112</f>
        <v>0</v>
      </c>
      <c r="I1109" s="30"/>
    </row>
    <row r="1110" spans="1:9" ht="28.5" hidden="1">
      <c r="A1110" s="95" t="s">
        <v>335</v>
      </c>
      <c r="B1110" s="143"/>
      <c r="C1110" s="142" t="s">
        <v>940</v>
      </c>
      <c r="D1110" s="142" t="s">
        <v>167</v>
      </c>
      <c r="E1110" s="142" t="s">
        <v>336</v>
      </c>
      <c r="F1110" s="144"/>
      <c r="G1110" s="82">
        <f>SUM(G1111)</f>
        <v>0</v>
      </c>
      <c r="H1110" s="82">
        <f>SUM(H1111)</f>
        <v>0</v>
      </c>
      <c r="I1110" s="30"/>
    </row>
    <row r="1111" spans="1:9" ht="15" hidden="1">
      <c r="A1111" s="119" t="s">
        <v>503</v>
      </c>
      <c r="B1111" s="143"/>
      <c r="C1111" s="142" t="s">
        <v>940</v>
      </c>
      <c r="D1111" s="142" t="s">
        <v>167</v>
      </c>
      <c r="E1111" s="142" t="s">
        <v>336</v>
      </c>
      <c r="F1111" s="139" t="s">
        <v>505</v>
      </c>
      <c r="G1111" s="82"/>
      <c r="H1111" s="82"/>
      <c r="I1111" s="30"/>
    </row>
    <row r="1112" spans="1:9" ht="28.5" hidden="1">
      <c r="A1112" s="95" t="s">
        <v>368</v>
      </c>
      <c r="B1112" s="143"/>
      <c r="C1112" s="142" t="s">
        <v>940</v>
      </c>
      <c r="D1112" s="142" t="s">
        <v>167</v>
      </c>
      <c r="E1112" s="142" t="s">
        <v>504</v>
      </c>
      <c r="F1112" s="144"/>
      <c r="G1112" s="82">
        <f>SUM(G1113)</f>
        <v>0</v>
      </c>
      <c r="H1112" s="82">
        <f>SUM(H1113)</f>
        <v>0</v>
      </c>
      <c r="I1112" s="30"/>
    </row>
    <row r="1113" spans="1:9" ht="42" hidden="1" customHeight="1">
      <c r="A1113" s="95" t="s">
        <v>503</v>
      </c>
      <c r="B1113" s="143"/>
      <c r="C1113" s="142" t="s">
        <v>940</v>
      </c>
      <c r="D1113" s="142" t="s">
        <v>167</v>
      </c>
      <c r="E1113" s="142" t="s">
        <v>504</v>
      </c>
      <c r="F1113" s="144" t="s">
        <v>505</v>
      </c>
      <c r="G1113" s="82"/>
      <c r="H1113" s="82"/>
      <c r="I1113" s="30"/>
    </row>
    <row r="1114" spans="1:9" ht="15" hidden="1">
      <c r="A1114" s="97" t="s">
        <v>200</v>
      </c>
      <c r="B1114" s="138"/>
      <c r="C1114" s="142" t="s">
        <v>940</v>
      </c>
      <c r="D1114" s="142" t="s">
        <v>167</v>
      </c>
      <c r="E1114" s="142" t="s">
        <v>201</v>
      </c>
      <c r="F1114" s="140"/>
      <c r="G1114" s="81">
        <f>SUM(G1115)</f>
        <v>0</v>
      </c>
      <c r="H1114" s="81">
        <f>SUM(H1115)</f>
        <v>0</v>
      </c>
      <c r="I1114" s="30"/>
    </row>
    <row r="1115" spans="1:9" ht="36.75" hidden="1" customHeight="1">
      <c r="A1115" s="115" t="s">
        <v>164</v>
      </c>
      <c r="B1115" s="138"/>
      <c r="C1115" s="142" t="s">
        <v>940</v>
      </c>
      <c r="D1115" s="142" t="s">
        <v>167</v>
      </c>
      <c r="E1115" s="142" t="s">
        <v>201</v>
      </c>
      <c r="F1115" s="140" t="s">
        <v>165</v>
      </c>
      <c r="G1115" s="81"/>
      <c r="H1115" s="81"/>
      <c r="I1115" s="30"/>
    </row>
    <row r="1116" spans="1:9" ht="38.25" hidden="1" customHeight="1">
      <c r="A1116" s="115" t="s">
        <v>609</v>
      </c>
      <c r="B1116" s="138"/>
      <c r="C1116" s="142" t="s">
        <v>940</v>
      </c>
      <c r="D1116" s="142" t="s">
        <v>167</v>
      </c>
      <c r="E1116" s="142" t="s">
        <v>610</v>
      </c>
      <c r="F1116" s="140" t="s">
        <v>165</v>
      </c>
      <c r="G1116" s="81"/>
      <c r="H1116" s="81"/>
      <c r="I1116" s="30"/>
    </row>
    <row r="1117" spans="1:9" ht="17.25" hidden="1" customHeight="1">
      <c r="A1117" s="115" t="s">
        <v>225</v>
      </c>
      <c r="B1117" s="138"/>
      <c r="C1117" s="142" t="s">
        <v>940</v>
      </c>
      <c r="D1117" s="142" t="s">
        <v>167</v>
      </c>
      <c r="E1117" s="154" t="s">
        <v>28</v>
      </c>
      <c r="F1117" s="139" t="s">
        <v>165</v>
      </c>
      <c r="G1117" s="81"/>
      <c r="H1117" s="81"/>
      <c r="I1117" s="30" t="e">
        <f>SUM(H1117/G1120*100)</f>
        <v>#DIV/0!</v>
      </c>
    </row>
    <row r="1118" spans="1:9" s="25" customFormat="1" ht="42.75" hidden="1" customHeight="1">
      <c r="A1118" s="95" t="s">
        <v>335</v>
      </c>
      <c r="B1118" s="142"/>
      <c r="C1118" s="142" t="s">
        <v>940</v>
      </c>
      <c r="D1118" s="142" t="s">
        <v>167</v>
      </c>
      <c r="E1118" s="154" t="s">
        <v>509</v>
      </c>
      <c r="F1118" s="139" t="s">
        <v>165</v>
      </c>
      <c r="G1118" s="82"/>
      <c r="H1118" s="82"/>
      <c r="I1118" s="30"/>
    </row>
    <row r="1119" spans="1:9" s="25" customFormat="1" ht="51" hidden="1" customHeight="1">
      <c r="A1119" s="94" t="s">
        <v>393</v>
      </c>
      <c r="B1119" s="142"/>
      <c r="C1119" s="142" t="s">
        <v>940</v>
      </c>
      <c r="D1119" s="142" t="s">
        <v>167</v>
      </c>
      <c r="E1119" s="154" t="s">
        <v>278</v>
      </c>
      <c r="F1119" s="139" t="s">
        <v>165</v>
      </c>
      <c r="G1119" s="82"/>
      <c r="H1119" s="82"/>
      <c r="I1119" s="30"/>
    </row>
    <row r="1120" spans="1:9" s="25" customFormat="1" ht="16.5" hidden="1" customHeight="1">
      <c r="A1120" s="119" t="s">
        <v>279</v>
      </c>
      <c r="B1120" s="138"/>
      <c r="C1120" s="154" t="s">
        <v>940</v>
      </c>
      <c r="D1120" s="163" t="s">
        <v>191</v>
      </c>
      <c r="E1120" s="163"/>
      <c r="F1120" s="141"/>
      <c r="G1120" s="82">
        <f t="shared" ref="G1120:H1122" si="55">SUM(G1121)</f>
        <v>0</v>
      </c>
      <c r="H1120" s="82">
        <f t="shared" si="55"/>
        <v>0</v>
      </c>
      <c r="I1120" s="30"/>
    </row>
    <row r="1121" spans="1:9" s="105" customFormat="1" ht="42.75" hidden="1">
      <c r="A1121" s="95" t="s">
        <v>380</v>
      </c>
      <c r="B1121" s="138"/>
      <c r="C1121" s="154" t="s">
        <v>940</v>
      </c>
      <c r="D1121" s="163" t="s">
        <v>191</v>
      </c>
      <c r="E1121" s="138" t="s">
        <v>381</v>
      </c>
      <c r="F1121" s="139"/>
      <c r="G1121" s="81">
        <f t="shared" si="55"/>
        <v>0</v>
      </c>
      <c r="H1121" s="81">
        <f t="shared" si="55"/>
        <v>0</v>
      </c>
      <c r="I1121" s="204" t="e">
        <f>SUM(H1121/G1124*100)</f>
        <v>#DIV/0!</v>
      </c>
    </row>
    <row r="1122" spans="1:9" ht="42.75" hidden="1">
      <c r="A1122" s="119" t="s">
        <v>861</v>
      </c>
      <c r="B1122" s="138"/>
      <c r="C1122" s="154" t="s">
        <v>940</v>
      </c>
      <c r="D1122" s="163" t="s">
        <v>191</v>
      </c>
      <c r="E1122" s="138" t="s">
        <v>860</v>
      </c>
      <c r="F1122" s="140"/>
      <c r="G1122" s="81">
        <f t="shared" si="55"/>
        <v>0</v>
      </c>
      <c r="H1122" s="81">
        <f t="shared" si="55"/>
        <v>0</v>
      </c>
      <c r="I1122" s="30"/>
    </row>
    <row r="1123" spans="1:9" ht="15" hidden="1">
      <c r="A1123" s="95" t="s">
        <v>592</v>
      </c>
      <c r="B1123" s="143"/>
      <c r="C1123" s="154" t="s">
        <v>940</v>
      </c>
      <c r="D1123" s="163" t="s">
        <v>191</v>
      </c>
      <c r="E1123" s="138" t="s">
        <v>860</v>
      </c>
      <c r="F1123" s="144" t="s">
        <v>593</v>
      </c>
      <c r="G1123" s="82"/>
      <c r="H1123" s="82"/>
      <c r="I1123" s="30" t="e">
        <f>SUM(H1123/G1126*100)</f>
        <v>#DIV/0!</v>
      </c>
    </row>
    <row r="1124" spans="1:9" ht="15" hidden="1">
      <c r="A1124" s="115" t="s">
        <v>490</v>
      </c>
      <c r="B1124" s="163"/>
      <c r="C1124" s="154" t="s">
        <v>766</v>
      </c>
      <c r="D1124" s="154"/>
      <c r="E1124" s="154"/>
      <c r="F1124" s="144"/>
      <c r="G1124" s="82">
        <f t="shared" ref="G1124:H1127" si="56">SUM(G1125)</f>
        <v>0</v>
      </c>
      <c r="H1124" s="82">
        <f t="shared" si="56"/>
        <v>0</v>
      </c>
      <c r="I1124" s="30" t="e">
        <f>SUM(H1124/G1127*100)</f>
        <v>#DIV/0!</v>
      </c>
    </row>
    <row r="1125" spans="1:9" ht="15" hidden="1">
      <c r="A1125" s="95" t="s">
        <v>472</v>
      </c>
      <c r="B1125" s="138"/>
      <c r="C1125" s="138" t="s">
        <v>766</v>
      </c>
      <c r="D1125" s="138" t="s">
        <v>204</v>
      </c>
      <c r="E1125" s="142"/>
      <c r="F1125" s="140"/>
      <c r="G1125" s="82">
        <f t="shared" si="56"/>
        <v>0</v>
      </c>
      <c r="H1125" s="82">
        <f t="shared" si="56"/>
        <v>0</v>
      </c>
      <c r="I1125" s="30" t="e">
        <f>SUM(H1125/G1128*100)</f>
        <v>#DIV/0!</v>
      </c>
    </row>
    <row r="1126" spans="1:9" ht="37.5" hidden="1" customHeight="1">
      <c r="A1126" s="97" t="s">
        <v>200</v>
      </c>
      <c r="B1126" s="142"/>
      <c r="C1126" s="138" t="s">
        <v>766</v>
      </c>
      <c r="D1126" s="138" t="s">
        <v>204</v>
      </c>
      <c r="E1126" s="142" t="s">
        <v>201</v>
      </c>
      <c r="F1126" s="140"/>
      <c r="G1126" s="82">
        <f t="shared" si="56"/>
        <v>0</v>
      </c>
      <c r="H1126" s="82">
        <f t="shared" si="56"/>
        <v>0</v>
      </c>
      <c r="I1126" s="30">
        <f>SUM(H1126/G1129*100)</f>
        <v>0</v>
      </c>
    </row>
    <row r="1127" spans="1:9" ht="19.5" hidden="1" customHeight="1">
      <c r="A1127" s="95" t="s">
        <v>340</v>
      </c>
      <c r="B1127" s="138"/>
      <c r="C1127" s="138" t="s">
        <v>766</v>
      </c>
      <c r="D1127" s="138" t="s">
        <v>204</v>
      </c>
      <c r="E1127" s="142" t="s">
        <v>41</v>
      </c>
      <c r="F1127" s="144"/>
      <c r="G1127" s="82">
        <f t="shared" si="56"/>
        <v>0</v>
      </c>
      <c r="H1127" s="82">
        <f t="shared" si="56"/>
        <v>0</v>
      </c>
      <c r="I1127" s="30"/>
    </row>
    <row r="1128" spans="1:9" ht="19.5" hidden="1" customHeight="1">
      <c r="A1128" s="94" t="s">
        <v>70</v>
      </c>
      <c r="B1128" s="138"/>
      <c r="C1128" s="138" t="s">
        <v>766</v>
      </c>
      <c r="D1128" s="138" t="s">
        <v>204</v>
      </c>
      <c r="E1128" s="142" t="s">
        <v>41</v>
      </c>
      <c r="F1128" s="144" t="s">
        <v>208</v>
      </c>
      <c r="G1128" s="82"/>
      <c r="H1128" s="82"/>
      <c r="I1128" s="30"/>
    </row>
    <row r="1129" spans="1:9" ht="39" customHeight="1">
      <c r="A1129" s="156" t="s">
        <v>906</v>
      </c>
      <c r="B1129" s="157" t="s">
        <v>372</v>
      </c>
      <c r="C1129" s="158"/>
      <c r="D1129" s="158"/>
      <c r="E1129" s="158"/>
      <c r="F1129" s="159"/>
      <c r="G1129" s="183">
        <f>SUM(G1130+G1139+G1193)</f>
        <v>73109.299999999988</v>
      </c>
      <c r="H1129" s="183">
        <f>SUM(H1130+H1139+H1193)</f>
        <v>74364.899999999994</v>
      </c>
      <c r="I1129" s="203">
        <f t="shared" ref="I1129" si="57">SUM(H1129/G1129*100)</f>
        <v>101.71742856244008</v>
      </c>
    </row>
    <row r="1130" spans="1:9" ht="19.5" hidden="1" customHeight="1">
      <c r="A1130" s="95" t="s">
        <v>835</v>
      </c>
      <c r="B1130" s="138"/>
      <c r="C1130" s="138" t="s">
        <v>836</v>
      </c>
      <c r="D1130" s="138"/>
      <c r="E1130" s="138"/>
      <c r="F1130" s="139"/>
      <c r="G1130" s="81">
        <f>SUM(G1131+G1135)</f>
        <v>0</v>
      </c>
      <c r="H1130" s="81">
        <f>SUM(H1131+H1135)</f>
        <v>0</v>
      </c>
      <c r="I1130" s="30"/>
    </row>
    <row r="1131" spans="1:9" ht="19.5" hidden="1" customHeight="1">
      <c r="A1131" s="95" t="s">
        <v>1003</v>
      </c>
      <c r="B1131" s="138"/>
      <c r="C1131" s="138" t="s">
        <v>836</v>
      </c>
      <c r="D1131" s="138" t="s">
        <v>191</v>
      </c>
      <c r="E1131" s="138"/>
      <c r="F1131" s="139"/>
      <c r="G1131" s="81">
        <f t="shared" ref="G1131:H1133" si="58">SUM(G1132)</f>
        <v>0</v>
      </c>
      <c r="H1131" s="81">
        <f t="shared" si="58"/>
        <v>0</v>
      </c>
      <c r="I1131" s="30"/>
    </row>
    <row r="1132" spans="1:9" ht="42.75" hidden="1">
      <c r="A1132" s="95" t="s">
        <v>160</v>
      </c>
      <c r="B1132" s="138"/>
      <c r="C1132" s="138" t="s">
        <v>836</v>
      </c>
      <c r="D1132" s="138" t="s">
        <v>191</v>
      </c>
      <c r="E1132" s="138" t="s">
        <v>161</v>
      </c>
      <c r="F1132" s="140"/>
      <c r="G1132" s="81">
        <f t="shared" si="58"/>
        <v>0</v>
      </c>
      <c r="H1132" s="81">
        <f t="shared" si="58"/>
        <v>0</v>
      </c>
      <c r="I1132" s="30" t="e">
        <f t="shared" ref="I1132:I1138" si="59">SUM(H1132/G1135*100)</f>
        <v>#DIV/0!</v>
      </c>
    </row>
    <row r="1133" spans="1:9" ht="15" hidden="1">
      <c r="A1133" s="95" t="s">
        <v>168</v>
      </c>
      <c r="B1133" s="138"/>
      <c r="C1133" s="138" t="s">
        <v>836</v>
      </c>
      <c r="D1133" s="138" t="s">
        <v>191</v>
      </c>
      <c r="E1133" s="138" t="s">
        <v>170</v>
      </c>
      <c r="F1133" s="140"/>
      <c r="G1133" s="81">
        <f t="shared" si="58"/>
        <v>0</v>
      </c>
      <c r="H1133" s="81">
        <f t="shared" si="58"/>
        <v>0</v>
      </c>
      <c r="I1133" s="30" t="e">
        <f t="shared" si="59"/>
        <v>#DIV/0!</v>
      </c>
    </row>
    <row r="1134" spans="1:9" ht="15" hidden="1">
      <c r="A1134" s="95" t="s">
        <v>164</v>
      </c>
      <c r="B1134" s="138"/>
      <c r="C1134" s="138" t="s">
        <v>836</v>
      </c>
      <c r="D1134" s="138" t="s">
        <v>191</v>
      </c>
      <c r="E1134" s="138" t="s">
        <v>170</v>
      </c>
      <c r="F1134" s="139" t="s">
        <v>165</v>
      </c>
      <c r="G1134" s="81"/>
      <c r="H1134" s="81"/>
      <c r="I1134" s="30" t="e">
        <f t="shared" si="59"/>
        <v>#DIV/0!</v>
      </c>
    </row>
    <row r="1135" spans="1:9" ht="19.5" hidden="1" customHeight="1">
      <c r="A1135" s="95" t="s">
        <v>173</v>
      </c>
      <c r="B1135" s="138"/>
      <c r="C1135" s="138" t="s">
        <v>836</v>
      </c>
      <c r="D1135" s="138" t="s">
        <v>752</v>
      </c>
      <c r="E1135" s="138"/>
      <c r="F1135" s="140"/>
      <c r="G1135" s="81">
        <f>SUM(G1136)</f>
        <v>0</v>
      </c>
      <c r="H1135" s="81">
        <f>SUM(H1136)</f>
        <v>0</v>
      </c>
      <c r="I1135" s="30" t="e">
        <f t="shared" si="59"/>
        <v>#DIV/0!</v>
      </c>
    </row>
    <row r="1136" spans="1:9" s="105" customFormat="1" ht="28.5" hidden="1">
      <c r="A1136" s="119" t="s">
        <v>175</v>
      </c>
      <c r="B1136" s="138"/>
      <c r="C1136" s="138" t="s">
        <v>836</v>
      </c>
      <c r="D1136" s="138" t="s">
        <v>752</v>
      </c>
      <c r="E1136" s="138" t="s">
        <v>176</v>
      </c>
      <c r="F1136" s="141"/>
      <c r="G1136" s="81">
        <f>SUM(G1138)</f>
        <v>0</v>
      </c>
      <c r="H1136" s="81">
        <f>SUM(H1138)</f>
        <v>0</v>
      </c>
      <c r="I1136" s="204">
        <f t="shared" si="59"/>
        <v>0</v>
      </c>
    </row>
    <row r="1137" spans="1:9" s="33" customFormat="1" ht="15.75" hidden="1" customHeight="1">
      <c r="A1137" s="119" t="s">
        <v>177</v>
      </c>
      <c r="B1137" s="138"/>
      <c r="C1137" s="138" t="s">
        <v>836</v>
      </c>
      <c r="D1137" s="138" t="s">
        <v>752</v>
      </c>
      <c r="E1137" s="138" t="s">
        <v>501</v>
      </c>
      <c r="F1137" s="141"/>
      <c r="G1137" s="81">
        <f>SUM(G1138)</f>
        <v>0</v>
      </c>
      <c r="H1137" s="81">
        <f>SUM(H1138)</f>
        <v>0</v>
      </c>
      <c r="I1137" s="30">
        <f t="shared" si="59"/>
        <v>0</v>
      </c>
    </row>
    <row r="1138" spans="1:9" ht="18" hidden="1" customHeight="1">
      <c r="A1138" s="95" t="s">
        <v>164</v>
      </c>
      <c r="B1138" s="138"/>
      <c r="C1138" s="138" t="s">
        <v>836</v>
      </c>
      <c r="D1138" s="138" t="s">
        <v>752</v>
      </c>
      <c r="E1138" s="138" t="s">
        <v>501</v>
      </c>
      <c r="F1138" s="141" t="s">
        <v>165</v>
      </c>
      <c r="G1138" s="81">
        <f>276.8-276.8</f>
        <v>0</v>
      </c>
      <c r="H1138" s="81">
        <f>276.8-276.8</f>
        <v>0</v>
      </c>
      <c r="I1138" s="30">
        <f t="shared" si="59"/>
        <v>0</v>
      </c>
    </row>
    <row r="1139" spans="1:9" ht="22.5" customHeight="1">
      <c r="A1139" s="115" t="s">
        <v>179</v>
      </c>
      <c r="B1139" s="163"/>
      <c r="C1139" s="154" t="s">
        <v>180</v>
      </c>
      <c r="D1139" s="154"/>
      <c r="E1139" s="154"/>
      <c r="F1139" s="144"/>
      <c r="G1139" s="81">
        <f>SUM(G1140+G1154)</f>
        <v>60891.799999999996</v>
      </c>
      <c r="H1139" s="81">
        <f>SUM(H1140+H1154)</f>
        <v>62231.299999999996</v>
      </c>
      <c r="I1139" s="30">
        <f t="shared" ref="I1139:I1202" si="60">SUM(H1139/G1139*100)</f>
        <v>102.19980358603293</v>
      </c>
    </row>
    <row r="1140" spans="1:9" ht="24" customHeight="1">
      <c r="A1140" s="95" t="s">
        <v>683</v>
      </c>
      <c r="B1140" s="157"/>
      <c r="C1140" s="142" t="s">
        <v>180</v>
      </c>
      <c r="D1140" s="142" t="s">
        <v>838</v>
      </c>
      <c r="E1140" s="142"/>
      <c r="F1140" s="140"/>
      <c r="G1140" s="81">
        <f>SUM(G1141+G1150)</f>
        <v>60829.299999999996</v>
      </c>
      <c r="H1140" s="81">
        <f>SUM(H1141+H1150)</f>
        <v>62168.799999999996</v>
      </c>
      <c r="I1140" s="30">
        <f t="shared" si="60"/>
        <v>102.20206380806619</v>
      </c>
    </row>
    <row r="1141" spans="1:9" ht="19.5" customHeight="1">
      <c r="A1141" s="95" t="s">
        <v>638</v>
      </c>
      <c r="B1141" s="138"/>
      <c r="C1141" s="142" t="s">
        <v>180</v>
      </c>
      <c r="D1141" s="142" t="s">
        <v>838</v>
      </c>
      <c r="E1141" s="142" t="s">
        <v>639</v>
      </c>
      <c r="F1141" s="140"/>
      <c r="G1141" s="81">
        <f>SUM(G1142)</f>
        <v>60829.299999999996</v>
      </c>
      <c r="H1141" s="81">
        <f>SUM(H1142)</f>
        <v>62168.799999999996</v>
      </c>
      <c r="I1141" s="30">
        <f t="shared" si="60"/>
        <v>102.20206380806619</v>
      </c>
    </row>
    <row r="1142" spans="1:9" ht="15.75" customHeight="1">
      <c r="A1142" s="95" t="s">
        <v>953</v>
      </c>
      <c r="B1142" s="157"/>
      <c r="C1142" s="142" t="s">
        <v>180</v>
      </c>
      <c r="D1142" s="142" t="s">
        <v>838</v>
      </c>
      <c r="E1142" s="142" t="s">
        <v>125</v>
      </c>
      <c r="F1142" s="140"/>
      <c r="G1142" s="81">
        <f>SUM(G1143)+G1145</f>
        <v>60829.299999999996</v>
      </c>
      <c r="H1142" s="81">
        <f>SUM(H1143)+H1145</f>
        <v>62168.799999999996</v>
      </c>
      <c r="I1142" s="30">
        <f t="shared" si="60"/>
        <v>102.20206380806619</v>
      </c>
    </row>
    <row r="1143" spans="1:9" ht="31.5" customHeight="1">
      <c r="A1143" s="95" t="s">
        <v>151</v>
      </c>
      <c r="B1143" s="157"/>
      <c r="C1143" s="142" t="s">
        <v>180</v>
      </c>
      <c r="D1143" s="142" t="s">
        <v>838</v>
      </c>
      <c r="E1143" s="142" t="s">
        <v>126</v>
      </c>
      <c r="F1143" s="140"/>
      <c r="G1143" s="81">
        <f>SUM(G1144)</f>
        <v>60325.7</v>
      </c>
      <c r="H1143" s="81">
        <f>SUM(H1144)</f>
        <v>61665.7</v>
      </c>
      <c r="I1143" s="30">
        <f t="shared" si="60"/>
        <v>102.2212755094429</v>
      </c>
    </row>
    <row r="1144" spans="1:9" ht="42.75" customHeight="1">
      <c r="A1144" s="97" t="s">
        <v>954</v>
      </c>
      <c r="B1144" s="109"/>
      <c r="C1144" s="142" t="s">
        <v>180</v>
      </c>
      <c r="D1144" s="142" t="s">
        <v>838</v>
      </c>
      <c r="E1144" s="142" t="s">
        <v>126</v>
      </c>
      <c r="F1144" s="141" t="s">
        <v>51</v>
      </c>
      <c r="G1144" s="81">
        <v>60325.7</v>
      </c>
      <c r="H1144" s="81">
        <v>61665.7</v>
      </c>
      <c r="I1144" s="30">
        <f t="shared" si="60"/>
        <v>102.2212755094429</v>
      </c>
    </row>
    <row r="1145" spans="1:9" ht="15.75" customHeight="1">
      <c r="A1145" s="97" t="s">
        <v>276</v>
      </c>
      <c r="B1145" s="157"/>
      <c r="C1145" s="142" t="s">
        <v>180</v>
      </c>
      <c r="D1145" s="142" t="s">
        <v>838</v>
      </c>
      <c r="E1145" s="142" t="s">
        <v>245</v>
      </c>
      <c r="F1145" s="140"/>
      <c r="G1145" s="81">
        <f>SUM(G1148)+G1146</f>
        <v>503.6</v>
      </c>
      <c r="H1145" s="81">
        <f>SUM(H1148)+H1146</f>
        <v>503.1</v>
      </c>
      <c r="I1145" s="30">
        <f t="shared" si="60"/>
        <v>99.900714853057977</v>
      </c>
    </row>
    <row r="1146" spans="1:9" ht="27.75" customHeight="1">
      <c r="A1146" s="97" t="s">
        <v>759</v>
      </c>
      <c r="B1146" s="157"/>
      <c r="C1146" s="142" t="s">
        <v>180</v>
      </c>
      <c r="D1146" s="142" t="s">
        <v>838</v>
      </c>
      <c r="E1146" s="142" t="s">
        <v>415</v>
      </c>
      <c r="F1146" s="140"/>
      <c r="G1146" s="81">
        <f>SUM(G1147)</f>
        <v>330</v>
      </c>
      <c r="H1146" s="81">
        <f>SUM(H1147)</f>
        <v>329.5</v>
      </c>
      <c r="I1146" s="30">
        <f t="shared" si="60"/>
        <v>99.848484848484858</v>
      </c>
    </row>
    <row r="1147" spans="1:9" ht="15">
      <c r="A1147" s="97" t="s">
        <v>231</v>
      </c>
      <c r="B1147" s="157"/>
      <c r="C1147" s="142" t="s">
        <v>180</v>
      </c>
      <c r="D1147" s="142" t="s">
        <v>838</v>
      </c>
      <c r="E1147" s="142" t="s">
        <v>415</v>
      </c>
      <c r="F1147" s="140" t="s">
        <v>132</v>
      </c>
      <c r="G1147" s="81">
        <v>330</v>
      </c>
      <c r="H1147" s="81">
        <v>329.5</v>
      </c>
      <c r="I1147" s="30">
        <f t="shared" si="60"/>
        <v>99.848484848484858</v>
      </c>
    </row>
    <row r="1148" spans="1:9" ht="24" customHeight="1">
      <c r="A1148" s="95" t="s">
        <v>403</v>
      </c>
      <c r="B1148" s="157"/>
      <c r="C1148" s="142" t="s">
        <v>180</v>
      </c>
      <c r="D1148" s="142" t="s">
        <v>838</v>
      </c>
      <c r="E1148" s="142" t="s">
        <v>409</v>
      </c>
      <c r="F1148" s="140"/>
      <c r="G1148" s="81">
        <f>SUM(G1149)</f>
        <v>173.6</v>
      </c>
      <c r="H1148" s="81">
        <f>SUM(H1149)</f>
        <v>173.6</v>
      </c>
      <c r="I1148" s="30">
        <f t="shared" si="60"/>
        <v>100</v>
      </c>
    </row>
    <row r="1149" spans="1:9" ht="22.5" customHeight="1">
      <c r="A1149" s="97" t="s">
        <v>231</v>
      </c>
      <c r="B1149" s="157"/>
      <c r="C1149" s="142" t="s">
        <v>180</v>
      </c>
      <c r="D1149" s="142" t="s">
        <v>838</v>
      </c>
      <c r="E1149" s="142" t="s">
        <v>409</v>
      </c>
      <c r="F1149" s="140" t="s">
        <v>132</v>
      </c>
      <c r="G1149" s="81">
        <v>173.6</v>
      </c>
      <c r="H1149" s="81">
        <v>173.6</v>
      </c>
      <c r="I1149" s="30">
        <f t="shared" si="60"/>
        <v>100</v>
      </c>
    </row>
    <row r="1150" spans="1:9" ht="22.5" hidden="1" customHeight="1">
      <c r="A1150" s="97" t="s">
        <v>200</v>
      </c>
      <c r="B1150" s="168"/>
      <c r="C1150" s="142" t="s">
        <v>180</v>
      </c>
      <c r="D1150" s="142" t="s">
        <v>838</v>
      </c>
      <c r="E1150" s="142" t="s">
        <v>201</v>
      </c>
      <c r="F1150" s="141"/>
      <c r="G1150" s="81">
        <f>SUM(G1151)</f>
        <v>0</v>
      </c>
      <c r="H1150" s="81">
        <f>SUM(H1151)</f>
        <v>0</v>
      </c>
      <c r="I1150" s="30" t="e">
        <f t="shared" si="60"/>
        <v>#DIV/0!</v>
      </c>
    </row>
    <row r="1151" spans="1:9" ht="23.25" hidden="1" customHeight="1">
      <c r="A1151" s="98" t="s">
        <v>386</v>
      </c>
      <c r="B1151" s="168"/>
      <c r="C1151" s="142" t="s">
        <v>180</v>
      </c>
      <c r="D1151" s="142" t="s">
        <v>838</v>
      </c>
      <c r="E1151" s="142" t="s">
        <v>597</v>
      </c>
      <c r="F1151" s="141"/>
      <c r="G1151" s="81">
        <f>SUM(G1153)+G1152</f>
        <v>0</v>
      </c>
      <c r="H1151" s="81">
        <f>SUM(H1153)+H1152</f>
        <v>0</v>
      </c>
      <c r="I1151" s="30" t="e">
        <f t="shared" si="60"/>
        <v>#DIV/0!</v>
      </c>
    </row>
    <row r="1152" spans="1:9" ht="15" hidden="1">
      <c r="A1152" s="97" t="s">
        <v>49</v>
      </c>
      <c r="B1152" s="168"/>
      <c r="C1152" s="142" t="s">
        <v>180</v>
      </c>
      <c r="D1152" s="142" t="s">
        <v>838</v>
      </c>
      <c r="E1152" s="142" t="s">
        <v>597</v>
      </c>
      <c r="F1152" s="141" t="s">
        <v>498</v>
      </c>
      <c r="G1152" s="81"/>
      <c r="H1152" s="81"/>
      <c r="I1152" s="30" t="e">
        <f t="shared" si="60"/>
        <v>#DIV/0!</v>
      </c>
    </row>
    <row r="1153" spans="1:9" ht="15" hidden="1">
      <c r="A1153" s="97" t="s">
        <v>231</v>
      </c>
      <c r="B1153" s="168"/>
      <c r="C1153" s="142" t="s">
        <v>180</v>
      </c>
      <c r="D1153" s="142" t="s">
        <v>838</v>
      </c>
      <c r="E1153" s="142" t="s">
        <v>597</v>
      </c>
      <c r="F1153" s="141" t="s">
        <v>132</v>
      </c>
      <c r="G1153" s="81"/>
      <c r="H1153" s="81"/>
      <c r="I1153" s="30" t="e">
        <f t="shared" si="60"/>
        <v>#DIV/0!</v>
      </c>
    </row>
    <row r="1154" spans="1:9" ht="15">
      <c r="A1154" s="95" t="s">
        <v>181</v>
      </c>
      <c r="B1154" s="138"/>
      <c r="C1154" s="138" t="s">
        <v>180</v>
      </c>
      <c r="D1154" s="138" t="s">
        <v>180</v>
      </c>
      <c r="E1154" s="138"/>
      <c r="F1154" s="139"/>
      <c r="G1154" s="81">
        <f>SUM(G1159)+G1172+G1168+G1175</f>
        <v>62.5</v>
      </c>
      <c r="H1154" s="81">
        <f>SUM(H1159)+H1172+H1168+H1175</f>
        <v>62.5</v>
      </c>
      <c r="I1154" s="30">
        <f t="shared" si="60"/>
        <v>100</v>
      </c>
    </row>
    <row r="1155" spans="1:9" ht="15" hidden="1">
      <c r="A1155" s="95" t="s">
        <v>748</v>
      </c>
      <c r="B1155" s="138"/>
      <c r="C1155" s="138" t="s">
        <v>180</v>
      </c>
      <c r="D1155" s="138" t="s">
        <v>180</v>
      </c>
      <c r="E1155" s="138" t="s">
        <v>750</v>
      </c>
      <c r="F1155" s="139"/>
      <c r="G1155" s="81">
        <f>SUM(G1156)</f>
        <v>0</v>
      </c>
      <c r="H1155" s="81">
        <f>SUM(H1156)</f>
        <v>0</v>
      </c>
      <c r="I1155" s="30" t="e">
        <f t="shared" si="60"/>
        <v>#DIV/0!</v>
      </c>
    </row>
    <row r="1156" spans="1:9" ht="15" hidden="1">
      <c r="A1156" s="95" t="s">
        <v>728</v>
      </c>
      <c r="B1156" s="138"/>
      <c r="C1156" s="138" t="s">
        <v>180</v>
      </c>
      <c r="D1156" s="138" t="s">
        <v>180</v>
      </c>
      <c r="E1156" s="138" t="s">
        <v>729</v>
      </c>
      <c r="F1156" s="139"/>
      <c r="G1156" s="81">
        <f>SUM(G1157+G1158)</f>
        <v>0</v>
      </c>
      <c r="H1156" s="81">
        <f>SUM(H1157+H1158)</f>
        <v>0</v>
      </c>
      <c r="I1156" s="30" t="e">
        <f t="shared" si="60"/>
        <v>#DIV/0!</v>
      </c>
    </row>
    <row r="1157" spans="1:9" ht="19.5" hidden="1" customHeight="1">
      <c r="A1157" s="97" t="s">
        <v>497</v>
      </c>
      <c r="B1157" s="142"/>
      <c r="C1157" s="138" t="s">
        <v>180</v>
      </c>
      <c r="D1157" s="138" t="s">
        <v>180</v>
      </c>
      <c r="E1157" s="138" t="s">
        <v>729</v>
      </c>
      <c r="F1157" s="140" t="s">
        <v>498</v>
      </c>
      <c r="G1157" s="81"/>
      <c r="H1157" s="81"/>
      <c r="I1157" s="30" t="e">
        <f t="shared" si="60"/>
        <v>#DIV/0!</v>
      </c>
    </row>
    <row r="1158" spans="1:9" ht="19.5" hidden="1" customHeight="1">
      <c r="A1158" s="97" t="s">
        <v>441</v>
      </c>
      <c r="B1158" s="142"/>
      <c r="C1158" s="138" t="s">
        <v>180</v>
      </c>
      <c r="D1158" s="138" t="s">
        <v>180</v>
      </c>
      <c r="E1158" s="138" t="s">
        <v>729</v>
      </c>
      <c r="F1158" s="140" t="s">
        <v>442</v>
      </c>
      <c r="G1158" s="81"/>
      <c r="H1158" s="81"/>
      <c r="I1158" s="30" t="e">
        <f t="shared" si="60"/>
        <v>#DIV/0!</v>
      </c>
    </row>
    <row r="1159" spans="1:9" ht="33" hidden="1" customHeight="1">
      <c r="A1159" s="94" t="s">
        <v>443</v>
      </c>
      <c r="B1159" s="142"/>
      <c r="C1159" s="142" t="s">
        <v>180</v>
      </c>
      <c r="D1159" s="142" t="s">
        <v>180</v>
      </c>
      <c r="E1159" s="142" t="s">
        <v>444</v>
      </c>
      <c r="F1159" s="140"/>
      <c r="G1159" s="81">
        <f>SUM(G1160+G1166)+G1162</f>
        <v>0</v>
      </c>
      <c r="H1159" s="81">
        <f>SUM(H1160+H1166)+H1162</f>
        <v>0</v>
      </c>
      <c r="I1159" s="30" t="e">
        <f t="shared" si="60"/>
        <v>#DIV/0!</v>
      </c>
    </row>
    <row r="1160" spans="1:9" ht="18.75" hidden="1" customHeight="1">
      <c r="A1160" s="94" t="s">
        <v>445</v>
      </c>
      <c r="B1160" s="142"/>
      <c r="C1160" s="142" t="s">
        <v>180</v>
      </c>
      <c r="D1160" s="142" t="s">
        <v>180</v>
      </c>
      <c r="E1160" s="142" t="s">
        <v>446</v>
      </c>
      <c r="F1160" s="140"/>
      <c r="G1160" s="81">
        <f>SUM(G1161,G1164)</f>
        <v>0</v>
      </c>
      <c r="H1160" s="81">
        <f>SUM(H1161,H1164)</f>
        <v>0</v>
      </c>
      <c r="I1160" s="30" t="e">
        <f t="shared" si="60"/>
        <v>#DIV/0!</v>
      </c>
    </row>
    <row r="1161" spans="1:9" ht="42.75" hidden="1" customHeight="1">
      <c r="A1161" s="97" t="s">
        <v>49</v>
      </c>
      <c r="B1161" s="142"/>
      <c r="C1161" s="142" t="s">
        <v>180</v>
      </c>
      <c r="D1161" s="142" t="s">
        <v>180</v>
      </c>
      <c r="E1161" s="142" t="s">
        <v>446</v>
      </c>
      <c r="F1161" s="140" t="s">
        <v>498</v>
      </c>
      <c r="G1161" s="81">
        <f>1393.8-1393.8</f>
        <v>0</v>
      </c>
      <c r="H1161" s="81">
        <f>1393.8-1393.8</f>
        <v>0</v>
      </c>
      <c r="I1161" s="30" t="e">
        <f t="shared" si="60"/>
        <v>#DIV/0!</v>
      </c>
    </row>
    <row r="1162" spans="1:9" ht="19.5" hidden="1" customHeight="1">
      <c r="A1162" s="94" t="s">
        <v>1009</v>
      </c>
      <c r="B1162" s="142"/>
      <c r="C1162" s="142" t="s">
        <v>180</v>
      </c>
      <c r="D1162" s="142" t="s">
        <v>180</v>
      </c>
      <c r="E1162" s="142" t="s">
        <v>399</v>
      </c>
      <c r="F1162" s="140"/>
      <c r="G1162" s="81">
        <f>SUM(G1163)</f>
        <v>0</v>
      </c>
      <c r="H1162" s="81">
        <f>SUM(H1163)</f>
        <v>0</v>
      </c>
      <c r="I1162" s="30" t="e">
        <f t="shared" si="60"/>
        <v>#DIV/0!</v>
      </c>
    </row>
    <row r="1163" spans="1:9" ht="30.75" hidden="1" customHeight="1">
      <c r="A1163" s="97" t="s">
        <v>49</v>
      </c>
      <c r="B1163" s="142"/>
      <c r="C1163" s="142" t="s">
        <v>180</v>
      </c>
      <c r="D1163" s="142" t="s">
        <v>180</v>
      </c>
      <c r="E1163" s="142" t="s">
        <v>399</v>
      </c>
      <c r="F1163" s="140" t="s">
        <v>498</v>
      </c>
      <c r="G1163" s="81"/>
      <c r="H1163" s="81"/>
      <c r="I1163" s="30" t="e">
        <f t="shared" si="60"/>
        <v>#DIV/0!</v>
      </c>
    </row>
    <row r="1164" spans="1:9" ht="18" hidden="1" customHeight="1">
      <c r="A1164" s="97" t="s">
        <v>448</v>
      </c>
      <c r="B1164" s="142"/>
      <c r="C1164" s="142" t="s">
        <v>180</v>
      </c>
      <c r="D1164" s="142" t="s">
        <v>180</v>
      </c>
      <c r="E1164" s="142" t="s">
        <v>449</v>
      </c>
      <c r="F1164" s="140"/>
      <c r="G1164" s="81">
        <f>SUM(G1165)</f>
        <v>0</v>
      </c>
      <c r="H1164" s="81">
        <f>SUM(H1165)</f>
        <v>0</v>
      </c>
      <c r="I1164" s="30" t="e">
        <f t="shared" si="60"/>
        <v>#DIV/0!</v>
      </c>
    </row>
    <row r="1165" spans="1:9" ht="15" hidden="1">
      <c r="A1165" s="97" t="s">
        <v>497</v>
      </c>
      <c r="B1165" s="142"/>
      <c r="C1165" s="142" t="s">
        <v>180</v>
      </c>
      <c r="D1165" s="142" t="s">
        <v>180</v>
      </c>
      <c r="E1165" s="142" t="s">
        <v>449</v>
      </c>
      <c r="F1165" s="140" t="s">
        <v>498</v>
      </c>
      <c r="G1165" s="81"/>
      <c r="H1165" s="81"/>
      <c r="I1165" s="30" t="e">
        <f t="shared" si="60"/>
        <v>#DIV/0!</v>
      </c>
    </row>
    <row r="1166" spans="1:9" ht="28.5" hidden="1">
      <c r="A1166" s="95" t="s">
        <v>48</v>
      </c>
      <c r="B1166" s="142"/>
      <c r="C1166" s="142" t="s">
        <v>180</v>
      </c>
      <c r="D1166" s="142" t="s">
        <v>180</v>
      </c>
      <c r="E1166" s="142" t="s">
        <v>450</v>
      </c>
      <c r="F1166" s="140"/>
      <c r="G1166" s="81">
        <f>SUM(G1167)</f>
        <v>0</v>
      </c>
      <c r="H1166" s="81">
        <f>SUM(H1167)</f>
        <v>0</v>
      </c>
      <c r="I1166" s="30" t="e">
        <f t="shared" si="60"/>
        <v>#DIV/0!</v>
      </c>
    </row>
    <row r="1167" spans="1:9" ht="55.5" hidden="1" customHeight="1">
      <c r="A1167" s="97" t="s">
        <v>49</v>
      </c>
      <c r="B1167" s="142"/>
      <c r="C1167" s="142" t="s">
        <v>180</v>
      </c>
      <c r="D1167" s="142" t="s">
        <v>180</v>
      </c>
      <c r="E1167" s="142" t="s">
        <v>450</v>
      </c>
      <c r="F1167" s="140" t="s">
        <v>498</v>
      </c>
      <c r="G1167" s="81"/>
      <c r="H1167" s="81"/>
      <c r="I1167" s="30" t="e">
        <f t="shared" si="60"/>
        <v>#DIV/0!</v>
      </c>
    </row>
    <row r="1168" spans="1:9" ht="22.5" hidden="1" customHeight="1">
      <c r="A1168" s="119" t="s">
        <v>451</v>
      </c>
      <c r="B1168" s="138"/>
      <c r="C1168" s="138" t="s">
        <v>180</v>
      </c>
      <c r="D1168" s="138" t="s">
        <v>180</v>
      </c>
      <c r="E1168" s="138" t="s">
        <v>183</v>
      </c>
      <c r="F1168" s="139"/>
      <c r="G1168" s="81">
        <f t="shared" ref="G1168:H1170" si="61">SUM(G1169)</f>
        <v>0</v>
      </c>
      <c r="H1168" s="81">
        <f t="shared" si="61"/>
        <v>0</v>
      </c>
      <c r="I1168" s="30" t="e">
        <f t="shared" si="60"/>
        <v>#DIV/0!</v>
      </c>
    </row>
    <row r="1169" spans="1:9" ht="18.75" hidden="1" customHeight="1">
      <c r="A1169" s="99" t="s">
        <v>146</v>
      </c>
      <c r="B1169" s="142"/>
      <c r="C1169" s="142" t="s">
        <v>180</v>
      </c>
      <c r="D1169" s="142" t="s">
        <v>180</v>
      </c>
      <c r="E1169" s="142" t="s">
        <v>147</v>
      </c>
      <c r="F1169" s="140"/>
      <c r="G1169" s="81">
        <f t="shared" si="61"/>
        <v>0</v>
      </c>
      <c r="H1169" s="81">
        <f t="shared" si="61"/>
        <v>0</v>
      </c>
      <c r="I1169" s="30" t="e">
        <f t="shared" si="60"/>
        <v>#DIV/0!</v>
      </c>
    </row>
    <row r="1170" spans="1:9" ht="39.75" hidden="1" customHeight="1">
      <c r="A1170" s="99" t="s">
        <v>148</v>
      </c>
      <c r="B1170" s="142"/>
      <c r="C1170" s="142" t="s">
        <v>180</v>
      </c>
      <c r="D1170" s="142" t="s">
        <v>180</v>
      </c>
      <c r="E1170" s="142" t="s">
        <v>149</v>
      </c>
      <c r="F1170" s="140"/>
      <c r="G1170" s="81">
        <f t="shared" si="61"/>
        <v>0</v>
      </c>
      <c r="H1170" s="81">
        <f t="shared" si="61"/>
        <v>0</v>
      </c>
      <c r="I1170" s="30" t="e">
        <f t="shared" si="60"/>
        <v>#DIV/0!</v>
      </c>
    </row>
    <row r="1171" spans="1:9" ht="18" hidden="1" customHeight="1">
      <c r="A1171" s="95" t="s">
        <v>164</v>
      </c>
      <c r="B1171" s="142"/>
      <c r="C1171" s="142" t="s">
        <v>180</v>
      </c>
      <c r="D1171" s="142" t="s">
        <v>180</v>
      </c>
      <c r="E1171" s="142" t="s">
        <v>149</v>
      </c>
      <c r="F1171" s="140" t="s">
        <v>165</v>
      </c>
      <c r="G1171" s="81"/>
      <c r="H1171" s="81"/>
      <c r="I1171" s="30" t="e">
        <f t="shared" si="60"/>
        <v>#DIV/0!</v>
      </c>
    </row>
    <row r="1172" spans="1:9" ht="16.5" hidden="1" customHeight="1">
      <c r="A1172" s="95" t="s">
        <v>932</v>
      </c>
      <c r="B1172" s="109"/>
      <c r="C1172" s="142" t="s">
        <v>180</v>
      </c>
      <c r="D1172" s="142" t="s">
        <v>180</v>
      </c>
      <c r="E1172" s="142" t="s">
        <v>933</v>
      </c>
      <c r="F1172" s="141"/>
      <c r="G1172" s="81">
        <f>SUM(G1173)</f>
        <v>0</v>
      </c>
      <c r="H1172" s="81">
        <f>SUM(H1173)</f>
        <v>0</v>
      </c>
      <c r="I1172" s="30" t="e">
        <f t="shared" si="60"/>
        <v>#DIV/0!</v>
      </c>
    </row>
    <row r="1173" spans="1:9" ht="47.25" hidden="1" customHeight="1">
      <c r="A1173" s="126" t="s">
        <v>400</v>
      </c>
      <c r="B1173" s="154"/>
      <c r="C1173" s="154" t="s">
        <v>180</v>
      </c>
      <c r="D1173" s="154" t="s">
        <v>180</v>
      </c>
      <c r="E1173" s="154" t="s">
        <v>401</v>
      </c>
      <c r="F1173" s="144"/>
      <c r="G1173" s="82">
        <f>SUM(G1174)</f>
        <v>0</v>
      </c>
      <c r="H1173" s="82">
        <f>SUM(H1174)</f>
        <v>0</v>
      </c>
      <c r="I1173" s="30" t="e">
        <f t="shared" si="60"/>
        <v>#DIV/0!</v>
      </c>
    </row>
    <row r="1174" spans="1:9" ht="22.5" hidden="1" customHeight="1">
      <c r="A1174" s="126" t="s">
        <v>441</v>
      </c>
      <c r="B1174" s="154"/>
      <c r="C1174" s="154" t="s">
        <v>180</v>
      </c>
      <c r="D1174" s="154" t="s">
        <v>180</v>
      </c>
      <c r="E1174" s="154" t="s">
        <v>401</v>
      </c>
      <c r="F1174" s="144" t="s">
        <v>442</v>
      </c>
      <c r="G1174" s="82"/>
      <c r="H1174" s="82"/>
      <c r="I1174" s="30" t="e">
        <f t="shared" si="60"/>
        <v>#DIV/0!</v>
      </c>
    </row>
    <row r="1175" spans="1:9" ht="22.5" customHeight="1">
      <c r="A1175" s="97" t="s">
        <v>200</v>
      </c>
      <c r="B1175" s="168"/>
      <c r="C1175" s="142" t="s">
        <v>180</v>
      </c>
      <c r="D1175" s="142" t="s">
        <v>180</v>
      </c>
      <c r="E1175" s="142" t="s">
        <v>201</v>
      </c>
      <c r="F1175" s="141"/>
      <c r="G1175" s="81">
        <f>SUM(G1180)+G1176+G1178</f>
        <v>62.5</v>
      </c>
      <c r="H1175" s="81">
        <f>SUM(H1180)+H1176+H1178</f>
        <v>62.5</v>
      </c>
      <c r="I1175" s="30">
        <f t="shared" si="60"/>
        <v>100</v>
      </c>
    </row>
    <row r="1176" spans="1:9" ht="22.5" hidden="1" customHeight="1">
      <c r="A1176" s="98" t="s">
        <v>386</v>
      </c>
      <c r="B1176" s="168"/>
      <c r="C1176" s="142" t="s">
        <v>180</v>
      </c>
      <c r="D1176" s="142" t="s">
        <v>180</v>
      </c>
      <c r="E1176" s="142" t="s">
        <v>597</v>
      </c>
      <c r="F1176" s="141"/>
      <c r="G1176" s="81"/>
      <c r="H1176" s="81"/>
      <c r="I1176" s="30" t="e">
        <f t="shared" si="60"/>
        <v>#DIV/0!</v>
      </c>
    </row>
    <row r="1177" spans="1:9" ht="15" hidden="1">
      <c r="A1177" s="97" t="s">
        <v>49</v>
      </c>
      <c r="B1177" s="168"/>
      <c r="C1177" s="142" t="s">
        <v>180</v>
      </c>
      <c r="D1177" s="142" t="s">
        <v>180</v>
      </c>
      <c r="E1177" s="142" t="s">
        <v>597</v>
      </c>
      <c r="F1177" s="141" t="s">
        <v>498</v>
      </c>
      <c r="G1177" s="81"/>
      <c r="H1177" s="81"/>
      <c r="I1177" s="30" t="e">
        <f t="shared" si="60"/>
        <v>#DIV/0!</v>
      </c>
    </row>
    <row r="1178" spans="1:9" ht="22.5" hidden="1" customHeight="1">
      <c r="A1178" s="97" t="s">
        <v>890</v>
      </c>
      <c r="B1178" s="168"/>
      <c r="C1178" s="142" t="s">
        <v>180</v>
      </c>
      <c r="D1178" s="142" t="s">
        <v>180</v>
      </c>
      <c r="E1178" s="142" t="s">
        <v>156</v>
      </c>
      <c r="F1178" s="141"/>
      <c r="G1178" s="81">
        <f>SUM(G1179)</f>
        <v>0</v>
      </c>
      <c r="H1178" s="81">
        <f>SUM(H1179)</f>
        <v>0</v>
      </c>
      <c r="I1178" s="30" t="e">
        <f t="shared" si="60"/>
        <v>#DIV/0!</v>
      </c>
    </row>
    <row r="1179" spans="1:9" ht="22.5" hidden="1" customHeight="1">
      <c r="A1179" s="97" t="s">
        <v>441</v>
      </c>
      <c r="B1179" s="168"/>
      <c r="C1179" s="142" t="s">
        <v>180</v>
      </c>
      <c r="D1179" s="142" t="s">
        <v>180</v>
      </c>
      <c r="E1179" s="142" t="s">
        <v>156</v>
      </c>
      <c r="F1179" s="141" t="s">
        <v>442</v>
      </c>
      <c r="G1179" s="81"/>
      <c r="H1179" s="81"/>
      <c r="I1179" s="30" t="e">
        <f t="shared" si="60"/>
        <v>#DIV/0!</v>
      </c>
    </row>
    <row r="1180" spans="1:9" ht="42" customHeight="1">
      <c r="A1180" s="98" t="s">
        <v>708</v>
      </c>
      <c r="B1180" s="168"/>
      <c r="C1180" s="142" t="s">
        <v>180</v>
      </c>
      <c r="D1180" s="142" t="s">
        <v>180</v>
      </c>
      <c r="E1180" s="142" t="s">
        <v>707</v>
      </c>
      <c r="F1180" s="141"/>
      <c r="G1180" s="81">
        <f>SUM(G1181:G1182)</f>
        <v>62.5</v>
      </c>
      <c r="H1180" s="81">
        <f>SUM(H1181:H1182)</f>
        <v>62.5</v>
      </c>
      <c r="I1180" s="30">
        <f t="shared" si="60"/>
        <v>100</v>
      </c>
    </row>
    <row r="1181" spans="1:9" ht="13.5" hidden="1" customHeight="1">
      <c r="A1181" s="97" t="s">
        <v>441</v>
      </c>
      <c r="B1181" s="168"/>
      <c r="C1181" s="142" t="s">
        <v>180</v>
      </c>
      <c r="D1181" s="142" t="s">
        <v>180</v>
      </c>
      <c r="E1181" s="142" t="s">
        <v>707</v>
      </c>
      <c r="F1181" s="141" t="s">
        <v>442</v>
      </c>
      <c r="G1181" s="81"/>
      <c r="H1181" s="81"/>
      <c r="I1181" s="30" t="e">
        <f t="shared" si="60"/>
        <v>#DIV/0!</v>
      </c>
    </row>
    <row r="1182" spans="1:9" ht="15">
      <c r="A1182" s="97" t="s">
        <v>231</v>
      </c>
      <c r="B1182" s="168"/>
      <c r="C1182" s="142" t="s">
        <v>180</v>
      </c>
      <c r="D1182" s="142" t="s">
        <v>180</v>
      </c>
      <c r="E1182" s="142" t="s">
        <v>707</v>
      </c>
      <c r="F1182" s="141" t="s">
        <v>132</v>
      </c>
      <c r="G1182" s="81">
        <v>62.5</v>
      </c>
      <c r="H1182" s="81">
        <v>62.5</v>
      </c>
      <c r="I1182" s="30">
        <f t="shared" si="60"/>
        <v>100</v>
      </c>
    </row>
    <row r="1183" spans="1:9" ht="22.5" hidden="1" customHeight="1">
      <c r="A1183" s="97" t="s">
        <v>458</v>
      </c>
      <c r="B1183" s="142"/>
      <c r="C1183" s="142" t="s">
        <v>180</v>
      </c>
      <c r="D1183" s="142" t="s">
        <v>603</v>
      </c>
      <c r="E1183" s="142"/>
      <c r="F1183" s="140"/>
      <c r="G1183" s="81">
        <f>SUM(G1184)</f>
        <v>0</v>
      </c>
      <c r="H1183" s="81">
        <f>SUM(H1184)</f>
        <v>0</v>
      </c>
      <c r="I1183" s="30" t="e">
        <f t="shared" si="60"/>
        <v>#DIV/0!</v>
      </c>
    </row>
    <row r="1184" spans="1:9" ht="19.5" hidden="1" customHeight="1">
      <c r="A1184" s="97" t="s">
        <v>200</v>
      </c>
      <c r="B1184" s="168"/>
      <c r="C1184" s="142" t="s">
        <v>180</v>
      </c>
      <c r="D1184" s="142" t="s">
        <v>603</v>
      </c>
      <c r="E1184" s="142" t="s">
        <v>201</v>
      </c>
      <c r="F1184" s="141"/>
      <c r="G1184" s="81">
        <f>SUM(G1185,G1187,G1188,G1189)+G1191</f>
        <v>0</v>
      </c>
      <c r="H1184" s="81">
        <f>SUM(H1185,H1187,H1188,H1189)+H1191</f>
        <v>0</v>
      </c>
      <c r="I1184" s="30" t="e">
        <f t="shared" si="60"/>
        <v>#DIV/0!</v>
      </c>
    </row>
    <row r="1185" spans="1:9" ht="18.75" hidden="1" customHeight="1">
      <c r="A1185" s="98" t="s">
        <v>247</v>
      </c>
      <c r="B1185" s="168"/>
      <c r="C1185" s="142" t="s">
        <v>180</v>
      </c>
      <c r="D1185" s="142" t="s">
        <v>603</v>
      </c>
      <c r="E1185" s="142" t="s">
        <v>699</v>
      </c>
      <c r="F1185" s="141"/>
      <c r="G1185" s="81">
        <f>SUM(G1186)</f>
        <v>0</v>
      </c>
      <c r="H1185" s="81">
        <f>SUM(H1186)</f>
        <v>0</v>
      </c>
      <c r="I1185" s="30" t="e">
        <f t="shared" si="60"/>
        <v>#DIV/0!</v>
      </c>
    </row>
    <row r="1186" spans="1:9" ht="20.25" hidden="1" customHeight="1">
      <c r="A1186" s="97" t="s">
        <v>441</v>
      </c>
      <c r="B1186" s="168"/>
      <c r="C1186" s="142" t="s">
        <v>180</v>
      </c>
      <c r="D1186" s="142" t="s">
        <v>603</v>
      </c>
      <c r="E1186" s="142" t="s">
        <v>699</v>
      </c>
      <c r="F1186" s="141" t="s">
        <v>442</v>
      </c>
      <c r="G1186" s="81"/>
      <c r="H1186" s="81"/>
      <c r="I1186" s="30" t="e">
        <f t="shared" si="60"/>
        <v>#DIV/0!</v>
      </c>
    </row>
    <row r="1187" spans="1:9" ht="18" hidden="1" customHeight="1">
      <c r="A1187" s="97" t="s">
        <v>701</v>
      </c>
      <c r="B1187" s="168"/>
      <c r="C1187" s="142" t="s">
        <v>180</v>
      </c>
      <c r="D1187" s="142" t="s">
        <v>603</v>
      </c>
      <c r="E1187" s="142" t="s">
        <v>702</v>
      </c>
      <c r="F1187" s="141"/>
      <c r="G1187" s="81"/>
      <c r="H1187" s="81"/>
      <c r="I1187" s="30" t="e">
        <f t="shared" si="60"/>
        <v>#DIV/0!</v>
      </c>
    </row>
    <row r="1188" spans="1:9" ht="28.5" hidden="1">
      <c r="A1188" s="97" t="s">
        <v>703</v>
      </c>
      <c r="B1188" s="168"/>
      <c r="C1188" s="142" t="s">
        <v>180</v>
      </c>
      <c r="D1188" s="142" t="s">
        <v>603</v>
      </c>
      <c r="E1188" s="142" t="s">
        <v>704</v>
      </c>
      <c r="F1188" s="141"/>
      <c r="G1188" s="81"/>
      <c r="H1188" s="81"/>
      <c r="I1188" s="30" t="e">
        <f t="shared" si="60"/>
        <v>#DIV/0!</v>
      </c>
    </row>
    <row r="1189" spans="1:9" ht="19.5" hidden="1" customHeight="1">
      <c r="A1189" s="97" t="s">
        <v>157</v>
      </c>
      <c r="B1189" s="168"/>
      <c r="C1189" s="142" t="s">
        <v>180</v>
      </c>
      <c r="D1189" s="142" t="s">
        <v>603</v>
      </c>
      <c r="E1189" s="142" t="s">
        <v>156</v>
      </c>
      <c r="F1189" s="141"/>
      <c r="G1189" s="81">
        <f>SUM(G1190)</f>
        <v>0</v>
      </c>
      <c r="H1189" s="81">
        <f>SUM(H1190)</f>
        <v>0</v>
      </c>
      <c r="I1189" s="30" t="e">
        <f t="shared" si="60"/>
        <v>#DIV/0!</v>
      </c>
    </row>
    <row r="1190" spans="1:9" s="105" customFormat="1" ht="18.75" hidden="1" customHeight="1">
      <c r="A1190" s="97" t="s">
        <v>441</v>
      </c>
      <c r="B1190" s="168"/>
      <c r="C1190" s="142" t="s">
        <v>180</v>
      </c>
      <c r="D1190" s="142" t="s">
        <v>603</v>
      </c>
      <c r="E1190" s="142" t="s">
        <v>156</v>
      </c>
      <c r="F1190" s="141" t="s">
        <v>442</v>
      </c>
      <c r="G1190" s="81"/>
      <c r="H1190" s="81"/>
      <c r="I1190" s="30" t="e">
        <f t="shared" si="60"/>
        <v>#DIV/0!</v>
      </c>
    </row>
    <row r="1191" spans="1:9" ht="16.5" hidden="1" customHeight="1">
      <c r="A1191" s="97" t="s">
        <v>756</v>
      </c>
      <c r="B1191" s="168"/>
      <c r="C1191" s="142" t="s">
        <v>180</v>
      </c>
      <c r="D1191" s="142" t="s">
        <v>603</v>
      </c>
      <c r="E1191" s="142" t="s">
        <v>757</v>
      </c>
      <c r="F1191" s="141"/>
      <c r="G1191" s="81">
        <f>SUM(G1192)</f>
        <v>0</v>
      </c>
      <c r="H1191" s="81">
        <f>SUM(H1192)</f>
        <v>0</v>
      </c>
      <c r="I1191" s="30" t="e">
        <f t="shared" si="60"/>
        <v>#DIV/0!</v>
      </c>
    </row>
    <row r="1192" spans="1:9" ht="19.5" hidden="1" customHeight="1">
      <c r="A1192" s="97" t="s">
        <v>276</v>
      </c>
      <c r="B1192" s="109"/>
      <c r="C1192" s="142" t="s">
        <v>180</v>
      </c>
      <c r="D1192" s="142" t="s">
        <v>603</v>
      </c>
      <c r="E1192" s="142" t="s">
        <v>757</v>
      </c>
      <c r="F1192" s="141" t="s">
        <v>132</v>
      </c>
      <c r="G1192" s="81"/>
      <c r="H1192" s="81"/>
      <c r="I1192" s="30" t="e">
        <f t="shared" si="60"/>
        <v>#DIV/0!</v>
      </c>
    </row>
    <row r="1193" spans="1:9" ht="19.5" customHeight="1">
      <c r="A1193" s="115" t="s">
        <v>490</v>
      </c>
      <c r="B1193" s="163"/>
      <c r="C1193" s="154" t="s">
        <v>766</v>
      </c>
      <c r="D1193" s="154"/>
      <c r="E1193" s="154"/>
      <c r="F1193" s="144"/>
      <c r="G1193" s="82">
        <f>SUM(G1194+G1210+G1206)</f>
        <v>12217.5</v>
      </c>
      <c r="H1193" s="82">
        <f>SUM(H1194+H1210+H1206)</f>
        <v>12133.599999999999</v>
      </c>
      <c r="I1193" s="30">
        <f t="shared" si="60"/>
        <v>99.313280130959683</v>
      </c>
    </row>
    <row r="1194" spans="1:9" ht="18.75" customHeight="1">
      <c r="A1194" s="95" t="s">
        <v>471</v>
      </c>
      <c r="B1194" s="138"/>
      <c r="C1194" s="138" t="s">
        <v>766</v>
      </c>
      <c r="D1194" s="138" t="s">
        <v>836</v>
      </c>
      <c r="E1194" s="138"/>
      <c r="F1194" s="139"/>
      <c r="G1194" s="81">
        <f>SUM(G1195,G1197,G1200)</f>
        <v>8777.5</v>
      </c>
      <c r="H1194" s="81">
        <f>SUM(H1195,H1197,H1200)</f>
        <v>8693.5999999999985</v>
      </c>
      <c r="I1194" s="30">
        <f t="shared" si="60"/>
        <v>99.044146966676138</v>
      </c>
    </row>
    <row r="1195" spans="1:9" ht="9.75" hidden="1" customHeight="1">
      <c r="A1195" s="97" t="s">
        <v>728</v>
      </c>
      <c r="B1195" s="138"/>
      <c r="C1195" s="138" t="s">
        <v>603</v>
      </c>
      <c r="D1195" s="138" t="s">
        <v>193</v>
      </c>
      <c r="E1195" s="142" t="s">
        <v>729</v>
      </c>
      <c r="F1195" s="140"/>
      <c r="G1195" s="81">
        <f>SUM(G1196)</f>
        <v>0</v>
      </c>
      <c r="H1195" s="81">
        <f>SUM(H1196)</f>
        <v>0</v>
      </c>
      <c r="I1195" s="30" t="e">
        <f t="shared" si="60"/>
        <v>#DIV/0!</v>
      </c>
    </row>
    <row r="1196" spans="1:9" ht="12" hidden="1" customHeight="1">
      <c r="A1196" s="95" t="s">
        <v>164</v>
      </c>
      <c r="B1196" s="138"/>
      <c r="C1196" s="138" t="s">
        <v>603</v>
      </c>
      <c r="D1196" s="138" t="s">
        <v>193</v>
      </c>
      <c r="E1196" s="142" t="s">
        <v>729</v>
      </c>
      <c r="F1196" s="140" t="s">
        <v>165</v>
      </c>
      <c r="G1196" s="81">
        <f>50.3-50.3</f>
        <v>0</v>
      </c>
      <c r="H1196" s="81">
        <f>50.3-50.3</f>
        <v>0</v>
      </c>
      <c r="I1196" s="30" t="e">
        <f t="shared" si="60"/>
        <v>#DIV/0!</v>
      </c>
    </row>
    <row r="1197" spans="1:9" ht="30" customHeight="1">
      <c r="A1197" s="95" t="s">
        <v>907</v>
      </c>
      <c r="B1197" s="138"/>
      <c r="C1197" s="138" t="s">
        <v>766</v>
      </c>
      <c r="D1197" s="138" t="s">
        <v>836</v>
      </c>
      <c r="E1197" s="138" t="s">
        <v>908</v>
      </c>
      <c r="F1197" s="140"/>
      <c r="G1197" s="81">
        <f>SUM(G1198)</f>
        <v>3854</v>
      </c>
      <c r="H1197" s="81">
        <f>SUM(H1198)</f>
        <v>3791.8</v>
      </c>
      <c r="I1197" s="30">
        <f t="shared" si="60"/>
        <v>98.386092371562015</v>
      </c>
    </row>
    <row r="1198" spans="1:9" ht="28.5">
      <c r="A1198" s="95" t="s">
        <v>48</v>
      </c>
      <c r="B1198" s="138"/>
      <c r="C1198" s="138" t="s">
        <v>766</v>
      </c>
      <c r="D1198" s="138" t="s">
        <v>836</v>
      </c>
      <c r="E1198" s="138" t="s">
        <v>983</v>
      </c>
      <c r="F1198" s="140"/>
      <c r="G1198" s="81">
        <f>SUM(G1199)</f>
        <v>3854</v>
      </c>
      <c r="H1198" s="81">
        <f>SUM(H1199)</f>
        <v>3791.8</v>
      </c>
      <c r="I1198" s="30">
        <f t="shared" si="60"/>
        <v>98.386092371562015</v>
      </c>
    </row>
    <row r="1199" spans="1:9" ht="24" customHeight="1">
      <c r="A1199" s="97" t="s">
        <v>49</v>
      </c>
      <c r="B1199" s="138"/>
      <c r="C1199" s="138" t="s">
        <v>766</v>
      </c>
      <c r="D1199" s="138" t="s">
        <v>836</v>
      </c>
      <c r="E1199" s="138" t="s">
        <v>983</v>
      </c>
      <c r="F1199" s="139" t="s">
        <v>498</v>
      </c>
      <c r="G1199" s="81">
        <v>3854</v>
      </c>
      <c r="H1199" s="81">
        <v>3791.8</v>
      </c>
      <c r="I1199" s="30">
        <f t="shared" si="60"/>
        <v>98.386092371562015</v>
      </c>
    </row>
    <row r="1200" spans="1:9" ht="24" customHeight="1">
      <c r="A1200" s="97" t="s">
        <v>200</v>
      </c>
      <c r="B1200" s="138"/>
      <c r="C1200" s="138" t="s">
        <v>766</v>
      </c>
      <c r="D1200" s="138" t="s">
        <v>836</v>
      </c>
      <c r="E1200" s="158" t="s">
        <v>201</v>
      </c>
      <c r="F1200" s="139"/>
      <c r="G1200" s="81">
        <f>SUM(G1201)+G1204</f>
        <v>4923.5</v>
      </c>
      <c r="H1200" s="81">
        <f>SUM(H1201)+H1204</f>
        <v>4901.7999999999993</v>
      </c>
      <c r="I1200" s="30">
        <f t="shared" si="60"/>
        <v>99.559256626383657</v>
      </c>
    </row>
    <row r="1201" spans="1:9" ht="34.5" customHeight="1">
      <c r="A1201" s="95" t="s">
        <v>608</v>
      </c>
      <c r="B1201" s="138"/>
      <c r="C1201" s="138" t="s">
        <v>766</v>
      </c>
      <c r="D1201" s="138" t="s">
        <v>836</v>
      </c>
      <c r="E1201" s="158" t="s">
        <v>158</v>
      </c>
      <c r="F1201" s="139"/>
      <c r="G1201" s="81">
        <f>SUM(G1202:G1203)</f>
        <v>4353.6000000000004</v>
      </c>
      <c r="H1201" s="81">
        <f>SUM(H1202:H1203)</f>
        <v>4331.8999999999996</v>
      </c>
      <c r="I1201" s="30">
        <f t="shared" si="60"/>
        <v>99.501561925762573</v>
      </c>
    </row>
    <row r="1202" spans="1:9" ht="30.75" customHeight="1">
      <c r="A1202" s="95" t="s">
        <v>111</v>
      </c>
      <c r="B1202" s="138"/>
      <c r="C1202" s="138" t="s">
        <v>766</v>
      </c>
      <c r="D1202" s="138" t="s">
        <v>836</v>
      </c>
      <c r="E1202" s="158" t="s">
        <v>158</v>
      </c>
      <c r="F1202" s="139" t="s">
        <v>569</v>
      </c>
      <c r="G1202" s="81">
        <v>4353.6000000000004</v>
      </c>
      <c r="H1202" s="81">
        <v>4331.8999999999996</v>
      </c>
      <c r="I1202" s="30">
        <f t="shared" si="60"/>
        <v>99.501561925762573</v>
      </c>
    </row>
    <row r="1203" spans="1:9" ht="15" hidden="1">
      <c r="A1203" s="97" t="s">
        <v>231</v>
      </c>
      <c r="B1203" s="138"/>
      <c r="C1203" s="138" t="s">
        <v>766</v>
      </c>
      <c r="D1203" s="138" t="s">
        <v>836</v>
      </c>
      <c r="E1203" s="158" t="s">
        <v>158</v>
      </c>
      <c r="F1203" s="139" t="s">
        <v>132</v>
      </c>
      <c r="G1203" s="81"/>
      <c r="H1203" s="81"/>
      <c r="I1203" s="30" t="e">
        <f t="shared" ref="I1203:I1266" si="62">SUM(H1203/G1203*100)</f>
        <v>#DIV/0!</v>
      </c>
    </row>
    <row r="1204" spans="1:9" ht="36.75" customHeight="1">
      <c r="A1204" s="95" t="s">
        <v>246</v>
      </c>
      <c r="B1204" s="138"/>
      <c r="C1204" s="138" t="s">
        <v>766</v>
      </c>
      <c r="D1204" s="138" t="s">
        <v>836</v>
      </c>
      <c r="E1204" s="158" t="s">
        <v>757</v>
      </c>
      <c r="F1204" s="139"/>
      <c r="G1204" s="81">
        <f>SUM(G1205)</f>
        <v>569.9</v>
      </c>
      <c r="H1204" s="81">
        <f>SUM(H1205)</f>
        <v>569.9</v>
      </c>
      <c r="I1204" s="30">
        <f t="shared" si="62"/>
        <v>100</v>
      </c>
    </row>
    <row r="1205" spans="1:9" ht="24" customHeight="1">
      <c r="A1205" s="97" t="s">
        <v>231</v>
      </c>
      <c r="B1205" s="138"/>
      <c r="C1205" s="138" t="s">
        <v>766</v>
      </c>
      <c r="D1205" s="138" t="s">
        <v>836</v>
      </c>
      <c r="E1205" s="158" t="s">
        <v>757</v>
      </c>
      <c r="F1205" s="139" t="s">
        <v>132</v>
      </c>
      <c r="G1205" s="81">
        <v>569.9</v>
      </c>
      <c r="H1205" s="81">
        <v>569.9</v>
      </c>
      <c r="I1205" s="30">
        <f t="shared" si="62"/>
        <v>100</v>
      </c>
    </row>
    <row r="1206" spans="1:9" ht="21.75" customHeight="1">
      <c r="A1206" s="95" t="s">
        <v>273</v>
      </c>
      <c r="B1206" s="138"/>
      <c r="C1206" s="138" t="s">
        <v>766</v>
      </c>
      <c r="D1206" s="138" t="s">
        <v>838</v>
      </c>
      <c r="E1206" s="142"/>
      <c r="F1206" s="140"/>
      <c r="G1206" s="81">
        <f t="shared" ref="G1206:H1208" si="63">SUM(G1207)</f>
        <v>3440</v>
      </c>
      <c r="H1206" s="81">
        <f t="shared" si="63"/>
        <v>3440</v>
      </c>
      <c r="I1206" s="30">
        <f t="shared" si="62"/>
        <v>100</v>
      </c>
    </row>
    <row r="1207" spans="1:9" ht="15">
      <c r="A1207" s="95" t="s">
        <v>932</v>
      </c>
      <c r="B1207" s="138"/>
      <c r="C1207" s="138" t="s">
        <v>766</v>
      </c>
      <c r="D1207" s="138" t="s">
        <v>838</v>
      </c>
      <c r="E1207" s="138" t="s">
        <v>933</v>
      </c>
      <c r="F1207" s="140"/>
      <c r="G1207" s="81">
        <f t="shared" si="63"/>
        <v>3440</v>
      </c>
      <c r="H1207" s="81">
        <f t="shared" si="63"/>
        <v>3440</v>
      </c>
      <c r="I1207" s="30">
        <f t="shared" si="62"/>
        <v>100</v>
      </c>
    </row>
    <row r="1208" spans="1:9" ht="37.5" customHeight="1">
      <c r="A1208" s="95" t="s">
        <v>274</v>
      </c>
      <c r="B1208" s="138"/>
      <c r="C1208" s="138" t="s">
        <v>766</v>
      </c>
      <c r="D1208" s="138" t="s">
        <v>838</v>
      </c>
      <c r="E1208" s="138" t="s">
        <v>566</v>
      </c>
      <c r="F1208" s="140"/>
      <c r="G1208" s="81">
        <f t="shared" si="63"/>
        <v>3440</v>
      </c>
      <c r="H1208" s="81">
        <f t="shared" si="63"/>
        <v>3440</v>
      </c>
      <c r="I1208" s="30">
        <f t="shared" si="62"/>
        <v>100</v>
      </c>
    </row>
    <row r="1209" spans="1:9" ht="20.25" customHeight="1">
      <c r="A1209" s="97" t="s">
        <v>231</v>
      </c>
      <c r="B1209" s="138"/>
      <c r="C1209" s="138" t="s">
        <v>766</v>
      </c>
      <c r="D1209" s="138" t="s">
        <v>838</v>
      </c>
      <c r="E1209" s="138" t="s">
        <v>566</v>
      </c>
      <c r="F1209" s="139" t="s">
        <v>132</v>
      </c>
      <c r="G1209" s="81">
        <v>3440</v>
      </c>
      <c r="H1209" s="81">
        <v>3440</v>
      </c>
      <c r="I1209" s="30">
        <f t="shared" si="62"/>
        <v>100</v>
      </c>
    </row>
    <row r="1210" spans="1:9" ht="22.5" hidden="1" customHeight="1">
      <c r="A1210" s="95" t="s">
        <v>472</v>
      </c>
      <c r="B1210" s="138"/>
      <c r="C1210" s="138" t="s">
        <v>766</v>
      </c>
      <c r="D1210" s="138" t="s">
        <v>204</v>
      </c>
      <c r="E1210" s="142"/>
      <c r="F1210" s="140"/>
      <c r="G1210" s="81">
        <f>SUM(G1211+G1217+G1219)+G1214</f>
        <v>0</v>
      </c>
      <c r="H1210" s="81">
        <f>SUM(H1211+H1217+H1219)+H1214</f>
        <v>0</v>
      </c>
      <c r="I1210" s="30" t="e">
        <f t="shared" si="62"/>
        <v>#DIV/0!</v>
      </c>
    </row>
    <row r="1211" spans="1:9" ht="21.75" hidden="1" customHeight="1">
      <c r="A1211" s="95" t="s">
        <v>160</v>
      </c>
      <c r="B1211" s="138"/>
      <c r="C1211" s="138" t="s">
        <v>766</v>
      </c>
      <c r="D1211" s="138" t="s">
        <v>204</v>
      </c>
      <c r="E1211" s="138" t="s">
        <v>161</v>
      </c>
      <c r="F1211" s="140"/>
      <c r="G1211" s="81">
        <f>SUM(G1212)</f>
        <v>0</v>
      </c>
      <c r="H1211" s="81">
        <f>SUM(H1212)</f>
        <v>0</v>
      </c>
      <c r="I1211" s="30" t="e">
        <f t="shared" si="62"/>
        <v>#DIV/0!</v>
      </c>
    </row>
    <row r="1212" spans="1:9" ht="43.5" hidden="1" customHeight="1">
      <c r="A1212" s="95" t="s">
        <v>168</v>
      </c>
      <c r="B1212" s="138"/>
      <c r="C1212" s="138" t="s">
        <v>766</v>
      </c>
      <c r="D1212" s="138" t="s">
        <v>204</v>
      </c>
      <c r="E1212" s="138" t="s">
        <v>170</v>
      </c>
      <c r="F1212" s="140"/>
      <c r="G1212" s="81">
        <f>SUM(G1213)</f>
        <v>0</v>
      </c>
      <c r="H1212" s="81">
        <f>SUM(H1213)</f>
        <v>0</v>
      </c>
      <c r="I1212" s="30" t="e">
        <f t="shared" si="62"/>
        <v>#DIV/0!</v>
      </c>
    </row>
    <row r="1213" spans="1:9" ht="21" hidden="1" customHeight="1">
      <c r="A1213" s="95" t="s">
        <v>164</v>
      </c>
      <c r="B1213" s="138"/>
      <c r="C1213" s="138" t="s">
        <v>766</v>
      </c>
      <c r="D1213" s="138" t="s">
        <v>204</v>
      </c>
      <c r="E1213" s="138" t="s">
        <v>170</v>
      </c>
      <c r="F1213" s="139" t="s">
        <v>165</v>
      </c>
      <c r="G1213" s="81"/>
      <c r="H1213" s="81"/>
      <c r="I1213" s="30" t="e">
        <f t="shared" si="62"/>
        <v>#DIV/0!</v>
      </c>
    </row>
    <row r="1214" spans="1:9" ht="15" hidden="1">
      <c r="A1214" s="97" t="s">
        <v>200</v>
      </c>
      <c r="B1214" s="138"/>
      <c r="C1214" s="138" t="s">
        <v>766</v>
      </c>
      <c r="D1214" s="138" t="s">
        <v>204</v>
      </c>
      <c r="E1214" s="158" t="s">
        <v>201</v>
      </c>
      <c r="F1214" s="139"/>
      <c r="G1214" s="81">
        <f>SUM(G1215)</f>
        <v>0</v>
      </c>
      <c r="H1214" s="81">
        <f>SUM(H1215)</f>
        <v>0</v>
      </c>
      <c r="I1214" s="30" t="e">
        <f t="shared" si="62"/>
        <v>#DIV/0!</v>
      </c>
    </row>
    <row r="1215" spans="1:9" ht="42.75" hidden="1">
      <c r="A1215" s="98" t="s">
        <v>386</v>
      </c>
      <c r="B1215" s="138"/>
      <c r="C1215" s="138" t="s">
        <v>766</v>
      </c>
      <c r="D1215" s="138" t="s">
        <v>204</v>
      </c>
      <c r="E1215" s="142" t="s">
        <v>597</v>
      </c>
      <c r="F1215" s="139"/>
      <c r="G1215" s="81">
        <f>SUM(G1216)</f>
        <v>0</v>
      </c>
      <c r="H1215" s="81">
        <f>SUM(H1216)</f>
        <v>0</v>
      </c>
      <c r="I1215" s="30" t="e">
        <f t="shared" si="62"/>
        <v>#DIV/0!</v>
      </c>
    </row>
    <row r="1216" spans="1:9" ht="15" hidden="1">
      <c r="A1216" s="95" t="s">
        <v>164</v>
      </c>
      <c r="B1216" s="138"/>
      <c r="C1216" s="138" t="s">
        <v>766</v>
      </c>
      <c r="D1216" s="138" t="s">
        <v>204</v>
      </c>
      <c r="E1216" s="142" t="s">
        <v>597</v>
      </c>
      <c r="F1216" s="139" t="s">
        <v>165</v>
      </c>
      <c r="G1216" s="81"/>
      <c r="H1216" s="81"/>
      <c r="I1216" s="30" t="e">
        <f t="shared" si="62"/>
        <v>#DIV/0!</v>
      </c>
    </row>
    <row r="1217" spans="1:9" ht="15" hidden="1">
      <c r="A1217" s="97" t="s">
        <v>728</v>
      </c>
      <c r="B1217" s="138"/>
      <c r="C1217" s="138" t="s">
        <v>766</v>
      </c>
      <c r="D1217" s="138" t="s">
        <v>204</v>
      </c>
      <c r="E1217" s="142" t="s">
        <v>729</v>
      </c>
      <c r="F1217" s="140"/>
      <c r="G1217" s="81">
        <f>SUM(G1218)</f>
        <v>0</v>
      </c>
      <c r="H1217" s="81">
        <f>SUM(H1218)</f>
        <v>0</v>
      </c>
      <c r="I1217" s="30" t="e">
        <f t="shared" si="62"/>
        <v>#DIV/0!</v>
      </c>
    </row>
    <row r="1218" spans="1:9" ht="19.5" hidden="1" customHeight="1">
      <c r="A1218" s="95" t="s">
        <v>164</v>
      </c>
      <c r="B1218" s="138"/>
      <c r="C1218" s="138" t="s">
        <v>766</v>
      </c>
      <c r="D1218" s="138" t="s">
        <v>204</v>
      </c>
      <c r="E1218" s="142" t="s">
        <v>729</v>
      </c>
      <c r="F1218" s="140" t="s">
        <v>165</v>
      </c>
      <c r="G1218" s="81"/>
      <c r="H1218" s="81"/>
      <c r="I1218" s="30" t="e">
        <f t="shared" si="62"/>
        <v>#DIV/0!</v>
      </c>
    </row>
    <row r="1219" spans="1:9" ht="1.5" hidden="1" customHeight="1">
      <c r="A1219" s="119" t="s">
        <v>175</v>
      </c>
      <c r="B1219" s="138"/>
      <c r="C1219" s="138" t="s">
        <v>766</v>
      </c>
      <c r="D1219" s="138" t="s">
        <v>204</v>
      </c>
      <c r="E1219" s="138" t="s">
        <v>176</v>
      </c>
      <c r="F1219" s="141"/>
      <c r="G1219" s="81">
        <f>SUM(G1221)</f>
        <v>0</v>
      </c>
      <c r="H1219" s="81">
        <f>SUM(H1221)</f>
        <v>0</v>
      </c>
      <c r="I1219" s="30" t="e">
        <f t="shared" si="62"/>
        <v>#DIV/0!</v>
      </c>
    </row>
    <row r="1220" spans="1:9" ht="19.5" hidden="1" customHeight="1">
      <c r="A1220" s="119" t="s">
        <v>177</v>
      </c>
      <c r="B1220" s="138"/>
      <c r="C1220" s="138" t="s">
        <v>766</v>
      </c>
      <c r="D1220" s="138" t="s">
        <v>204</v>
      </c>
      <c r="E1220" s="138" t="s">
        <v>501</v>
      </c>
      <c r="F1220" s="141"/>
      <c r="G1220" s="81">
        <f>SUM(G1221)</f>
        <v>0</v>
      </c>
      <c r="H1220" s="81">
        <f>SUM(H1221)</f>
        <v>0</v>
      </c>
      <c r="I1220" s="30" t="e">
        <f t="shared" si="62"/>
        <v>#DIV/0!</v>
      </c>
    </row>
    <row r="1221" spans="1:9" ht="19.5" hidden="1" customHeight="1">
      <c r="A1221" s="95" t="s">
        <v>164</v>
      </c>
      <c r="B1221" s="138"/>
      <c r="C1221" s="138" t="s">
        <v>766</v>
      </c>
      <c r="D1221" s="138" t="s">
        <v>204</v>
      </c>
      <c r="E1221" s="138" t="s">
        <v>501</v>
      </c>
      <c r="F1221" s="141" t="s">
        <v>165</v>
      </c>
      <c r="G1221" s="81"/>
      <c r="H1221" s="81"/>
      <c r="I1221" s="30" t="e">
        <f t="shared" si="62"/>
        <v>#DIV/0!</v>
      </c>
    </row>
    <row r="1222" spans="1:9" ht="19.5" hidden="1" customHeight="1">
      <c r="A1222" s="156" t="s">
        <v>522</v>
      </c>
      <c r="B1222" s="157" t="s">
        <v>523</v>
      </c>
      <c r="C1222" s="158"/>
      <c r="D1222" s="158"/>
      <c r="E1222" s="158"/>
      <c r="F1222" s="159"/>
      <c r="G1222" s="183">
        <f>SUM(G1223)</f>
        <v>0</v>
      </c>
      <c r="H1222" s="183">
        <f>SUM(H1223)</f>
        <v>0</v>
      </c>
      <c r="I1222" s="30" t="e">
        <f t="shared" si="62"/>
        <v>#DIV/0!</v>
      </c>
    </row>
    <row r="1223" spans="1:9" ht="19.5" hidden="1" customHeight="1">
      <c r="A1223" s="95" t="s">
        <v>214</v>
      </c>
      <c r="B1223" s="138"/>
      <c r="C1223" s="138" t="s">
        <v>167</v>
      </c>
      <c r="D1223" s="138"/>
      <c r="E1223" s="138"/>
      <c r="F1223" s="139"/>
      <c r="G1223" s="81">
        <f>SUM(G1224)</f>
        <v>0</v>
      </c>
      <c r="H1223" s="81">
        <f>SUM(H1224)</f>
        <v>0</v>
      </c>
      <c r="I1223" s="30" t="e">
        <f t="shared" si="62"/>
        <v>#DIV/0!</v>
      </c>
    </row>
    <row r="1224" spans="1:9" ht="15" hidden="1">
      <c r="A1224" s="95" t="s">
        <v>215</v>
      </c>
      <c r="B1224" s="138"/>
      <c r="C1224" s="138" t="s">
        <v>167</v>
      </c>
      <c r="D1224" s="138" t="s">
        <v>838</v>
      </c>
      <c r="E1224" s="138"/>
      <c r="F1224" s="139"/>
      <c r="G1224" s="81">
        <f>SUM(G1225+G1242)</f>
        <v>0</v>
      </c>
      <c r="H1224" s="81">
        <f>SUM(H1225+H1242)</f>
        <v>0</v>
      </c>
      <c r="I1224" s="30" t="e">
        <f t="shared" si="62"/>
        <v>#DIV/0!</v>
      </c>
    </row>
    <row r="1225" spans="1:9" ht="19.5" hidden="1" customHeight="1">
      <c r="A1225" s="119" t="s">
        <v>216</v>
      </c>
      <c r="B1225" s="138"/>
      <c r="C1225" s="138" t="s">
        <v>167</v>
      </c>
      <c r="D1225" s="138" t="s">
        <v>838</v>
      </c>
      <c r="E1225" s="158" t="s">
        <v>511</v>
      </c>
      <c r="F1225" s="139"/>
      <c r="G1225" s="81">
        <f>SUM(G1226+G1228+G1230+G1232+G1235+G1240)</f>
        <v>0</v>
      </c>
      <c r="H1225" s="81">
        <f>SUM(H1226+H1228+H1230+H1232+H1235+H1240)</f>
        <v>0</v>
      </c>
      <c r="I1225" s="30" t="e">
        <f t="shared" si="62"/>
        <v>#DIV/0!</v>
      </c>
    </row>
    <row r="1226" spans="1:9" ht="19.5" hidden="1" customHeight="1">
      <c r="A1226" s="119" t="s">
        <v>512</v>
      </c>
      <c r="B1226" s="138"/>
      <c r="C1226" s="138" t="s">
        <v>167</v>
      </c>
      <c r="D1226" s="138" t="s">
        <v>838</v>
      </c>
      <c r="E1226" s="158" t="s">
        <v>513</v>
      </c>
      <c r="F1226" s="139"/>
      <c r="G1226" s="81">
        <f>SUM(G1227)</f>
        <v>0</v>
      </c>
      <c r="H1226" s="81">
        <f>SUM(H1227)</f>
        <v>0</v>
      </c>
      <c r="I1226" s="30" t="e">
        <f t="shared" si="62"/>
        <v>#DIV/0!</v>
      </c>
    </row>
    <row r="1227" spans="1:9" ht="19.5" hidden="1" customHeight="1">
      <c r="A1227" s="119" t="s">
        <v>985</v>
      </c>
      <c r="B1227" s="138"/>
      <c r="C1227" s="138" t="s">
        <v>167</v>
      </c>
      <c r="D1227" s="138" t="s">
        <v>838</v>
      </c>
      <c r="E1227" s="158" t="s">
        <v>513</v>
      </c>
      <c r="F1227" s="139" t="s">
        <v>986</v>
      </c>
      <c r="G1227" s="81"/>
      <c r="H1227" s="81"/>
      <c r="I1227" s="30" t="e">
        <f t="shared" si="62"/>
        <v>#DIV/0!</v>
      </c>
    </row>
    <row r="1228" spans="1:9" ht="18.75" hidden="1" customHeight="1">
      <c r="A1228" s="119" t="s">
        <v>987</v>
      </c>
      <c r="B1228" s="138"/>
      <c r="C1228" s="138" t="s">
        <v>167</v>
      </c>
      <c r="D1228" s="138" t="s">
        <v>838</v>
      </c>
      <c r="E1228" s="158" t="s">
        <v>988</v>
      </c>
      <c r="F1228" s="139"/>
      <c r="G1228" s="81">
        <f>SUM(G1229)</f>
        <v>0</v>
      </c>
      <c r="H1228" s="81">
        <f>SUM(H1229)</f>
        <v>0</v>
      </c>
      <c r="I1228" s="30" t="e">
        <f t="shared" si="62"/>
        <v>#DIV/0!</v>
      </c>
    </row>
    <row r="1229" spans="1:9" s="36" customFormat="1" ht="28.5" hidden="1">
      <c r="A1229" s="119" t="s">
        <v>985</v>
      </c>
      <c r="B1229" s="138"/>
      <c r="C1229" s="138" t="s">
        <v>167</v>
      </c>
      <c r="D1229" s="138" t="s">
        <v>838</v>
      </c>
      <c r="E1229" s="158" t="s">
        <v>988</v>
      </c>
      <c r="F1229" s="139" t="s">
        <v>986</v>
      </c>
      <c r="G1229" s="81"/>
      <c r="H1229" s="81"/>
      <c r="I1229" s="30" t="e">
        <f t="shared" si="62"/>
        <v>#DIV/0!</v>
      </c>
    </row>
    <row r="1230" spans="1:9" s="36" customFormat="1" ht="19.5" hidden="1" customHeight="1">
      <c r="A1230" s="119" t="s">
        <v>989</v>
      </c>
      <c r="B1230" s="138"/>
      <c r="C1230" s="138" t="s">
        <v>167</v>
      </c>
      <c r="D1230" s="138" t="s">
        <v>838</v>
      </c>
      <c r="E1230" s="158" t="s">
        <v>990</v>
      </c>
      <c r="F1230" s="139"/>
      <c r="G1230" s="81">
        <f>SUM(G1231)</f>
        <v>0</v>
      </c>
      <c r="H1230" s="81">
        <f>SUM(H1231)</f>
        <v>0</v>
      </c>
      <c r="I1230" s="30" t="e">
        <f t="shared" si="62"/>
        <v>#DIV/0!</v>
      </c>
    </row>
    <row r="1231" spans="1:9" s="36" customFormat="1" ht="28.5" hidden="1">
      <c r="A1231" s="119" t="s">
        <v>985</v>
      </c>
      <c r="B1231" s="138"/>
      <c r="C1231" s="138" t="s">
        <v>167</v>
      </c>
      <c r="D1231" s="138" t="s">
        <v>838</v>
      </c>
      <c r="E1231" s="158" t="s">
        <v>990</v>
      </c>
      <c r="F1231" s="139" t="s">
        <v>986</v>
      </c>
      <c r="G1231" s="81"/>
      <c r="H1231" s="81"/>
      <c r="I1231" s="30" t="e">
        <f t="shared" si="62"/>
        <v>#DIV/0!</v>
      </c>
    </row>
    <row r="1232" spans="1:9" s="36" customFormat="1" ht="19.5" hidden="1" customHeight="1">
      <c r="A1232" s="119" t="s">
        <v>991</v>
      </c>
      <c r="B1232" s="138"/>
      <c r="C1232" s="138" t="s">
        <v>167</v>
      </c>
      <c r="D1232" s="138" t="s">
        <v>838</v>
      </c>
      <c r="E1232" s="158" t="s">
        <v>992</v>
      </c>
      <c r="F1232" s="139"/>
      <c r="G1232" s="81">
        <f>SUM(G1233)</f>
        <v>0</v>
      </c>
      <c r="H1232" s="81">
        <f>SUM(H1233)</f>
        <v>0</v>
      </c>
      <c r="I1232" s="30" t="e">
        <f t="shared" si="62"/>
        <v>#DIV/0!</v>
      </c>
    </row>
    <row r="1233" spans="1:9" ht="19.5" hidden="1" customHeight="1">
      <c r="A1233" s="119" t="s">
        <v>581</v>
      </c>
      <c r="B1233" s="138"/>
      <c r="C1233" s="138" t="s">
        <v>167</v>
      </c>
      <c r="D1233" s="138" t="s">
        <v>838</v>
      </c>
      <c r="E1233" s="158" t="s">
        <v>582</v>
      </c>
      <c r="F1233" s="139"/>
      <c r="G1233" s="81">
        <f>SUM(G1234)</f>
        <v>0</v>
      </c>
      <c r="H1233" s="81">
        <f>SUM(H1234)</f>
        <v>0</v>
      </c>
      <c r="I1233" s="30" t="e">
        <f t="shared" si="62"/>
        <v>#DIV/0!</v>
      </c>
    </row>
    <row r="1234" spans="1:9" ht="19.5" hidden="1" customHeight="1">
      <c r="A1234" s="119" t="s">
        <v>985</v>
      </c>
      <c r="B1234" s="138"/>
      <c r="C1234" s="138" t="s">
        <v>167</v>
      </c>
      <c r="D1234" s="138" t="s">
        <v>838</v>
      </c>
      <c r="E1234" s="158" t="s">
        <v>582</v>
      </c>
      <c r="F1234" s="139" t="s">
        <v>986</v>
      </c>
      <c r="G1234" s="81"/>
      <c r="H1234" s="81"/>
      <c r="I1234" s="30" t="e">
        <f t="shared" si="62"/>
        <v>#DIV/0!</v>
      </c>
    </row>
    <row r="1235" spans="1:9" ht="19.5" hidden="1" customHeight="1">
      <c r="A1235" s="95" t="s">
        <v>583</v>
      </c>
      <c r="B1235" s="138"/>
      <c r="C1235" s="138" t="s">
        <v>584</v>
      </c>
      <c r="D1235" s="138" t="s">
        <v>838</v>
      </c>
      <c r="E1235" s="158" t="s">
        <v>585</v>
      </c>
      <c r="F1235" s="139"/>
      <c r="G1235" s="81">
        <f>SUM(G1236+G1238)</f>
        <v>0</v>
      </c>
      <c r="H1235" s="81">
        <f>SUM(H1236+H1238)</f>
        <v>0</v>
      </c>
      <c r="I1235" s="30" t="e">
        <f t="shared" si="62"/>
        <v>#DIV/0!</v>
      </c>
    </row>
    <row r="1236" spans="1:9" ht="19.5" hidden="1" customHeight="1">
      <c r="A1236" s="119" t="s">
        <v>586</v>
      </c>
      <c r="B1236" s="138"/>
      <c r="C1236" s="138" t="s">
        <v>584</v>
      </c>
      <c r="D1236" s="138" t="s">
        <v>838</v>
      </c>
      <c r="E1236" s="158" t="s">
        <v>587</v>
      </c>
      <c r="F1236" s="139"/>
      <c r="G1236" s="81">
        <f>SUM(G1237)</f>
        <v>0</v>
      </c>
      <c r="H1236" s="81">
        <f>SUM(H1237)</f>
        <v>0</v>
      </c>
      <c r="I1236" s="30" t="e">
        <f t="shared" si="62"/>
        <v>#DIV/0!</v>
      </c>
    </row>
    <row r="1237" spans="1:9" ht="19.5" hidden="1" customHeight="1">
      <c r="A1237" s="119" t="s">
        <v>985</v>
      </c>
      <c r="B1237" s="138"/>
      <c r="C1237" s="138" t="s">
        <v>584</v>
      </c>
      <c r="D1237" s="138" t="s">
        <v>838</v>
      </c>
      <c r="E1237" s="158" t="s">
        <v>587</v>
      </c>
      <c r="F1237" s="139" t="s">
        <v>986</v>
      </c>
      <c r="G1237" s="81"/>
      <c r="H1237" s="81"/>
      <c r="I1237" s="30" t="e">
        <f t="shared" si="62"/>
        <v>#DIV/0!</v>
      </c>
    </row>
    <row r="1238" spans="1:9" ht="19.5" hidden="1" customHeight="1">
      <c r="A1238" s="119" t="s">
        <v>588</v>
      </c>
      <c r="B1238" s="138"/>
      <c r="C1238" s="138" t="s">
        <v>584</v>
      </c>
      <c r="D1238" s="138" t="s">
        <v>838</v>
      </c>
      <c r="E1238" s="158" t="s">
        <v>589</v>
      </c>
      <c r="F1238" s="139"/>
      <c r="G1238" s="81">
        <f>SUM(G1239)</f>
        <v>0</v>
      </c>
      <c r="H1238" s="81">
        <f>SUM(H1239)</f>
        <v>0</v>
      </c>
      <c r="I1238" s="30" t="e">
        <f t="shared" si="62"/>
        <v>#DIV/0!</v>
      </c>
    </row>
    <row r="1239" spans="1:9" ht="19.5" hidden="1" customHeight="1">
      <c r="A1239" s="119" t="s">
        <v>985</v>
      </c>
      <c r="B1239" s="138"/>
      <c r="C1239" s="138" t="s">
        <v>584</v>
      </c>
      <c r="D1239" s="138" t="s">
        <v>838</v>
      </c>
      <c r="E1239" s="158" t="s">
        <v>589</v>
      </c>
      <c r="F1239" s="139" t="s">
        <v>986</v>
      </c>
      <c r="G1239" s="81"/>
      <c r="H1239" s="81"/>
      <c r="I1239" s="30" t="e">
        <f t="shared" si="62"/>
        <v>#DIV/0!</v>
      </c>
    </row>
    <row r="1240" spans="1:9" ht="19.5" hidden="1" customHeight="1">
      <c r="A1240" s="95" t="s">
        <v>590</v>
      </c>
      <c r="B1240" s="138"/>
      <c r="C1240" s="138" t="s">
        <v>584</v>
      </c>
      <c r="D1240" s="138" t="s">
        <v>838</v>
      </c>
      <c r="E1240" s="158" t="s">
        <v>591</v>
      </c>
      <c r="F1240" s="139"/>
      <c r="G1240" s="81">
        <f>SUM(G1241)</f>
        <v>0</v>
      </c>
      <c r="H1240" s="81">
        <f>SUM(H1241)</f>
        <v>0</v>
      </c>
      <c r="I1240" s="30" t="e">
        <f t="shared" si="62"/>
        <v>#DIV/0!</v>
      </c>
    </row>
    <row r="1241" spans="1:9" ht="19.5" hidden="1" customHeight="1">
      <c r="A1241" s="119" t="s">
        <v>592</v>
      </c>
      <c r="B1241" s="138"/>
      <c r="C1241" s="138" t="s">
        <v>584</v>
      </c>
      <c r="D1241" s="138" t="s">
        <v>838</v>
      </c>
      <c r="E1241" s="158" t="s">
        <v>591</v>
      </c>
      <c r="F1241" s="139" t="s">
        <v>593</v>
      </c>
      <c r="G1241" s="81"/>
      <c r="H1241" s="81"/>
      <c r="I1241" s="30" t="e">
        <f t="shared" si="62"/>
        <v>#DIV/0!</v>
      </c>
    </row>
    <row r="1242" spans="1:9" ht="21" hidden="1" customHeight="1">
      <c r="A1242" s="114" t="s">
        <v>200</v>
      </c>
      <c r="B1242" s="148"/>
      <c r="C1242" s="148" t="s">
        <v>167</v>
      </c>
      <c r="D1242" s="148" t="s">
        <v>838</v>
      </c>
      <c r="E1242" s="172" t="s">
        <v>201</v>
      </c>
      <c r="F1242" s="164"/>
      <c r="G1242" s="81">
        <f>SUM(G1243)</f>
        <v>0</v>
      </c>
      <c r="H1242" s="81">
        <f>SUM(H1243)</f>
        <v>0</v>
      </c>
      <c r="I1242" s="30" t="e">
        <f t="shared" si="62"/>
        <v>#DIV/0!</v>
      </c>
    </row>
    <row r="1243" spans="1:9" ht="19.5" hidden="1" customHeight="1">
      <c r="A1243" s="119" t="s">
        <v>985</v>
      </c>
      <c r="B1243" s="148"/>
      <c r="C1243" s="148" t="s">
        <v>167</v>
      </c>
      <c r="D1243" s="148" t="s">
        <v>838</v>
      </c>
      <c r="E1243" s="148" t="s">
        <v>594</v>
      </c>
      <c r="F1243" s="149" t="s">
        <v>986</v>
      </c>
      <c r="G1243" s="81">
        <f>SUM(G1244)</f>
        <v>0</v>
      </c>
      <c r="H1243" s="81">
        <f>SUM(H1244)</f>
        <v>0</v>
      </c>
      <c r="I1243" s="30" t="e">
        <f t="shared" si="62"/>
        <v>#DIV/0!</v>
      </c>
    </row>
    <row r="1244" spans="1:9" ht="19.5" hidden="1" customHeight="1">
      <c r="A1244" s="115" t="s">
        <v>811</v>
      </c>
      <c r="B1244" s="171"/>
      <c r="C1244" s="148" t="s">
        <v>167</v>
      </c>
      <c r="D1244" s="148" t="s">
        <v>838</v>
      </c>
      <c r="E1244" s="148" t="s">
        <v>595</v>
      </c>
      <c r="F1244" s="149" t="s">
        <v>986</v>
      </c>
      <c r="G1244" s="82"/>
      <c r="H1244" s="82"/>
      <c r="I1244" s="30" t="e">
        <f t="shared" si="62"/>
        <v>#DIV/0!</v>
      </c>
    </row>
    <row r="1245" spans="1:9" ht="19.5" customHeight="1">
      <c r="A1245" s="156" t="s">
        <v>617</v>
      </c>
      <c r="B1245" s="157" t="s">
        <v>524</v>
      </c>
      <c r="C1245" s="146"/>
      <c r="D1245" s="146"/>
      <c r="E1245" s="146"/>
      <c r="F1245" s="173"/>
      <c r="G1245" s="183">
        <f>SUM(G1250+G1492)</f>
        <v>1587179.7999999996</v>
      </c>
      <c r="H1245" s="183">
        <f>SUM(H1250+H1492)</f>
        <v>1569354.9999999995</v>
      </c>
      <c r="I1245" s="203">
        <f t="shared" si="62"/>
        <v>98.876951432975645</v>
      </c>
    </row>
    <row r="1246" spans="1:9" ht="15" hidden="1">
      <c r="A1246" s="95" t="s">
        <v>190</v>
      </c>
      <c r="B1246" s="138"/>
      <c r="C1246" s="138" t="s">
        <v>191</v>
      </c>
      <c r="D1246" s="138"/>
      <c r="E1246" s="138"/>
      <c r="F1246" s="139"/>
      <c r="G1246" s="81">
        <f t="shared" ref="G1246:H1248" si="64">SUM(G1247)</f>
        <v>0</v>
      </c>
      <c r="H1246" s="81">
        <f t="shared" si="64"/>
        <v>0</v>
      </c>
      <c r="I1246" s="30" t="e">
        <f t="shared" si="62"/>
        <v>#DIV/0!</v>
      </c>
    </row>
    <row r="1247" spans="1:9" ht="18.75" hidden="1" customHeight="1">
      <c r="A1247" s="95" t="s">
        <v>662</v>
      </c>
      <c r="B1247" s="138"/>
      <c r="C1247" s="138" t="s">
        <v>191</v>
      </c>
      <c r="D1247" s="142" t="s">
        <v>836</v>
      </c>
      <c r="E1247" s="158"/>
      <c r="F1247" s="159"/>
      <c r="G1247" s="81">
        <f t="shared" si="64"/>
        <v>0</v>
      </c>
      <c r="H1247" s="81">
        <f t="shared" si="64"/>
        <v>0</v>
      </c>
      <c r="I1247" s="30" t="e">
        <f t="shared" si="62"/>
        <v>#DIV/0!</v>
      </c>
    </row>
    <row r="1248" spans="1:9" ht="20.25" hidden="1" customHeight="1">
      <c r="A1248" s="95" t="s">
        <v>663</v>
      </c>
      <c r="B1248" s="138"/>
      <c r="C1248" s="138" t="s">
        <v>191</v>
      </c>
      <c r="D1248" s="142" t="s">
        <v>836</v>
      </c>
      <c r="E1248" s="158" t="s">
        <v>664</v>
      </c>
      <c r="F1248" s="159"/>
      <c r="G1248" s="81">
        <f t="shared" si="64"/>
        <v>0</v>
      </c>
      <c r="H1248" s="81">
        <f t="shared" si="64"/>
        <v>0</v>
      </c>
      <c r="I1248" s="30" t="e">
        <f t="shared" si="62"/>
        <v>#DIV/0!</v>
      </c>
    </row>
    <row r="1249" spans="1:9" ht="21" hidden="1" customHeight="1">
      <c r="A1249" s="95" t="s">
        <v>665</v>
      </c>
      <c r="B1249" s="138"/>
      <c r="C1249" s="138" t="s">
        <v>191</v>
      </c>
      <c r="D1249" s="142" t="s">
        <v>836</v>
      </c>
      <c r="E1249" s="158" t="s">
        <v>664</v>
      </c>
      <c r="F1249" s="159">
        <v>273</v>
      </c>
      <c r="G1249" s="81"/>
      <c r="H1249" s="81"/>
      <c r="I1249" s="30" t="e">
        <f t="shared" si="62"/>
        <v>#DIV/0!</v>
      </c>
    </row>
    <row r="1250" spans="1:9" ht="21.75" customHeight="1">
      <c r="A1250" s="95" t="s">
        <v>179</v>
      </c>
      <c r="B1250" s="138"/>
      <c r="C1250" s="142" t="s">
        <v>180</v>
      </c>
      <c r="D1250" s="142"/>
      <c r="E1250" s="142"/>
      <c r="F1250" s="140"/>
      <c r="G1250" s="81">
        <f>SUM(G1251+G1312+G1412+G1449)</f>
        <v>1550681.5999999996</v>
      </c>
      <c r="H1250" s="81">
        <f>SUM(H1251+H1312+H1412+H1449)</f>
        <v>1533127.7999999996</v>
      </c>
      <c r="I1250" s="30">
        <f t="shared" si="62"/>
        <v>98.867994564454747</v>
      </c>
    </row>
    <row r="1251" spans="1:9" ht="23.25" customHeight="1">
      <c r="A1251" s="95" t="s">
        <v>666</v>
      </c>
      <c r="B1251" s="157"/>
      <c r="C1251" s="142" t="s">
        <v>180</v>
      </c>
      <c r="D1251" s="142" t="s">
        <v>836</v>
      </c>
      <c r="E1251" s="142"/>
      <c r="F1251" s="140"/>
      <c r="G1251" s="81">
        <f>SUM(G1255+G1301)+G1294+G1252</f>
        <v>643524.19999999995</v>
      </c>
      <c r="H1251" s="81">
        <f>SUM(H1255+H1301)+H1294+H1252</f>
        <v>632745.5</v>
      </c>
      <c r="I1251" s="30">
        <f t="shared" si="62"/>
        <v>98.325051334510817</v>
      </c>
    </row>
    <row r="1252" spans="1:9" ht="23.25" customHeight="1">
      <c r="A1252" s="115" t="s">
        <v>254</v>
      </c>
      <c r="B1252" s="138"/>
      <c r="C1252" s="142" t="s">
        <v>180</v>
      </c>
      <c r="D1252" s="142" t="s">
        <v>836</v>
      </c>
      <c r="E1252" s="138" t="s">
        <v>255</v>
      </c>
      <c r="F1252" s="164"/>
      <c r="G1252" s="81">
        <f>SUM(G1253)</f>
        <v>1465.5</v>
      </c>
      <c r="H1252" s="81">
        <f>SUM(H1253)</f>
        <v>1465.5</v>
      </c>
      <c r="I1252" s="30">
        <f t="shared" si="62"/>
        <v>100</v>
      </c>
    </row>
    <row r="1253" spans="1:9" ht="28.5" customHeight="1">
      <c r="A1253" s="95" t="s">
        <v>1127</v>
      </c>
      <c r="B1253" s="157"/>
      <c r="C1253" s="142" t="s">
        <v>180</v>
      </c>
      <c r="D1253" s="142" t="s">
        <v>836</v>
      </c>
      <c r="E1253" s="138" t="s">
        <v>1128</v>
      </c>
      <c r="F1253" s="140"/>
      <c r="G1253" s="81">
        <f>SUM(G1254)</f>
        <v>1465.5</v>
      </c>
      <c r="H1253" s="81">
        <f>SUM(H1254)</f>
        <v>1465.5</v>
      </c>
      <c r="I1253" s="30">
        <f t="shared" si="62"/>
        <v>100</v>
      </c>
    </row>
    <row r="1254" spans="1:9" ht="23.25" customHeight="1">
      <c r="A1254" s="95" t="s">
        <v>441</v>
      </c>
      <c r="B1254" s="157"/>
      <c r="C1254" s="142" t="s">
        <v>180</v>
      </c>
      <c r="D1254" s="142" t="s">
        <v>836</v>
      </c>
      <c r="E1254" s="138" t="s">
        <v>1128</v>
      </c>
      <c r="F1254" s="140" t="s">
        <v>442</v>
      </c>
      <c r="G1254" s="81">
        <v>1465.5</v>
      </c>
      <c r="H1254" s="81">
        <v>1465.5</v>
      </c>
      <c r="I1254" s="30">
        <f t="shared" si="62"/>
        <v>100</v>
      </c>
    </row>
    <row r="1255" spans="1:9" ht="21.75" customHeight="1">
      <c r="A1255" s="95" t="s">
        <v>667</v>
      </c>
      <c r="B1255" s="157"/>
      <c r="C1255" s="142" t="s">
        <v>180</v>
      </c>
      <c r="D1255" s="142" t="s">
        <v>836</v>
      </c>
      <c r="E1255" s="142" t="s">
        <v>668</v>
      </c>
      <c r="F1255" s="140"/>
      <c r="G1255" s="81">
        <f>SUM(G1256+G1271)</f>
        <v>612926.6</v>
      </c>
      <c r="H1255" s="81">
        <f>SUM(H1256+H1271)</f>
        <v>601971.30000000005</v>
      </c>
      <c r="I1255" s="30">
        <f t="shared" si="62"/>
        <v>98.212624480647449</v>
      </c>
    </row>
    <row r="1256" spans="1:9" ht="24" customHeight="1">
      <c r="A1256" s="95" t="s">
        <v>953</v>
      </c>
      <c r="B1256" s="157"/>
      <c r="C1256" s="142" t="s">
        <v>180</v>
      </c>
      <c r="D1256" s="142" t="s">
        <v>836</v>
      </c>
      <c r="E1256" s="142" t="s">
        <v>137</v>
      </c>
      <c r="F1256" s="140"/>
      <c r="G1256" s="81">
        <f>SUM(G1259)+G1268+G1261+G1257</f>
        <v>529839.69999999995</v>
      </c>
      <c r="H1256" s="81">
        <f>SUM(H1259)+H1268+H1261+H1257</f>
        <v>522371.5</v>
      </c>
      <c r="I1256" s="30">
        <f t="shared" si="62"/>
        <v>98.590479346866616</v>
      </c>
    </row>
    <row r="1257" spans="1:9" ht="49.5" hidden="1" customHeight="1">
      <c r="A1257" s="95" t="s">
        <v>395</v>
      </c>
      <c r="B1257" s="157"/>
      <c r="C1257" s="142" t="s">
        <v>180</v>
      </c>
      <c r="D1257" s="142" t="s">
        <v>836</v>
      </c>
      <c r="E1257" s="142" t="s">
        <v>396</v>
      </c>
      <c r="F1257" s="140"/>
      <c r="G1257" s="81">
        <f>SUM(G1258)</f>
        <v>0</v>
      </c>
      <c r="H1257" s="81">
        <f>SUM(H1258)</f>
        <v>0</v>
      </c>
      <c r="I1257" s="30" t="e">
        <f t="shared" si="62"/>
        <v>#DIV/0!</v>
      </c>
    </row>
    <row r="1258" spans="1:9" ht="23.25" hidden="1" customHeight="1">
      <c r="A1258" s="95" t="s">
        <v>276</v>
      </c>
      <c r="B1258" s="157"/>
      <c r="C1258" s="142" t="s">
        <v>180</v>
      </c>
      <c r="D1258" s="142" t="s">
        <v>836</v>
      </c>
      <c r="E1258" s="142" t="s">
        <v>396</v>
      </c>
      <c r="F1258" s="140" t="s">
        <v>132</v>
      </c>
      <c r="G1258" s="81"/>
      <c r="H1258" s="81"/>
      <c r="I1258" s="30" t="e">
        <f t="shared" si="62"/>
        <v>#DIV/0!</v>
      </c>
    </row>
    <row r="1259" spans="1:9" ht="30" customHeight="1">
      <c r="A1259" s="95" t="s">
        <v>374</v>
      </c>
      <c r="B1259" s="157"/>
      <c r="C1259" s="142" t="s">
        <v>180</v>
      </c>
      <c r="D1259" s="142" t="s">
        <v>836</v>
      </c>
      <c r="E1259" s="142" t="s">
        <v>138</v>
      </c>
      <c r="F1259" s="140"/>
      <c r="G1259" s="81">
        <f>SUM(G1260)</f>
        <v>523417.1</v>
      </c>
      <c r="H1259" s="81">
        <f>SUM(H1260)</f>
        <v>516066</v>
      </c>
      <c r="I1259" s="30">
        <f t="shared" si="62"/>
        <v>98.595556010684405</v>
      </c>
    </row>
    <row r="1260" spans="1:9" ht="30" customHeight="1">
      <c r="A1260" s="97" t="s">
        <v>275</v>
      </c>
      <c r="B1260" s="109"/>
      <c r="C1260" s="142" t="s">
        <v>180</v>
      </c>
      <c r="D1260" s="142" t="s">
        <v>836</v>
      </c>
      <c r="E1260" s="142" t="s">
        <v>138</v>
      </c>
      <c r="F1260" s="141" t="s">
        <v>51</v>
      </c>
      <c r="G1260" s="81">
        <v>523417.1</v>
      </c>
      <c r="H1260" s="81">
        <v>516066</v>
      </c>
      <c r="I1260" s="30">
        <f t="shared" si="62"/>
        <v>98.595556010684405</v>
      </c>
    </row>
    <row r="1261" spans="1:9" ht="30" customHeight="1">
      <c r="A1261" s="97" t="s">
        <v>276</v>
      </c>
      <c r="B1261" s="157"/>
      <c r="C1261" s="142" t="s">
        <v>180</v>
      </c>
      <c r="D1261" s="142" t="s">
        <v>836</v>
      </c>
      <c r="E1261" s="142" t="s">
        <v>249</v>
      </c>
      <c r="F1261" s="140"/>
      <c r="G1261" s="81">
        <f>SUM(G1267,G1263,G1265)</f>
        <v>3787.6</v>
      </c>
      <c r="H1261" s="81">
        <f>SUM(H1267,H1263,H1265)</f>
        <v>3771.0000000000005</v>
      </c>
      <c r="I1261" s="30">
        <f t="shared" si="62"/>
        <v>99.56172774316191</v>
      </c>
    </row>
    <row r="1262" spans="1:9" ht="30" customHeight="1">
      <c r="A1262" s="97" t="s">
        <v>232</v>
      </c>
      <c r="B1262" s="157"/>
      <c r="C1262" s="142" t="s">
        <v>180</v>
      </c>
      <c r="D1262" s="142" t="s">
        <v>836</v>
      </c>
      <c r="E1262" s="142" t="s">
        <v>382</v>
      </c>
      <c r="F1262" s="140"/>
      <c r="G1262" s="81">
        <f>SUM(G1263)</f>
        <v>1283.7</v>
      </c>
      <c r="H1262" s="81">
        <f>SUM(H1263)</f>
        <v>1283.7</v>
      </c>
      <c r="I1262" s="30">
        <f t="shared" si="62"/>
        <v>100</v>
      </c>
    </row>
    <row r="1263" spans="1:9" ht="23.25" customHeight="1">
      <c r="A1263" s="97" t="s">
        <v>231</v>
      </c>
      <c r="B1263" s="157"/>
      <c r="C1263" s="142" t="s">
        <v>180</v>
      </c>
      <c r="D1263" s="142" t="s">
        <v>836</v>
      </c>
      <c r="E1263" s="142" t="s">
        <v>382</v>
      </c>
      <c r="F1263" s="140" t="s">
        <v>132</v>
      </c>
      <c r="G1263" s="81">
        <v>1283.7</v>
      </c>
      <c r="H1263" s="81">
        <v>1283.7</v>
      </c>
      <c r="I1263" s="30">
        <f t="shared" si="62"/>
        <v>100</v>
      </c>
    </row>
    <row r="1264" spans="1:9" ht="30.75" customHeight="1">
      <c r="A1264" s="97" t="s">
        <v>759</v>
      </c>
      <c r="B1264" s="157"/>
      <c r="C1264" s="142" t="s">
        <v>180</v>
      </c>
      <c r="D1264" s="142" t="s">
        <v>836</v>
      </c>
      <c r="E1264" s="142" t="s">
        <v>383</v>
      </c>
      <c r="F1264" s="140"/>
      <c r="G1264" s="81">
        <f>SUM(G1265)</f>
        <v>1451.4</v>
      </c>
      <c r="H1264" s="81">
        <f>SUM(H1265)</f>
        <v>1451.4</v>
      </c>
      <c r="I1264" s="30">
        <f t="shared" si="62"/>
        <v>100</v>
      </c>
    </row>
    <row r="1265" spans="1:9" ht="32.25" customHeight="1">
      <c r="A1265" s="97" t="s">
        <v>231</v>
      </c>
      <c r="B1265" s="157"/>
      <c r="C1265" s="142" t="s">
        <v>180</v>
      </c>
      <c r="D1265" s="142" t="s">
        <v>836</v>
      </c>
      <c r="E1265" s="142" t="s">
        <v>383</v>
      </c>
      <c r="F1265" s="140" t="s">
        <v>132</v>
      </c>
      <c r="G1265" s="81">
        <v>1451.4</v>
      </c>
      <c r="H1265" s="81">
        <v>1451.4</v>
      </c>
      <c r="I1265" s="30">
        <f t="shared" si="62"/>
        <v>100</v>
      </c>
    </row>
    <row r="1266" spans="1:9" ht="32.25" customHeight="1">
      <c r="A1266" s="95" t="s">
        <v>403</v>
      </c>
      <c r="B1266" s="157"/>
      <c r="C1266" s="142" t="s">
        <v>180</v>
      </c>
      <c r="D1266" s="142" t="s">
        <v>836</v>
      </c>
      <c r="E1266" s="142" t="s">
        <v>410</v>
      </c>
      <c r="F1266" s="140"/>
      <c r="G1266" s="81">
        <f>SUM(G1267)</f>
        <v>1052.5</v>
      </c>
      <c r="H1266" s="81">
        <f>SUM(H1267)</f>
        <v>1035.9000000000001</v>
      </c>
      <c r="I1266" s="30">
        <f t="shared" si="62"/>
        <v>98.422802850356305</v>
      </c>
    </row>
    <row r="1267" spans="1:9" ht="24" customHeight="1">
      <c r="A1267" s="97" t="s">
        <v>231</v>
      </c>
      <c r="B1267" s="157"/>
      <c r="C1267" s="142" t="s">
        <v>180</v>
      </c>
      <c r="D1267" s="142" t="s">
        <v>836</v>
      </c>
      <c r="E1267" s="142" t="s">
        <v>410</v>
      </c>
      <c r="F1267" s="140" t="s">
        <v>132</v>
      </c>
      <c r="G1267" s="81">
        <v>1052.5</v>
      </c>
      <c r="H1267" s="81">
        <v>1035.9000000000001</v>
      </c>
      <c r="I1267" s="30">
        <f t="shared" ref="I1267:I1330" si="65">SUM(H1267/G1267*100)</f>
        <v>98.422802850356305</v>
      </c>
    </row>
    <row r="1268" spans="1:9" ht="27.75" customHeight="1">
      <c r="A1268" s="97" t="s">
        <v>677</v>
      </c>
      <c r="B1268" s="138"/>
      <c r="C1268" s="160" t="s">
        <v>180</v>
      </c>
      <c r="D1268" s="160" t="s">
        <v>836</v>
      </c>
      <c r="E1268" s="160" t="s">
        <v>140</v>
      </c>
      <c r="F1268" s="140"/>
      <c r="G1268" s="81">
        <f>SUM(G1270)</f>
        <v>2635</v>
      </c>
      <c r="H1268" s="81">
        <f>SUM(H1270)</f>
        <v>2534.5</v>
      </c>
      <c r="I1268" s="30">
        <f t="shared" si="65"/>
        <v>96.185958254269451</v>
      </c>
    </row>
    <row r="1269" spans="1:9" ht="18.75" hidden="1" customHeight="1">
      <c r="A1269" s="97" t="s">
        <v>49</v>
      </c>
      <c r="B1269" s="138"/>
      <c r="C1269" s="160"/>
      <c r="D1269" s="160"/>
      <c r="E1269" s="160"/>
      <c r="F1269" s="140"/>
      <c r="G1269" s="81"/>
      <c r="H1269" s="81"/>
      <c r="I1269" s="30" t="e">
        <f t="shared" si="65"/>
        <v>#DIV/0!</v>
      </c>
    </row>
    <row r="1270" spans="1:9" ht="24" customHeight="1">
      <c r="A1270" s="94" t="s">
        <v>276</v>
      </c>
      <c r="B1270" s="109"/>
      <c r="C1270" s="142" t="s">
        <v>180</v>
      </c>
      <c r="D1270" s="142" t="s">
        <v>836</v>
      </c>
      <c r="E1270" s="160" t="s">
        <v>140</v>
      </c>
      <c r="F1270" s="141" t="s">
        <v>132</v>
      </c>
      <c r="G1270" s="81">
        <v>2635</v>
      </c>
      <c r="H1270" s="81">
        <v>2534.5</v>
      </c>
      <c r="I1270" s="30">
        <f t="shared" si="65"/>
        <v>96.185958254269451</v>
      </c>
    </row>
    <row r="1271" spans="1:9" ht="28.5" customHeight="1">
      <c r="A1271" s="95" t="s">
        <v>48</v>
      </c>
      <c r="B1271" s="157"/>
      <c r="C1271" s="142" t="s">
        <v>180</v>
      </c>
      <c r="D1271" s="142" t="s">
        <v>836</v>
      </c>
      <c r="E1271" s="142" t="s">
        <v>669</v>
      </c>
      <c r="F1271" s="140"/>
      <c r="G1271" s="81">
        <f>SUM(G1279+G1272)+G1273+G1275</f>
        <v>83086.900000000009</v>
      </c>
      <c r="H1271" s="81">
        <f>SUM(H1279+H1272)+H1273+H1275</f>
        <v>79599.8</v>
      </c>
      <c r="I1271" s="30">
        <f t="shared" si="65"/>
        <v>95.803068835159323</v>
      </c>
    </row>
    <row r="1272" spans="1:9" s="25" customFormat="1" ht="24" customHeight="1">
      <c r="A1272" s="97" t="s">
        <v>49</v>
      </c>
      <c r="B1272" s="109"/>
      <c r="C1272" s="160" t="s">
        <v>180</v>
      </c>
      <c r="D1272" s="160" t="s">
        <v>836</v>
      </c>
      <c r="E1272" s="160" t="s">
        <v>669</v>
      </c>
      <c r="F1272" s="141" t="s">
        <v>498</v>
      </c>
      <c r="G1272" s="81">
        <v>82202.3</v>
      </c>
      <c r="H1272" s="81">
        <v>78753.3</v>
      </c>
      <c r="I1272" s="30">
        <f t="shared" si="65"/>
        <v>95.804253652270063</v>
      </c>
    </row>
    <row r="1273" spans="1:9" s="25" customFormat="1" ht="18.75" hidden="1" customHeight="1">
      <c r="A1273" s="95" t="s">
        <v>395</v>
      </c>
      <c r="B1273" s="109"/>
      <c r="C1273" s="160" t="s">
        <v>180</v>
      </c>
      <c r="D1273" s="160" t="s">
        <v>836</v>
      </c>
      <c r="E1273" s="160" t="s">
        <v>672</v>
      </c>
      <c r="F1273" s="141"/>
      <c r="G1273" s="81">
        <f>SUM(G1274)</f>
        <v>0</v>
      </c>
      <c r="H1273" s="81">
        <f>SUM(H1274)</f>
        <v>0</v>
      </c>
      <c r="I1273" s="30" t="e">
        <f t="shared" si="65"/>
        <v>#DIV/0!</v>
      </c>
    </row>
    <row r="1274" spans="1:9" s="25" customFormat="1" ht="18.75" hidden="1" customHeight="1">
      <c r="A1274" s="97" t="s">
        <v>49</v>
      </c>
      <c r="B1274" s="109"/>
      <c r="C1274" s="160" t="s">
        <v>180</v>
      </c>
      <c r="D1274" s="160" t="s">
        <v>836</v>
      </c>
      <c r="E1274" s="160" t="s">
        <v>672</v>
      </c>
      <c r="F1274" s="141" t="s">
        <v>498</v>
      </c>
      <c r="G1274" s="81"/>
      <c r="H1274" s="81"/>
      <c r="I1274" s="30" t="e">
        <f t="shared" si="65"/>
        <v>#DIV/0!</v>
      </c>
    </row>
    <row r="1275" spans="1:9" ht="32.25" hidden="1" customHeight="1">
      <c r="A1275" s="94" t="s">
        <v>384</v>
      </c>
      <c r="B1275" s="142"/>
      <c r="C1275" s="142" t="s">
        <v>180</v>
      </c>
      <c r="D1275" s="142" t="s">
        <v>836</v>
      </c>
      <c r="E1275" s="142" t="s">
        <v>385</v>
      </c>
      <c r="F1275" s="140"/>
      <c r="G1275" s="81">
        <f>SUM(G1276:G1277)</f>
        <v>0</v>
      </c>
      <c r="H1275" s="81">
        <f>SUM(H1276:H1277)</f>
        <v>0</v>
      </c>
      <c r="I1275" s="30" t="e">
        <f t="shared" si="65"/>
        <v>#DIV/0!</v>
      </c>
    </row>
    <row r="1276" spans="1:9" ht="18.75" hidden="1" customHeight="1">
      <c r="A1276" s="94" t="s">
        <v>49</v>
      </c>
      <c r="B1276" s="146"/>
      <c r="C1276" s="142" t="s">
        <v>180</v>
      </c>
      <c r="D1276" s="142" t="s">
        <v>836</v>
      </c>
      <c r="E1276" s="142" t="s">
        <v>385</v>
      </c>
      <c r="F1276" s="140" t="s">
        <v>498</v>
      </c>
      <c r="G1276" s="81"/>
      <c r="H1276" s="81"/>
      <c r="I1276" s="30" t="e">
        <f t="shared" si="65"/>
        <v>#DIV/0!</v>
      </c>
    </row>
    <row r="1277" spans="1:9" ht="19.5" hidden="1" customHeight="1">
      <c r="A1277" s="94" t="s">
        <v>276</v>
      </c>
      <c r="B1277" s="109"/>
      <c r="C1277" s="142" t="s">
        <v>180</v>
      </c>
      <c r="D1277" s="142" t="s">
        <v>836</v>
      </c>
      <c r="E1277" s="142" t="s">
        <v>385</v>
      </c>
      <c r="F1277" s="141" t="s">
        <v>132</v>
      </c>
      <c r="G1277" s="81"/>
      <c r="H1277" s="81"/>
      <c r="I1277" s="30" t="e">
        <f t="shared" si="65"/>
        <v>#DIV/0!</v>
      </c>
    </row>
    <row r="1278" spans="1:9" ht="19.5" customHeight="1">
      <c r="A1278" s="97" t="s">
        <v>677</v>
      </c>
      <c r="B1278" s="138"/>
      <c r="C1278" s="160" t="s">
        <v>180</v>
      </c>
      <c r="D1278" s="160" t="s">
        <v>836</v>
      </c>
      <c r="E1278" s="160" t="s">
        <v>678</v>
      </c>
      <c r="F1278" s="140"/>
      <c r="G1278" s="81">
        <f>SUM(G1279)</f>
        <v>884.6</v>
      </c>
      <c r="H1278" s="81">
        <f>SUM(H1279)</f>
        <v>846.5</v>
      </c>
      <c r="I1278" s="30">
        <f t="shared" si="65"/>
        <v>95.692968573366485</v>
      </c>
    </row>
    <row r="1279" spans="1:9" ht="19.5" customHeight="1">
      <c r="A1279" s="97" t="s">
        <v>49</v>
      </c>
      <c r="B1279" s="109"/>
      <c r="C1279" s="160" t="s">
        <v>180</v>
      </c>
      <c r="D1279" s="160" t="s">
        <v>836</v>
      </c>
      <c r="E1279" s="160" t="s">
        <v>678</v>
      </c>
      <c r="F1279" s="141" t="s">
        <v>498</v>
      </c>
      <c r="G1279" s="81">
        <v>884.6</v>
      </c>
      <c r="H1279" s="81">
        <v>846.5</v>
      </c>
      <c r="I1279" s="30">
        <f t="shared" si="65"/>
        <v>95.692968573366485</v>
      </c>
    </row>
    <row r="1280" spans="1:9" ht="19.5" hidden="1" customHeight="1">
      <c r="A1280" s="97" t="s">
        <v>395</v>
      </c>
      <c r="B1280" s="109"/>
      <c r="C1280" s="160" t="s">
        <v>180</v>
      </c>
      <c r="D1280" s="160" t="s">
        <v>836</v>
      </c>
      <c r="E1280" s="160" t="s">
        <v>672</v>
      </c>
      <c r="F1280" s="141"/>
      <c r="G1280" s="81">
        <f>SUM(G1281)</f>
        <v>0</v>
      </c>
      <c r="H1280" s="81">
        <f>SUM(H1281)</f>
        <v>0</v>
      </c>
      <c r="I1280" s="30" t="e">
        <f t="shared" si="65"/>
        <v>#DIV/0!</v>
      </c>
    </row>
    <row r="1281" spans="1:9" ht="19.5" hidden="1" customHeight="1">
      <c r="A1281" s="97" t="s">
        <v>673</v>
      </c>
      <c r="B1281" s="109"/>
      <c r="C1281" s="160" t="s">
        <v>180</v>
      </c>
      <c r="D1281" s="160" t="s">
        <v>836</v>
      </c>
      <c r="E1281" s="160" t="s">
        <v>672</v>
      </c>
      <c r="F1281" s="141" t="s">
        <v>674</v>
      </c>
      <c r="G1281" s="81"/>
      <c r="H1281" s="81"/>
      <c r="I1281" s="30" t="e">
        <f t="shared" si="65"/>
        <v>#DIV/0!</v>
      </c>
    </row>
    <row r="1282" spans="1:9" ht="19.5" hidden="1" customHeight="1">
      <c r="A1282" s="97" t="s">
        <v>670</v>
      </c>
      <c r="B1282" s="109"/>
      <c r="C1282" s="160" t="s">
        <v>180</v>
      </c>
      <c r="D1282" s="160" t="s">
        <v>836</v>
      </c>
      <c r="E1282" s="160" t="s">
        <v>669</v>
      </c>
      <c r="F1282" s="140" t="s">
        <v>671</v>
      </c>
      <c r="G1282" s="81"/>
      <c r="H1282" s="81"/>
      <c r="I1282" s="30" t="e">
        <f t="shared" si="65"/>
        <v>#DIV/0!</v>
      </c>
    </row>
    <row r="1283" spans="1:9" ht="19.5" hidden="1" customHeight="1">
      <c r="A1283" s="97" t="s">
        <v>675</v>
      </c>
      <c r="B1283" s="138"/>
      <c r="C1283" s="160" t="s">
        <v>180</v>
      </c>
      <c r="D1283" s="160" t="s">
        <v>836</v>
      </c>
      <c r="E1283" s="160" t="s">
        <v>676</v>
      </c>
      <c r="F1283" s="140"/>
      <c r="G1283" s="81">
        <f>SUM(G1284)</f>
        <v>0</v>
      </c>
      <c r="H1283" s="81">
        <f>SUM(H1284)</f>
        <v>0</v>
      </c>
      <c r="I1283" s="30" t="e">
        <f t="shared" si="65"/>
        <v>#DIV/0!</v>
      </c>
    </row>
    <row r="1284" spans="1:9" ht="19.5" hidden="1" customHeight="1">
      <c r="A1284" s="97" t="s">
        <v>49</v>
      </c>
      <c r="B1284" s="138"/>
      <c r="C1284" s="160" t="s">
        <v>180</v>
      </c>
      <c r="D1284" s="160" t="s">
        <v>836</v>
      </c>
      <c r="E1284" s="160" t="s">
        <v>676</v>
      </c>
      <c r="F1284" s="140" t="s">
        <v>498</v>
      </c>
      <c r="G1284" s="81"/>
      <c r="H1284" s="81"/>
      <c r="I1284" s="30" t="e">
        <f t="shared" si="65"/>
        <v>#DIV/0!</v>
      </c>
    </row>
    <row r="1285" spans="1:9" ht="19.5" hidden="1" customHeight="1">
      <c r="A1285" s="97" t="s">
        <v>677</v>
      </c>
      <c r="B1285" s="138"/>
      <c r="C1285" s="160" t="s">
        <v>180</v>
      </c>
      <c r="D1285" s="160" t="s">
        <v>836</v>
      </c>
      <c r="E1285" s="160" t="s">
        <v>139</v>
      </c>
      <c r="F1285" s="140"/>
      <c r="G1285" s="81"/>
      <c r="H1285" s="81"/>
      <c r="I1285" s="30" t="e">
        <f t="shared" si="65"/>
        <v>#DIV/0!</v>
      </c>
    </row>
    <row r="1286" spans="1:9" ht="19.5" hidden="1" customHeight="1">
      <c r="A1286" s="97"/>
      <c r="B1286" s="138"/>
      <c r="C1286" s="160"/>
      <c r="D1286" s="160"/>
      <c r="E1286" s="160"/>
      <c r="F1286" s="140"/>
      <c r="G1286" s="81"/>
      <c r="H1286" s="81"/>
      <c r="I1286" s="30" t="e">
        <f t="shared" si="65"/>
        <v>#DIV/0!</v>
      </c>
    </row>
    <row r="1287" spans="1:9" ht="19.5" hidden="1" customHeight="1">
      <c r="A1287" s="97" t="s">
        <v>127</v>
      </c>
      <c r="B1287" s="109"/>
      <c r="C1287" s="142" t="s">
        <v>180</v>
      </c>
      <c r="D1287" s="142" t="s">
        <v>836</v>
      </c>
      <c r="E1287" s="142" t="s">
        <v>138</v>
      </c>
      <c r="F1287" s="141" t="s">
        <v>51</v>
      </c>
      <c r="G1287" s="81"/>
      <c r="H1287" s="81"/>
      <c r="I1287" s="30" t="e">
        <f t="shared" si="65"/>
        <v>#DIV/0!</v>
      </c>
    </row>
    <row r="1288" spans="1:9" ht="19.5" hidden="1" customHeight="1">
      <c r="A1288" s="97"/>
      <c r="B1288" s="138"/>
      <c r="C1288" s="160"/>
      <c r="D1288" s="160"/>
      <c r="E1288" s="160"/>
      <c r="F1288" s="140"/>
      <c r="G1288" s="81"/>
      <c r="H1288" s="81"/>
      <c r="I1288" s="30" t="e">
        <f t="shared" si="65"/>
        <v>#DIV/0!</v>
      </c>
    </row>
    <row r="1289" spans="1:9" ht="19.5" hidden="1" customHeight="1">
      <c r="A1289" s="97" t="s">
        <v>677</v>
      </c>
      <c r="B1289" s="138"/>
      <c r="C1289" s="160" t="s">
        <v>180</v>
      </c>
      <c r="D1289" s="160" t="s">
        <v>836</v>
      </c>
      <c r="E1289" s="160" t="s">
        <v>678</v>
      </c>
      <c r="F1289" s="140"/>
      <c r="G1289" s="81">
        <f>SUM(G1290)</f>
        <v>0</v>
      </c>
      <c r="H1289" s="81">
        <f>SUM(H1290)</f>
        <v>0</v>
      </c>
      <c r="I1289" s="30" t="e">
        <f t="shared" si="65"/>
        <v>#DIV/0!</v>
      </c>
    </row>
    <row r="1290" spans="1:9" ht="19.5" hidden="1" customHeight="1">
      <c r="A1290" s="97" t="s">
        <v>49</v>
      </c>
      <c r="B1290" s="138"/>
      <c r="C1290" s="160" t="s">
        <v>180</v>
      </c>
      <c r="D1290" s="160" t="s">
        <v>836</v>
      </c>
      <c r="E1290" s="160" t="s">
        <v>678</v>
      </c>
      <c r="F1290" s="140" t="s">
        <v>498</v>
      </c>
      <c r="G1290" s="81"/>
      <c r="H1290" s="81"/>
      <c r="I1290" s="30" t="e">
        <f t="shared" si="65"/>
        <v>#DIV/0!</v>
      </c>
    </row>
    <row r="1291" spans="1:9" ht="18.75" hidden="1" customHeight="1">
      <c r="A1291" s="95" t="s">
        <v>679</v>
      </c>
      <c r="B1291" s="138"/>
      <c r="C1291" s="160" t="s">
        <v>180</v>
      </c>
      <c r="D1291" s="160" t="s">
        <v>836</v>
      </c>
      <c r="E1291" s="160" t="s">
        <v>680</v>
      </c>
      <c r="F1291" s="141"/>
      <c r="G1291" s="81">
        <f>SUM(G1293)</f>
        <v>0</v>
      </c>
      <c r="H1291" s="81">
        <f>SUM(H1293)</f>
        <v>0</v>
      </c>
      <c r="I1291" s="30" t="e">
        <f t="shared" si="65"/>
        <v>#DIV/0!</v>
      </c>
    </row>
    <row r="1292" spans="1:9" ht="42.75" hidden="1" customHeight="1">
      <c r="A1292" s="95" t="s">
        <v>630</v>
      </c>
      <c r="B1292" s="138"/>
      <c r="C1292" s="160" t="s">
        <v>180</v>
      </c>
      <c r="D1292" s="160" t="s">
        <v>836</v>
      </c>
      <c r="E1292" s="160" t="s">
        <v>669</v>
      </c>
      <c r="F1292" s="141" t="s">
        <v>631</v>
      </c>
      <c r="G1292" s="81"/>
      <c r="H1292" s="81"/>
      <c r="I1292" s="30" t="e">
        <f t="shared" si="65"/>
        <v>#DIV/0!</v>
      </c>
    </row>
    <row r="1293" spans="1:9" ht="18.75" hidden="1" customHeight="1">
      <c r="A1293" s="97" t="s">
        <v>497</v>
      </c>
      <c r="B1293" s="138"/>
      <c r="C1293" s="160" t="s">
        <v>180</v>
      </c>
      <c r="D1293" s="160" t="s">
        <v>836</v>
      </c>
      <c r="E1293" s="160" t="s">
        <v>680</v>
      </c>
      <c r="F1293" s="141" t="s">
        <v>498</v>
      </c>
      <c r="G1293" s="81"/>
      <c r="H1293" s="81"/>
      <c r="I1293" s="30" t="e">
        <f t="shared" si="65"/>
        <v>#DIV/0!</v>
      </c>
    </row>
    <row r="1294" spans="1:9" ht="24" customHeight="1">
      <c r="A1294" s="95" t="s">
        <v>932</v>
      </c>
      <c r="B1294" s="109"/>
      <c r="C1294" s="160" t="s">
        <v>180</v>
      </c>
      <c r="D1294" s="160" t="s">
        <v>836</v>
      </c>
      <c r="E1294" s="142" t="s">
        <v>933</v>
      </c>
      <c r="F1294" s="141"/>
      <c r="G1294" s="81">
        <f>SUM(G1295)+G1298</f>
        <v>4577.1000000000004</v>
      </c>
      <c r="H1294" s="81">
        <f>SUM(H1295)+H1298</f>
        <v>4800.7000000000007</v>
      </c>
      <c r="I1294" s="30">
        <f t="shared" si="65"/>
        <v>104.88518931200979</v>
      </c>
    </row>
    <row r="1295" spans="1:9" ht="36.75" customHeight="1">
      <c r="A1295" s="95" t="s">
        <v>1069</v>
      </c>
      <c r="B1295" s="109"/>
      <c r="C1295" s="160" t="s">
        <v>180</v>
      </c>
      <c r="D1295" s="160" t="s">
        <v>836</v>
      </c>
      <c r="E1295" s="142" t="s">
        <v>682</v>
      </c>
      <c r="F1295" s="141"/>
      <c r="G1295" s="81">
        <f>SUM(G1297+G1296)</f>
        <v>4577.1000000000004</v>
      </c>
      <c r="H1295" s="81">
        <f>SUM(H1297+H1296)</f>
        <v>4577.1000000000004</v>
      </c>
      <c r="I1295" s="30">
        <f t="shared" si="65"/>
        <v>100</v>
      </c>
    </row>
    <row r="1296" spans="1:9" s="25" customFormat="1" ht="24.75" customHeight="1">
      <c r="A1296" s="97" t="s">
        <v>49</v>
      </c>
      <c r="B1296" s="109"/>
      <c r="C1296" s="160" t="s">
        <v>180</v>
      </c>
      <c r="D1296" s="160" t="s">
        <v>836</v>
      </c>
      <c r="E1296" s="142" t="s">
        <v>682</v>
      </c>
      <c r="F1296" s="141" t="s">
        <v>498</v>
      </c>
      <c r="G1296" s="81">
        <v>2116.5</v>
      </c>
      <c r="H1296" s="81">
        <v>2116.5</v>
      </c>
      <c r="I1296" s="30">
        <f t="shared" si="65"/>
        <v>100</v>
      </c>
    </row>
    <row r="1297" spans="1:9" s="25" customFormat="1" ht="21" customHeight="1">
      <c r="A1297" s="94" t="s">
        <v>276</v>
      </c>
      <c r="B1297" s="109"/>
      <c r="C1297" s="142" t="s">
        <v>180</v>
      </c>
      <c r="D1297" s="142" t="s">
        <v>836</v>
      </c>
      <c r="E1297" s="142" t="s">
        <v>682</v>
      </c>
      <c r="F1297" s="141" t="s">
        <v>132</v>
      </c>
      <c r="G1297" s="81">
        <v>2460.6</v>
      </c>
      <c r="H1297" s="81">
        <v>2460.6</v>
      </c>
      <c r="I1297" s="30">
        <f t="shared" si="65"/>
        <v>100</v>
      </c>
    </row>
    <row r="1298" spans="1:9" s="25" customFormat="1" ht="36.75" customHeight="1">
      <c r="A1298" s="94" t="s">
        <v>1135</v>
      </c>
      <c r="B1298" s="109"/>
      <c r="C1298" s="142" t="s">
        <v>180</v>
      </c>
      <c r="D1298" s="142" t="s">
        <v>836</v>
      </c>
      <c r="E1298" s="142" t="s">
        <v>1130</v>
      </c>
      <c r="F1298" s="141"/>
      <c r="G1298" s="30">
        <f>SUM(G1299:G1300)</f>
        <v>0</v>
      </c>
      <c r="H1298" s="30">
        <f>SUM(H1299:H1300)</f>
        <v>223.6</v>
      </c>
      <c r="I1298" s="30"/>
    </row>
    <row r="1299" spans="1:9" s="25" customFormat="1" ht="21" customHeight="1">
      <c r="A1299" s="97" t="s">
        <v>49</v>
      </c>
      <c r="B1299" s="109"/>
      <c r="C1299" s="160" t="s">
        <v>180</v>
      </c>
      <c r="D1299" s="160" t="s">
        <v>836</v>
      </c>
      <c r="E1299" s="142" t="s">
        <v>1130</v>
      </c>
      <c r="F1299" s="141" t="s">
        <v>498</v>
      </c>
      <c r="G1299" s="30"/>
      <c r="H1299" s="30">
        <v>27.9</v>
      </c>
      <c r="I1299" s="30"/>
    </row>
    <row r="1300" spans="1:9" s="25" customFormat="1" ht="21" customHeight="1">
      <c r="A1300" s="94" t="s">
        <v>276</v>
      </c>
      <c r="B1300" s="109"/>
      <c r="C1300" s="142" t="s">
        <v>180</v>
      </c>
      <c r="D1300" s="142" t="s">
        <v>836</v>
      </c>
      <c r="E1300" s="142" t="s">
        <v>1130</v>
      </c>
      <c r="F1300" s="141" t="s">
        <v>132</v>
      </c>
      <c r="G1300" s="30"/>
      <c r="H1300" s="30">
        <v>195.7</v>
      </c>
      <c r="I1300" s="30"/>
    </row>
    <row r="1301" spans="1:9" s="25" customFormat="1" ht="18.75" customHeight="1">
      <c r="A1301" s="95" t="s">
        <v>200</v>
      </c>
      <c r="B1301" s="157"/>
      <c r="C1301" s="154" t="s">
        <v>180</v>
      </c>
      <c r="D1301" s="154" t="s">
        <v>836</v>
      </c>
      <c r="E1301" s="154" t="s">
        <v>201</v>
      </c>
      <c r="F1301" s="144"/>
      <c r="G1301" s="81">
        <f>SUM(G1308)+G1302+G1305</f>
        <v>24555</v>
      </c>
      <c r="H1301" s="81">
        <f>SUM(H1308)+H1302+H1305</f>
        <v>24508</v>
      </c>
      <c r="I1301" s="30">
        <f t="shared" si="65"/>
        <v>99.808592954591731</v>
      </c>
    </row>
    <row r="1302" spans="1:9" s="25" customFormat="1" ht="18.75" hidden="1" customHeight="1">
      <c r="A1302" s="94" t="s">
        <v>386</v>
      </c>
      <c r="B1302" s="146"/>
      <c r="C1302" s="154" t="s">
        <v>180</v>
      </c>
      <c r="D1302" s="154" t="s">
        <v>836</v>
      </c>
      <c r="E1302" s="154" t="s">
        <v>597</v>
      </c>
      <c r="F1302" s="144"/>
      <c r="G1302" s="81">
        <f>SUM(G1304+G1303)</f>
        <v>0</v>
      </c>
      <c r="H1302" s="81">
        <f>SUM(H1304+H1303)</f>
        <v>0</v>
      </c>
      <c r="I1302" s="30" t="e">
        <f t="shared" si="65"/>
        <v>#DIV/0!</v>
      </c>
    </row>
    <row r="1303" spans="1:9" s="25" customFormat="1" ht="18.75" hidden="1" customHeight="1">
      <c r="A1303" s="97" t="s">
        <v>49</v>
      </c>
      <c r="B1303" s="146"/>
      <c r="C1303" s="154" t="s">
        <v>180</v>
      </c>
      <c r="D1303" s="154" t="s">
        <v>836</v>
      </c>
      <c r="E1303" s="154" t="s">
        <v>597</v>
      </c>
      <c r="F1303" s="144" t="s">
        <v>498</v>
      </c>
      <c r="G1303" s="81"/>
      <c r="H1303" s="81"/>
      <c r="I1303" s="30" t="e">
        <f t="shared" si="65"/>
        <v>#DIV/0!</v>
      </c>
    </row>
    <row r="1304" spans="1:9" s="25" customFormat="1" ht="18.75" hidden="1" customHeight="1">
      <c r="A1304" s="94" t="s">
        <v>276</v>
      </c>
      <c r="B1304" s="146"/>
      <c r="C1304" s="154" t="s">
        <v>180</v>
      </c>
      <c r="D1304" s="154" t="s">
        <v>836</v>
      </c>
      <c r="E1304" s="154" t="s">
        <v>597</v>
      </c>
      <c r="F1304" s="144" t="s">
        <v>132</v>
      </c>
      <c r="G1304" s="81"/>
      <c r="H1304" s="81"/>
      <c r="I1304" s="30" t="e">
        <f t="shared" si="65"/>
        <v>#DIV/0!</v>
      </c>
    </row>
    <row r="1305" spans="1:9" ht="25.5" customHeight="1">
      <c r="A1305" s="94" t="s">
        <v>891</v>
      </c>
      <c r="B1305" s="146"/>
      <c r="C1305" s="154" t="s">
        <v>180</v>
      </c>
      <c r="D1305" s="154" t="s">
        <v>836</v>
      </c>
      <c r="E1305" s="154" t="s">
        <v>700</v>
      </c>
      <c r="F1305" s="144"/>
      <c r="G1305" s="81">
        <f>SUM(G1306:G1307)</f>
        <v>24555</v>
      </c>
      <c r="H1305" s="81">
        <f>SUM(H1306:H1307)</f>
        <v>24508</v>
      </c>
      <c r="I1305" s="30">
        <f t="shared" si="65"/>
        <v>99.808592954591731</v>
      </c>
    </row>
    <row r="1306" spans="1:9" ht="18.75" customHeight="1">
      <c r="A1306" s="94" t="s">
        <v>441</v>
      </c>
      <c r="B1306" s="146"/>
      <c r="C1306" s="154" t="s">
        <v>180</v>
      </c>
      <c r="D1306" s="154" t="s">
        <v>836</v>
      </c>
      <c r="E1306" s="154" t="s">
        <v>700</v>
      </c>
      <c r="F1306" s="144" t="s">
        <v>442</v>
      </c>
      <c r="G1306" s="81">
        <v>15564.4</v>
      </c>
      <c r="H1306" s="81">
        <v>15563.6</v>
      </c>
      <c r="I1306" s="30">
        <f t="shared" si="65"/>
        <v>99.99486006527718</v>
      </c>
    </row>
    <row r="1307" spans="1:9" ht="24.75" customHeight="1">
      <c r="A1307" s="94" t="s">
        <v>276</v>
      </c>
      <c r="B1307" s="146"/>
      <c r="C1307" s="154" t="s">
        <v>180</v>
      </c>
      <c r="D1307" s="154" t="s">
        <v>836</v>
      </c>
      <c r="E1307" s="154" t="s">
        <v>700</v>
      </c>
      <c r="F1307" s="144" t="s">
        <v>132</v>
      </c>
      <c r="G1307" s="81">
        <v>8990.6</v>
      </c>
      <c r="H1307" s="81">
        <v>8944.4</v>
      </c>
      <c r="I1307" s="30">
        <f t="shared" si="65"/>
        <v>99.486129957956081</v>
      </c>
    </row>
    <row r="1308" spans="1:9" ht="27.75" hidden="1" customHeight="1">
      <c r="A1308" s="95" t="s">
        <v>52</v>
      </c>
      <c r="B1308" s="157"/>
      <c r="C1308" s="154" t="s">
        <v>180</v>
      </c>
      <c r="D1308" s="154" t="s">
        <v>836</v>
      </c>
      <c r="E1308" s="154" t="s">
        <v>53</v>
      </c>
      <c r="F1308" s="144"/>
      <c r="G1308" s="81">
        <f>SUM(G1309+G1311)+G1310</f>
        <v>0</v>
      </c>
      <c r="H1308" s="81">
        <f>SUM(H1309+H1311)+H1310</f>
        <v>0</v>
      </c>
      <c r="I1308" s="30" t="e">
        <f t="shared" si="65"/>
        <v>#DIV/0!</v>
      </c>
    </row>
    <row r="1309" spans="1:9" ht="19.5" hidden="1" customHeight="1">
      <c r="A1309" s="94" t="s">
        <v>441</v>
      </c>
      <c r="B1309" s="109"/>
      <c r="C1309" s="166" t="s">
        <v>180</v>
      </c>
      <c r="D1309" s="166" t="s">
        <v>836</v>
      </c>
      <c r="E1309" s="154" t="s">
        <v>53</v>
      </c>
      <c r="F1309" s="167" t="s">
        <v>442</v>
      </c>
      <c r="G1309" s="81"/>
      <c r="H1309" s="81"/>
      <c r="I1309" s="30" t="e">
        <f t="shared" si="65"/>
        <v>#DIV/0!</v>
      </c>
    </row>
    <row r="1310" spans="1:9" ht="19.5" hidden="1" customHeight="1">
      <c r="A1310" s="97" t="s">
        <v>275</v>
      </c>
      <c r="B1310" s="109"/>
      <c r="C1310" s="166" t="s">
        <v>180</v>
      </c>
      <c r="D1310" s="166" t="s">
        <v>836</v>
      </c>
      <c r="E1310" s="154" t="s">
        <v>53</v>
      </c>
      <c r="F1310" s="141" t="s">
        <v>51</v>
      </c>
      <c r="G1310" s="81"/>
      <c r="H1310" s="81"/>
      <c r="I1310" s="30" t="e">
        <f t="shared" si="65"/>
        <v>#DIV/0!</v>
      </c>
    </row>
    <row r="1311" spans="1:9" ht="19.5" hidden="1" customHeight="1">
      <c r="A1311" s="94" t="s">
        <v>276</v>
      </c>
      <c r="B1311" s="109"/>
      <c r="C1311" s="166" t="s">
        <v>180</v>
      </c>
      <c r="D1311" s="166" t="s">
        <v>836</v>
      </c>
      <c r="E1311" s="154" t="s">
        <v>53</v>
      </c>
      <c r="F1311" s="167" t="s">
        <v>132</v>
      </c>
      <c r="G1311" s="81"/>
      <c r="H1311" s="81"/>
      <c r="I1311" s="30" t="e">
        <f t="shared" si="65"/>
        <v>#DIV/0!</v>
      </c>
    </row>
    <row r="1312" spans="1:9" ht="19.5" customHeight="1">
      <c r="A1312" s="95" t="s">
        <v>683</v>
      </c>
      <c r="B1312" s="157"/>
      <c r="C1312" s="142" t="s">
        <v>180</v>
      </c>
      <c r="D1312" s="142" t="s">
        <v>838</v>
      </c>
      <c r="E1312" s="142"/>
      <c r="F1312" s="140"/>
      <c r="G1312" s="81">
        <f>SUM(G1318+G1358+G1374+G1394)+G1383+G1313+G1391+G1405+G1387+G1401</f>
        <v>827458.99999999988</v>
      </c>
      <c r="H1312" s="81">
        <f>SUM(H1318+H1358+H1374+H1394)+H1383+H1313+H1391+H1405+H1387+H1401</f>
        <v>821071.19999999984</v>
      </c>
      <c r="I1312" s="30">
        <f t="shared" si="65"/>
        <v>99.2280221739083</v>
      </c>
    </row>
    <row r="1313" spans="1:9" ht="19.5" hidden="1" customHeight="1">
      <c r="A1313" s="95" t="s">
        <v>748</v>
      </c>
      <c r="B1313" s="157"/>
      <c r="C1313" s="142" t="s">
        <v>180</v>
      </c>
      <c r="D1313" s="142" t="s">
        <v>838</v>
      </c>
      <c r="E1313" s="142" t="s">
        <v>750</v>
      </c>
      <c r="F1313" s="140"/>
      <c r="G1313" s="81">
        <f>SUM(G1314+G1316)</f>
        <v>0</v>
      </c>
      <c r="H1313" s="81">
        <f>SUM(H1314+H1316)</f>
        <v>0</v>
      </c>
      <c r="I1313" s="30" t="e">
        <f t="shared" si="65"/>
        <v>#DIV/0!</v>
      </c>
    </row>
    <row r="1314" spans="1:9" ht="19.5" hidden="1" customHeight="1">
      <c r="A1314" s="95" t="s">
        <v>684</v>
      </c>
      <c r="B1314" s="157"/>
      <c r="C1314" s="142" t="s">
        <v>180</v>
      </c>
      <c r="D1314" s="142" t="s">
        <v>838</v>
      </c>
      <c r="E1314" s="142" t="s">
        <v>685</v>
      </c>
      <c r="F1314" s="140"/>
      <c r="G1314" s="81">
        <f>SUM(G1315)</f>
        <v>0</v>
      </c>
      <c r="H1314" s="81">
        <f>SUM(H1315)</f>
        <v>0</v>
      </c>
      <c r="I1314" s="30" t="e">
        <f t="shared" si="65"/>
        <v>#DIV/0!</v>
      </c>
    </row>
    <row r="1315" spans="1:9" ht="23.25" hidden="1" customHeight="1">
      <c r="A1315" s="97" t="s">
        <v>497</v>
      </c>
      <c r="B1315" s="157"/>
      <c r="C1315" s="142" t="s">
        <v>180</v>
      </c>
      <c r="D1315" s="142" t="s">
        <v>838</v>
      </c>
      <c r="E1315" s="142" t="s">
        <v>685</v>
      </c>
      <c r="F1315" s="140" t="s">
        <v>498</v>
      </c>
      <c r="G1315" s="81"/>
      <c r="H1315" s="81"/>
      <c r="I1315" s="30" t="e">
        <f t="shared" si="65"/>
        <v>#DIV/0!</v>
      </c>
    </row>
    <row r="1316" spans="1:9" ht="28.5" hidden="1" customHeight="1">
      <c r="A1316" s="95" t="s">
        <v>728</v>
      </c>
      <c r="B1316" s="138"/>
      <c r="C1316" s="142" t="s">
        <v>180</v>
      </c>
      <c r="D1316" s="142" t="s">
        <v>838</v>
      </c>
      <c r="E1316" s="138" t="s">
        <v>729</v>
      </c>
      <c r="F1316" s="140"/>
      <c r="G1316" s="81">
        <f>SUM(G1317)</f>
        <v>0</v>
      </c>
      <c r="H1316" s="81">
        <f>SUM(H1317)</f>
        <v>0</v>
      </c>
      <c r="I1316" s="30" t="e">
        <f t="shared" si="65"/>
        <v>#DIV/0!</v>
      </c>
    </row>
    <row r="1317" spans="1:9" ht="46.5" hidden="1" customHeight="1">
      <c r="A1317" s="97" t="s">
        <v>497</v>
      </c>
      <c r="B1317" s="157"/>
      <c r="C1317" s="142" t="s">
        <v>180</v>
      </c>
      <c r="D1317" s="142" t="s">
        <v>838</v>
      </c>
      <c r="E1317" s="142" t="s">
        <v>729</v>
      </c>
      <c r="F1317" s="140" t="s">
        <v>498</v>
      </c>
      <c r="G1317" s="81"/>
      <c r="H1317" s="81"/>
      <c r="I1317" s="30" t="e">
        <f t="shared" si="65"/>
        <v>#DIV/0!</v>
      </c>
    </row>
    <row r="1318" spans="1:9" ht="24" customHeight="1">
      <c r="A1318" s="95" t="s">
        <v>686</v>
      </c>
      <c r="B1318" s="157"/>
      <c r="C1318" s="142" t="s">
        <v>180</v>
      </c>
      <c r="D1318" s="142" t="s">
        <v>838</v>
      </c>
      <c r="E1318" s="142" t="s">
        <v>687</v>
      </c>
      <c r="F1318" s="140"/>
      <c r="G1318" s="81">
        <f>SUM(G1319+G1338)</f>
        <v>687751.9</v>
      </c>
      <c r="H1318" s="81">
        <f>SUM(H1319+H1338)</f>
        <v>683381.6</v>
      </c>
      <c r="I1318" s="30">
        <f t="shared" si="65"/>
        <v>99.364552827843866</v>
      </c>
    </row>
    <row r="1319" spans="1:9" ht="23.25" customHeight="1">
      <c r="A1319" s="95" t="s">
        <v>953</v>
      </c>
      <c r="B1319" s="157"/>
      <c r="C1319" s="142" t="s">
        <v>180</v>
      </c>
      <c r="D1319" s="142" t="s">
        <v>838</v>
      </c>
      <c r="E1319" s="142" t="s">
        <v>141</v>
      </c>
      <c r="F1319" s="140"/>
      <c r="G1319" s="81">
        <f>SUM(G1322+G1331+G1333+G1335)+G1324+G1320</f>
        <v>324572.2</v>
      </c>
      <c r="H1319" s="81">
        <f>SUM(H1322+H1331+H1333+H1335)+H1324+H1320</f>
        <v>322671.90000000002</v>
      </c>
      <c r="I1319" s="30">
        <f t="shared" si="65"/>
        <v>99.414521638020759</v>
      </c>
    </row>
    <row r="1320" spans="1:9" ht="48" hidden="1" customHeight="1">
      <c r="A1320" s="95" t="s">
        <v>395</v>
      </c>
      <c r="B1320" s="157"/>
      <c r="C1320" s="142" t="s">
        <v>180</v>
      </c>
      <c r="D1320" s="142" t="s">
        <v>838</v>
      </c>
      <c r="E1320" s="142" t="s">
        <v>397</v>
      </c>
      <c r="F1320" s="140"/>
      <c r="G1320" s="81">
        <f>SUM(G1321)</f>
        <v>0</v>
      </c>
      <c r="H1320" s="81">
        <f>SUM(H1321)</f>
        <v>0</v>
      </c>
      <c r="I1320" s="30" t="e">
        <f t="shared" si="65"/>
        <v>#DIV/0!</v>
      </c>
    </row>
    <row r="1321" spans="1:9" ht="26.25" hidden="1" customHeight="1">
      <c r="A1321" s="95" t="s">
        <v>276</v>
      </c>
      <c r="B1321" s="157"/>
      <c r="C1321" s="142" t="s">
        <v>180</v>
      </c>
      <c r="D1321" s="142" t="s">
        <v>838</v>
      </c>
      <c r="E1321" s="142" t="s">
        <v>397</v>
      </c>
      <c r="F1321" s="140" t="s">
        <v>132</v>
      </c>
      <c r="G1321" s="81"/>
      <c r="H1321" s="81"/>
      <c r="I1321" s="30" t="e">
        <f t="shared" si="65"/>
        <v>#DIV/0!</v>
      </c>
    </row>
    <row r="1322" spans="1:9" ht="28.5" customHeight="1">
      <c r="A1322" s="95" t="s">
        <v>374</v>
      </c>
      <c r="B1322" s="157"/>
      <c r="C1322" s="142" t="s">
        <v>180</v>
      </c>
      <c r="D1322" s="142" t="s">
        <v>838</v>
      </c>
      <c r="E1322" s="142" t="s">
        <v>142</v>
      </c>
      <c r="F1322" s="140"/>
      <c r="G1322" s="81">
        <f>SUM(G1323)</f>
        <v>59848.9</v>
      </c>
      <c r="H1322" s="81">
        <f>SUM(H1323)</f>
        <v>58424.3</v>
      </c>
      <c r="I1322" s="30">
        <f t="shared" si="65"/>
        <v>97.619672207843422</v>
      </c>
    </row>
    <row r="1323" spans="1:9" ht="30.75" customHeight="1">
      <c r="A1323" s="97" t="s">
        <v>275</v>
      </c>
      <c r="B1323" s="109"/>
      <c r="C1323" s="142" t="s">
        <v>180</v>
      </c>
      <c r="D1323" s="142" t="s">
        <v>838</v>
      </c>
      <c r="E1323" s="142" t="s">
        <v>142</v>
      </c>
      <c r="F1323" s="141" t="s">
        <v>51</v>
      </c>
      <c r="G1323" s="81">
        <v>59848.9</v>
      </c>
      <c r="H1323" s="81">
        <v>58424.3</v>
      </c>
      <c r="I1323" s="30">
        <f t="shared" si="65"/>
        <v>97.619672207843422</v>
      </c>
    </row>
    <row r="1324" spans="1:9" ht="27" customHeight="1">
      <c r="A1324" s="97" t="s">
        <v>276</v>
      </c>
      <c r="B1324" s="157"/>
      <c r="C1324" s="142" t="s">
        <v>180</v>
      </c>
      <c r="D1324" s="142" t="s">
        <v>838</v>
      </c>
      <c r="E1324" s="142" t="s">
        <v>250</v>
      </c>
      <c r="F1324" s="140"/>
      <c r="G1324" s="81">
        <f>SUM(G1330)+G1328+G1325</f>
        <v>285.39999999999998</v>
      </c>
      <c r="H1324" s="81">
        <f>SUM(H1330)+H1328+H1325</f>
        <v>285.39999999999998</v>
      </c>
      <c r="I1324" s="30">
        <f t="shared" si="65"/>
        <v>100</v>
      </c>
    </row>
    <row r="1325" spans="1:9" ht="29.25" customHeight="1">
      <c r="A1325" s="97" t="s">
        <v>839</v>
      </c>
      <c r="B1325" s="157"/>
      <c r="C1325" s="142" t="s">
        <v>180</v>
      </c>
      <c r="D1325" s="142" t="s">
        <v>838</v>
      </c>
      <c r="E1325" s="142" t="s">
        <v>843</v>
      </c>
      <c r="F1325" s="140"/>
      <c r="G1325" s="81">
        <f>SUM(G1326)</f>
        <v>45</v>
      </c>
      <c r="H1325" s="81">
        <f>SUM(H1326)</f>
        <v>45</v>
      </c>
      <c r="I1325" s="30">
        <f t="shared" si="65"/>
        <v>100</v>
      </c>
    </row>
    <row r="1326" spans="1:9" ht="25.5" customHeight="1">
      <c r="A1326" s="97" t="s">
        <v>276</v>
      </c>
      <c r="B1326" s="157"/>
      <c r="C1326" s="142" t="s">
        <v>180</v>
      </c>
      <c r="D1326" s="142" t="s">
        <v>838</v>
      </c>
      <c r="E1326" s="142" t="s">
        <v>843</v>
      </c>
      <c r="F1326" s="140" t="s">
        <v>132</v>
      </c>
      <c r="G1326" s="81">
        <v>45</v>
      </c>
      <c r="H1326" s="81">
        <v>45</v>
      </c>
      <c r="I1326" s="30">
        <f t="shared" si="65"/>
        <v>100</v>
      </c>
    </row>
    <row r="1327" spans="1:9" ht="29.25" hidden="1" customHeight="1">
      <c r="A1327" s="95" t="s">
        <v>759</v>
      </c>
      <c r="B1327" s="157"/>
      <c r="C1327" s="142" t="s">
        <v>180</v>
      </c>
      <c r="D1327" s="142" t="s">
        <v>838</v>
      </c>
      <c r="E1327" s="142" t="s">
        <v>387</v>
      </c>
      <c r="F1327" s="140"/>
      <c r="G1327" s="81">
        <f>SUM(G1328)</f>
        <v>0</v>
      </c>
      <c r="H1327" s="81">
        <f>SUM(H1328)</f>
        <v>0</v>
      </c>
      <c r="I1327" s="30" t="e">
        <f t="shared" si="65"/>
        <v>#DIV/0!</v>
      </c>
    </row>
    <row r="1328" spans="1:9" ht="59.25" hidden="1" customHeight="1">
      <c r="A1328" s="97" t="s">
        <v>231</v>
      </c>
      <c r="B1328" s="157"/>
      <c r="C1328" s="142" t="s">
        <v>180</v>
      </c>
      <c r="D1328" s="142" t="s">
        <v>838</v>
      </c>
      <c r="E1328" s="142" t="s">
        <v>387</v>
      </c>
      <c r="F1328" s="140" t="s">
        <v>132</v>
      </c>
      <c r="G1328" s="81"/>
      <c r="H1328" s="81"/>
      <c r="I1328" s="30" t="e">
        <f t="shared" si="65"/>
        <v>#DIV/0!</v>
      </c>
    </row>
    <row r="1329" spans="1:9" ht="30" customHeight="1">
      <c r="A1329" s="95" t="s">
        <v>403</v>
      </c>
      <c r="B1329" s="157"/>
      <c r="C1329" s="142" t="s">
        <v>180</v>
      </c>
      <c r="D1329" s="142" t="s">
        <v>838</v>
      </c>
      <c r="E1329" s="142" t="s">
        <v>411</v>
      </c>
      <c r="F1329" s="140"/>
      <c r="G1329" s="81">
        <f>SUM(G1330)</f>
        <v>240.4</v>
      </c>
      <c r="H1329" s="81">
        <f>SUM(H1330)</f>
        <v>240.4</v>
      </c>
      <c r="I1329" s="30">
        <f t="shared" si="65"/>
        <v>100</v>
      </c>
    </row>
    <row r="1330" spans="1:9" ht="22.5" customHeight="1">
      <c r="A1330" s="97" t="s">
        <v>231</v>
      </c>
      <c r="B1330" s="157"/>
      <c r="C1330" s="142" t="s">
        <v>180</v>
      </c>
      <c r="D1330" s="142" t="s">
        <v>838</v>
      </c>
      <c r="E1330" s="142" t="s">
        <v>411</v>
      </c>
      <c r="F1330" s="140" t="s">
        <v>132</v>
      </c>
      <c r="G1330" s="81">
        <v>240.4</v>
      </c>
      <c r="H1330" s="81">
        <v>240.4</v>
      </c>
      <c r="I1330" s="30">
        <f t="shared" si="65"/>
        <v>100</v>
      </c>
    </row>
    <row r="1331" spans="1:9" ht="42.75" customHeight="1">
      <c r="A1331" s="97" t="s">
        <v>57</v>
      </c>
      <c r="B1331" s="109"/>
      <c r="C1331" s="142" t="s">
        <v>180</v>
      </c>
      <c r="D1331" s="142" t="s">
        <v>838</v>
      </c>
      <c r="E1331" s="142" t="s">
        <v>143</v>
      </c>
      <c r="F1331" s="141"/>
      <c r="G1331" s="81">
        <f>SUM(G1332)</f>
        <v>4596</v>
      </c>
      <c r="H1331" s="81">
        <f>SUM(H1332)</f>
        <v>4285.7</v>
      </c>
      <c r="I1331" s="30">
        <f t="shared" ref="I1331:I1394" si="66">SUM(H1331/G1331*100)</f>
        <v>93.248476936466488</v>
      </c>
    </row>
    <row r="1332" spans="1:9" ht="45.75" customHeight="1">
      <c r="A1332" s="97" t="s">
        <v>275</v>
      </c>
      <c r="B1332" s="109"/>
      <c r="C1332" s="142" t="s">
        <v>180</v>
      </c>
      <c r="D1332" s="142" t="s">
        <v>838</v>
      </c>
      <c r="E1332" s="142" t="s">
        <v>143</v>
      </c>
      <c r="F1332" s="141" t="s">
        <v>51</v>
      </c>
      <c r="G1332" s="81">
        <v>4596</v>
      </c>
      <c r="H1332" s="81">
        <v>4285.7</v>
      </c>
      <c r="I1332" s="30">
        <f t="shared" si="66"/>
        <v>93.248476936466488</v>
      </c>
    </row>
    <row r="1333" spans="1:9" ht="46.5" customHeight="1">
      <c r="A1333" s="97" t="s">
        <v>60</v>
      </c>
      <c r="B1333" s="109"/>
      <c r="C1333" s="142" t="s">
        <v>180</v>
      </c>
      <c r="D1333" s="142" t="s">
        <v>838</v>
      </c>
      <c r="E1333" s="142" t="s">
        <v>144</v>
      </c>
      <c r="F1333" s="141"/>
      <c r="G1333" s="81">
        <f>SUM(G1334)</f>
        <v>341.5</v>
      </c>
      <c r="H1333" s="81">
        <f>SUM(H1334)</f>
        <v>288.60000000000002</v>
      </c>
      <c r="I1333" s="30">
        <f t="shared" si="66"/>
        <v>84.509516837481698</v>
      </c>
    </row>
    <row r="1334" spans="1:9" ht="25.5" customHeight="1">
      <c r="A1334" s="94" t="s">
        <v>276</v>
      </c>
      <c r="B1334" s="109"/>
      <c r="C1334" s="142" t="s">
        <v>180</v>
      </c>
      <c r="D1334" s="142" t="s">
        <v>838</v>
      </c>
      <c r="E1334" s="160" t="s">
        <v>144</v>
      </c>
      <c r="F1334" s="141" t="s">
        <v>132</v>
      </c>
      <c r="G1334" s="81">
        <v>341.5</v>
      </c>
      <c r="H1334" s="81">
        <v>288.60000000000002</v>
      </c>
      <c r="I1334" s="30">
        <f t="shared" si="66"/>
        <v>84.509516837481698</v>
      </c>
    </row>
    <row r="1335" spans="1:9" ht="37.5" customHeight="1">
      <c r="A1335" s="97" t="s">
        <v>150</v>
      </c>
      <c r="B1335" s="109"/>
      <c r="C1335" s="142" t="s">
        <v>180</v>
      </c>
      <c r="D1335" s="142" t="s">
        <v>838</v>
      </c>
      <c r="E1335" s="142" t="s">
        <v>145</v>
      </c>
      <c r="F1335" s="141"/>
      <c r="G1335" s="81">
        <f>SUM(G1337+G1336)</f>
        <v>259500.4</v>
      </c>
      <c r="H1335" s="81">
        <f>SUM(H1337+H1336)</f>
        <v>259387.9</v>
      </c>
      <c r="I1335" s="30">
        <f t="shared" si="66"/>
        <v>99.956647465668652</v>
      </c>
    </row>
    <row r="1336" spans="1:9" ht="19.5" customHeight="1">
      <c r="A1336" s="97" t="s">
        <v>276</v>
      </c>
      <c r="B1336" s="109"/>
      <c r="C1336" s="142" t="s">
        <v>180</v>
      </c>
      <c r="D1336" s="142" t="s">
        <v>838</v>
      </c>
      <c r="E1336" s="142" t="s">
        <v>145</v>
      </c>
      <c r="F1336" s="141" t="s">
        <v>132</v>
      </c>
      <c r="G1336" s="81">
        <v>2310.5</v>
      </c>
      <c r="H1336" s="81">
        <v>2278.4</v>
      </c>
      <c r="I1336" s="30">
        <f t="shared" si="66"/>
        <v>98.610690326769102</v>
      </c>
    </row>
    <row r="1337" spans="1:9" ht="48.75" customHeight="1">
      <c r="A1337" s="97" t="s">
        <v>955</v>
      </c>
      <c r="B1337" s="109"/>
      <c r="C1337" s="142" t="s">
        <v>180</v>
      </c>
      <c r="D1337" s="142" t="s">
        <v>838</v>
      </c>
      <c r="E1337" s="142" t="s">
        <v>145</v>
      </c>
      <c r="F1337" s="141" t="s">
        <v>440</v>
      </c>
      <c r="G1337" s="81">
        <v>257189.9</v>
      </c>
      <c r="H1337" s="81">
        <v>257109.5</v>
      </c>
      <c r="I1337" s="30">
        <f t="shared" si="66"/>
        <v>99.968739052350031</v>
      </c>
    </row>
    <row r="1338" spans="1:9" ht="31.5" customHeight="1">
      <c r="A1338" s="95" t="s">
        <v>48</v>
      </c>
      <c r="B1338" s="157"/>
      <c r="C1338" s="142" t="s">
        <v>180</v>
      </c>
      <c r="D1338" s="142" t="s">
        <v>838</v>
      </c>
      <c r="E1338" s="142" t="s">
        <v>688</v>
      </c>
      <c r="F1338" s="140"/>
      <c r="G1338" s="81">
        <f>SUM(G1339+G1347+G1351+G1356)+G1340+G1349</f>
        <v>363179.7</v>
      </c>
      <c r="H1338" s="81">
        <f>SUM(H1339+H1347+H1351+H1356)+H1340+H1349</f>
        <v>360709.69999999995</v>
      </c>
      <c r="I1338" s="30">
        <f t="shared" si="66"/>
        <v>99.319895908278994</v>
      </c>
    </row>
    <row r="1339" spans="1:9" ht="19.5" customHeight="1">
      <c r="A1339" s="97" t="s">
        <v>49</v>
      </c>
      <c r="B1339" s="109"/>
      <c r="C1339" s="142" t="s">
        <v>180</v>
      </c>
      <c r="D1339" s="142" t="s">
        <v>838</v>
      </c>
      <c r="E1339" s="142" t="s">
        <v>688</v>
      </c>
      <c r="F1339" s="141" t="s">
        <v>498</v>
      </c>
      <c r="G1339" s="81">
        <v>65694.3</v>
      </c>
      <c r="H1339" s="81">
        <v>63654.6</v>
      </c>
      <c r="I1339" s="30">
        <f t="shared" si="66"/>
        <v>96.895164420657494</v>
      </c>
    </row>
    <row r="1340" spans="1:9" ht="26.25" hidden="1" customHeight="1">
      <c r="A1340" s="97" t="s">
        <v>395</v>
      </c>
      <c r="B1340" s="109"/>
      <c r="C1340" s="142" t="s">
        <v>180</v>
      </c>
      <c r="D1340" s="142" t="s">
        <v>838</v>
      </c>
      <c r="E1340" s="142" t="s">
        <v>691</v>
      </c>
      <c r="F1340" s="141"/>
      <c r="G1340" s="81">
        <f>SUM(G1341)</f>
        <v>0</v>
      </c>
      <c r="H1340" s="81">
        <f>SUM(H1341)</f>
        <v>0</v>
      </c>
      <c r="I1340" s="30" t="e">
        <f t="shared" si="66"/>
        <v>#DIV/0!</v>
      </c>
    </row>
    <row r="1341" spans="1:9" ht="19.5" hidden="1" customHeight="1">
      <c r="A1341" s="97" t="s">
        <v>497</v>
      </c>
      <c r="B1341" s="109"/>
      <c r="C1341" s="142" t="s">
        <v>180</v>
      </c>
      <c r="D1341" s="142" t="s">
        <v>838</v>
      </c>
      <c r="E1341" s="142" t="s">
        <v>691</v>
      </c>
      <c r="F1341" s="141" t="s">
        <v>498</v>
      </c>
      <c r="G1341" s="81"/>
      <c r="H1341" s="81"/>
      <c r="I1341" s="30" t="e">
        <f t="shared" si="66"/>
        <v>#DIV/0!</v>
      </c>
    </row>
    <row r="1342" spans="1:9" ht="19.5" hidden="1" customHeight="1">
      <c r="A1342" s="97" t="s">
        <v>670</v>
      </c>
      <c r="B1342" s="109"/>
      <c r="C1342" s="142" t="s">
        <v>180</v>
      </c>
      <c r="D1342" s="142" t="s">
        <v>838</v>
      </c>
      <c r="E1342" s="142" t="s">
        <v>688</v>
      </c>
      <c r="F1342" s="140" t="s">
        <v>671</v>
      </c>
      <c r="G1342" s="81"/>
      <c r="H1342" s="81"/>
      <c r="I1342" s="30" t="e">
        <f t="shared" si="66"/>
        <v>#DIV/0!</v>
      </c>
    </row>
    <row r="1343" spans="1:9" ht="19.5" hidden="1" customHeight="1">
      <c r="A1343" s="97" t="s">
        <v>497</v>
      </c>
      <c r="B1343" s="109"/>
      <c r="C1343" s="142" t="s">
        <v>180</v>
      </c>
      <c r="D1343" s="142" t="s">
        <v>838</v>
      </c>
      <c r="E1343" s="160" t="s">
        <v>693</v>
      </c>
      <c r="F1343" s="141" t="s">
        <v>498</v>
      </c>
      <c r="G1343" s="81"/>
      <c r="H1343" s="81"/>
      <c r="I1343" s="30" t="e">
        <f t="shared" si="66"/>
        <v>#DIV/0!</v>
      </c>
    </row>
    <row r="1344" spans="1:9" ht="60.75" hidden="1" customHeight="1">
      <c r="A1344" s="97" t="s">
        <v>689</v>
      </c>
      <c r="B1344" s="109"/>
      <c r="C1344" s="142" t="s">
        <v>180</v>
      </c>
      <c r="D1344" s="142" t="s">
        <v>838</v>
      </c>
      <c r="E1344" s="142" t="s">
        <v>688</v>
      </c>
      <c r="F1344" s="141" t="s">
        <v>690</v>
      </c>
      <c r="G1344" s="81"/>
      <c r="H1344" s="81"/>
      <c r="I1344" s="30" t="e">
        <f t="shared" si="66"/>
        <v>#DIV/0!</v>
      </c>
    </row>
    <row r="1345" spans="1:9" ht="17.25" hidden="1" customHeight="1">
      <c r="A1345" s="97" t="s">
        <v>692</v>
      </c>
      <c r="B1345" s="109"/>
      <c r="C1345" s="142" t="s">
        <v>180</v>
      </c>
      <c r="D1345" s="142" t="s">
        <v>838</v>
      </c>
      <c r="E1345" s="160" t="s">
        <v>693</v>
      </c>
      <c r="F1345" s="141"/>
      <c r="G1345" s="81">
        <f>SUM(G1346)</f>
        <v>0</v>
      </c>
      <c r="H1345" s="81">
        <f>SUM(H1346)</f>
        <v>0</v>
      </c>
      <c r="I1345" s="30" t="e">
        <f t="shared" si="66"/>
        <v>#DIV/0!</v>
      </c>
    </row>
    <row r="1346" spans="1:9" ht="15" hidden="1">
      <c r="A1346" s="97" t="s">
        <v>497</v>
      </c>
      <c r="B1346" s="109"/>
      <c r="C1346" s="142" t="s">
        <v>180</v>
      </c>
      <c r="D1346" s="142" t="s">
        <v>838</v>
      </c>
      <c r="E1346" s="160" t="s">
        <v>693</v>
      </c>
      <c r="F1346" s="141" t="s">
        <v>498</v>
      </c>
      <c r="G1346" s="81"/>
      <c r="H1346" s="81"/>
      <c r="I1346" s="30" t="e">
        <f t="shared" si="66"/>
        <v>#DIV/0!</v>
      </c>
    </row>
    <row r="1347" spans="1:9" ht="42.75">
      <c r="A1347" s="97" t="s">
        <v>57</v>
      </c>
      <c r="B1347" s="109"/>
      <c r="C1347" s="142" t="s">
        <v>180</v>
      </c>
      <c r="D1347" s="142" t="s">
        <v>838</v>
      </c>
      <c r="E1347" s="142" t="s">
        <v>58</v>
      </c>
      <c r="F1347" s="141"/>
      <c r="G1347" s="81">
        <f>SUM(G1348)</f>
        <v>5456</v>
      </c>
      <c r="H1347" s="81">
        <f>SUM(H1348)</f>
        <v>5126.3</v>
      </c>
      <c r="I1347" s="30">
        <f t="shared" si="66"/>
        <v>93.957111436950143</v>
      </c>
    </row>
    <row r="1348" spans="1:9" ht="26.25" customHeight="1">
      <c r="A1348" s="97" t="s">
        <v>49</v>
      </c>
      <c r="B1348" s="109"/>
      <c r="C1348" s="142" t="s">
        <v>180</v>
      </c>
      <c r="D1348" s="142" t="s">
        <v>838</v>
      </c>
      <c r="E1348" s="142" t="s">
        <v>58</v>
      </c>
      <c r="F1348" s="141" t="s">
        <v>498</v>
      </c>
      <c r="G1348" s="81">
        <v>5456</v>
      </c>
      <c r="H1348" s="81">
        <v>5126.3</v>
      </c>
      <c r="I1348" s="30">
        <f t="shared" si="66"/>
        <v>93.957111436950143</v>
      </c>
    </row>
    <row r="1349" spans="1:9" ht="28.5" hidden="1" customHeight="1">
      <c r="A1349" s="95" t="s">
        <v>384</v>
      </c>
      <c r="B1349" s="138"/>
      <c r="C1349" s="142" t="s">
        <v>180</v>
      </c>
      <c r="D1349" s="142" t="s">
        <v>838</v>
      </c>
      <c r="E1349" s="142" t="s">
        <v>388</v>
      </c>
      <c r="F1349" s="141"/>
      <c r="G1349" s="81">
        <f>SUM(G1350)</f>
        <v>0</v>
      </c>
      <c r="H1349" s="81">
        <f>SUM(H1350)</f>
        <v>0</v>
      </c>
      <c r="I1349" s="30" t="e">
        <f t="shared" si="66"/>
        <v>#DIV/0!</v>
      </c>
    </row>
    <row r="1350" spans="1:9" ht="20.25" hidden="1" customHeight="1">
      <c r="A1350" s="97" t="s">
        <v>497</v>
      </c>
      <c r="B1350" s="138"/>
      <c r="C1350" s="142" t="s">
        <v>180</v>
      </c>
      <c r="D1350" s="142" t="s">
        <v>838</v>
      </c>
      <c r="E1350" s="142" t="s">
        <v>388</v>
      </c>
      <c r="F1350" s="141" t="s">
        <v>498</v>
      </c>
      <c r="G1350" s="81"/>
      <c r="H1350" s="81"/>
      <c r="I1350" s="30" t="e">
        <f t="shared" si="66"/>
        <v>#DIV/0!</v>
      </c>
    </row>
    <row r="1351" spans="1:9" ht="46.5" customHeight="1">
      <c r="A1351" s="97" t="s">
        <v>60</v>
      </c>
      <c r="B1351" s="109"/>
      <c r="C1351" s="142" t="s">
        <v>180</v>
      </c>
      <c r="D1351" s="142" t="s">
        <v>838</v>
      </c>
      <c r="E1351" s="142" t="s">
        <v>61</v>
      </c>
      <c r="F1351" s="141"/>
      <c r="G1351" s="81">
        <f>SUM(G1353)</f>
        <v>456.2</v>
      </c>
      <c r="H1351" s="81">
        <f>SUM(H1353)</f>
        <v>361.5</v>
      </c>
      <c r="I1351" s="30">
        <f t="shared" si="66"/>
        <v>79.24156071898291</v>
      </c>
    </row>
    <row r="1352" spans="1:9" ht="0.75" hidden="1" customHeight="1">
      <c r="A1352" s="95" t="s">
        <v>630</v>
      </c>
      <c r="B1352" s="109"/>
      <c r="C1352" s="142" t="s">
        <v>180</v>
      </c>
      <c r="D1352" s="142" t="s">
        <v>838</v>
      </c>
      <c r="E1352" s="142" t="s">
        <v>688</v>
      </c>
      <c r="F1352" s="141" t="s">
        <v>631</v>
      </c>
      <c r="G1352" s="81"/>
      <c r="H1352" s="81"/>
      <c r="I1352" s="30" t="e">
        <f t="shared" si="66"/>
        <v>#DIV/0!</v>
      </c>
    </row>
    <row r="1353" spans="1:9" ht="27" customHeight="1">
      <c r="A1353" s="97" t="s">
        <v>49</v>
      </c>
      <c r="B1353" s="109"/>
      <c r="C1353" s="142" t="s">
        <v>180</v>
      </c>
      <c r="D1353" s="142" t="s">
        <v>838</v>
      </c>
      <c r="E1353" s="142" t="s">
        <v>61</v>
      </c>
      <c r="F1353" s="141" t="s">
        <v>498</v>
      </c>
      <c r="G1353" s="81">
        <v>456.2</v>
      </c>
      <c r="H1353" s="81">
        <v>361.5</v>
      </c>
      <c r="I1353" s="30">
        <f t="shared" si="66"/>
        <v>79.24156071898291</v>
      </c>
    </row>
    <row r="1354" spans="1:9" ht="57" hidden="1">
      <c r="A1354" s="97" t="s">
        <v>632</v>
      </c>
      <c r="B1354" s="109"/>
      <c r="C1354" s="142" t="s">
        <v>180</v>
      </c>
      <c r="D1354" s="142" t="s">
        <v>838</v>
      </c>
      <c r="E1354" s="142" t="s">
        <v>633</v>
      </c>
      <c r="F1354" s="141"/>
      <c r="G1354" s="81">
        <f>SUM(G1355)</f>
        <v>0</v>
      </c>
      <c r="H1354" s="81">
        <f>SUM(H1355)</f>
        <v>0</v>
      </c>
      <c r="I1354" s="30" t="e">
        <f t="shared" si="66"/>
        <v>#DIV/0!</v>
      </c>
    </row>
    <row r="1355" spans="1:9" ht="15" hidden="1" customHeight="1">
      <c r="A1355" s="97" t="s">
        <v>634</v>
      </c>
      <c r="B1355" s="109"/>
      <c r="C1355" s="142" t="s">
        <v>180</v>
      </c>
      <c r="D1355" s="142" t="s">
        <v>838</v>
      </c>
      <c r="E1355" s="142" t="s">
        <v>633</v>
      </c>
      <c r="F1355" s="141" t="s">
        <v>635</v>
      </c>
      <c r="G1355" s="81"/>
      <c r="H1355" s="81"/>
      <c r="I1355" s="30" t="e">
        <f t="shared" si="66"/>
        <v>#DIV/0!</v>
      </c>
    </row>
    <row r="1356" spans="1:9" ht="28.5" customHeight="1">
      <c r="A1356" s="97" t="s">
        <v>636</v>
      </c>
      <c r="B1356" s="109"/>
      <c r="C1356" s="142" t="s">
        <v>180</v>
      </c>
      <c r="D1356" s="142" t="s">
        <v>838</v>
      </c>
      <c r="E1356" s="142" t="s">
        <v>637</v>
      </c>
      <c r="F1356" s="141"/>
      <c r="G1356" s="81">
        <f>SUM(G1357)</f>
        <v>291573.2</v>
      </c>
      <c r="H1356" s="81">
        <f>SUM(H1357)</f>
        <v>291567.3</v>
      </c>
      <c r="I1356" s="30">
        <f t="shared" si="66"/>
        <v>99.99797649441031</v>
      </c>
    </row>
    <row r="1357" spans="1:9" ht="24.75" customHeight="1">
      <c r="A1357" s="97" t="s">
        <v>49</v>
      </c>
      <c r="B1357" s="109"/>
      <c r="C1357" s="142" t="s">
        <v>180</v>
      </c>
      <c r="D1357" s="142" t="s">
        <v>838</v>
      </c>
      <c r="E1357" s="142" t="s">
        <v>637</v>
      </c>
      <c r="F1357" s="141" t="s">
        <v>498</v>
      </c>
      <c r="G1357" s="81">
        <v>291573.2</v>
      </c>
      <c r="H1357" s="81">
        <v>291567.3</v>
      </c>
      <c r="I1357" s="30">
        <f t="shared" si="66"/>
        <v>99.99797649441031</v>
      </c>
    </row>
    <row r="1358" spans="1:9" ht="21.75" customHeight="1">
      <c r="A1358" s="95" t="s">
        <v>638</v>
      </c>
      <c r="B1358" s="138"/>
      <c r="C1358" s="142" t="s">
        <v>180</v>
      </c>
      <c r="D1358" s="142" t="s">
        <v>838</v>
      </c>
      <c r="E1358" s="142" t="s">
        <v>639</v>
      </c>
      <c r="F1358" s="140"/>
      <c r="G1358" s="81">
        <f>SUM(G1359)</f>
        <v>43549.599999999999</v>
      </c>
      <c r="H1358" s="81">
        <f>SUM(H1359)</f>
        <v>43309.2</v>
      </c>
      <c r="I1358" s="30">
        <f t="shared" si="66"/>
        <v>99.447985744989623</v>
      </c>
    </row>
    <row r="1359" spans="1:9" ht="24" customHeight="1">
      <c r="A1359" s="95" t="s">
        <v>953</v>
      </c>
      <c r="B1359" s="157"/>
      <c r="C1359" s="142" t="s">
        <v>180</v>
      </c>
      <c r="D1359" s="142" t="s">
        <v>838</v>
      </c>
      <c r="E1359" s="142" t="s">
        <v>125</v>
      </c>
      <c r="F1359" s="140"/>
      <c r="G1359" s="81">
        <f>SUM(G1362+G1364+G1366+G1368)+G1360</f>
        <v>43549.599999999999</v>
      </c>
      <c r="H1359" s="81">
        <f>SUM(H1362+H1364+H1366+H1368)+H1360</f>
        <v>43309.2</v>
      </c>
      <c r="I1359" s="30">
        <f t="shared" si="66"/>
        <v>99.447985744989623</v>
      </c>
    </row>
    <row r="1360" spans="1:9" ht="50.25" hidden="1" customHeight="1">
      <c r="A1360" s="95" t="s">
        <v>395</v>
      </c>
      <c r="B1360" s="157"/>
      <c r="C1360" s="142" t="s">
        <v>180</v>
      </c>
      <c r="D1360" s="142" t="s">
        <v>838</v>
      </c>
      <c r="E1360" s="142" t="s">
        <v>398</v>
      </c>
      <c r="F1360" s="140"/>
      <c r="G1360" s="81">
        <f>SUM(G1361)</f>
        <v>0</v>
      </c>
      <c r="H1360" s="81">
        <f>SUM(H1361)</f>
        <v>0</v>
      </c>
      <c r="I1360" s="30" t="e">
        <f t="shared" si="66"/>
        <v>#DIV/0!</v>
      </c>
    </row>
    <row r="1361" spans="1:9" ht="19.5" hidden="1" customHeight="1">
      <c r="A1361" s="95" t="s">
        <v>276</v>
      </c>
      <c r="B1361" s="157"/>
      <c r="C1361" s="142" t="s">
        <v>180</v>
      </c>
      <c r="D1361" s="142" t="s">
        <v>838</v>
      </c>
      <c r="E1361" s="142" t="s">
        <v>398</v>
      </c>
      <c r="F1361" s="140" t="s">
        <v>132</v>
      </c>
      <c r="G1361" s="81"/>
      <c r="H1361" s="81"/>
      <c r="I1361" s="30" t="e">
        <f t="shared" si="66"/>
        <v>#DIV/0!</v>
      </c>
    </row>
    <row r="1362" spans="1:9" ht="30" customHeight="1">
      <c r="A1362" s="95" t="s">
        <v>151</v>
      </c>
      <c r="B1362" s="157"/>
      <c r="C1362" s="142" t="s">
        <v>180</v>
      </c>
      <c r="D1362" s="142" t="s">
        <v>838</v>
      </c>
      <c r="E1362" s="142" t="s">
        <v>126</v>
      </c>
      <c r="F1362" s="140"/>
      <c r="G1362" s="81">
        <f>SUM(G1363)</f>
        <v>43549.599999999999</v>
      </c>
      <c r="H1362" s="81">
        <f>SUM(H1363)</f>
        <v>43309.2</v>
      </c>
      <c r="I1362" s="30">
        <f t="shared" si="66"/>
        <v>99.447985744989623</v>
      </c>
    </row>
    <row r="1363" spans="1:9" ht="45" customHeight="1">
      <c r="A1363" s="97" t="s">
        <v>275</v>
      </c>
      <c r="B1363" s="109"/>
      <c r="C1363" s="142" t="s">
        <v>180</v>
      </c>
      <c r="D1363" s="142" t="s">
        <v>838</v>
      </c>
      <c r="E1363" s="142" t="s">
        <v>126</v>
      </c>
      <c r="F1363" s="141" t="s">
        <v>51</v>
      </c>
      <c r="G1363" s="81">
        <v>43549.599999999999</v>
      </c>
      <c r="H1363" s="81">
        <v>43309.2</v>
      </c>
      <c r="I1363" s="30">
        <f t="shared" si="66"/>
        <v>99.447985744989623</v>
      </c>
    </row>
    <row r="1364" spans="1:9" ht="19.5" hidden="1" customHeight="1">
      <c r="A1364" s="95"/>
      <c r="B1364" s="138"/>
      <c r="C1364" s="142"/>
      <c r="D1364" s="142"/>
      <c r="E1364" s="142"/>
      <c r="F1364" s="140"/>
      <c r="G1364" s="81"/>
      <c r="H1364" s="81"/>
      <c r="I1364" s="30" t="e">
        <f t="shared" si="66"/>
        <v>#DIV/0!</v>
      </c>
    </row>
    <row r="1365" spans="1:9" ht="19.5" hidden="1" customHeight="1">
      <c r="A1365" s="95" t="s">
        <v>495</v>
      </c>
      <c r="B1365" s="157"/>
      <c r="C1365" s="142" t="s">
        <v>180</v>
      </c>
      <c r="D1365" s="142" t="s">
        <v>838</v>
      </c>
      <c r="E1365" s="142" t="s">
        <v>640</v>
      </c>
      <c r="F1365" s="140"/>
      <c r="G1365" s="81">
        <f>SUM(G1366+G1371+G1367)</f>
        <v>0</v>
      </c>
      <c r="H1365" s="81">
        <f>SUM(H1366+H1371+H1367)</f>
        <v>0</v>
      </c>
      <c r="I1365" s="30" t="e">
        <f t="shared" si="66"/>
        <v>#DIV/0!</v>
      </c>
    </row>
    <row r="1366" spans="1:9" ht="19.5" hidden="1" customHeight="1">
      <c r="A1366" s="97" t="s">
        <v>49</v>
      </c>
      <c r="B1366" s="109"/>
      <c r="C1366" s="142" t="s">
        <v>180</v>
      </c>
      <c r="D1366" s="142" t="s">
        <v>838</v>
      </c>
      <c r="E1366" s="142" t="s">
        <v>640</v>
      </c>
      <c r="F1366" s="141" t="s">
        <v>498</v>
      </c>
      <c r="G1366" s="81"/>
      <c r="H1366" s="81"/>
      <c r="I1366" s="30" t="e">
        <f t="shared" si="66"/>
        <v>#DIV/0!</v>
      </c>
    </row>
    <row r="1367" spans="1:9" ht="19.5" hidden="1" customHeight="1">
      <c r="A1367" s="97" t="s">
        <v>395</v>
      </c>
      <c r="B1367" s="109"/>
      <c r="C1367" s="142" t="s">
        <v>180</v>
      </c>
      <c r="D1367" s="142" t="s">
        <v>838</v>
      </c>
      <c r="E1367" s="142" t="s">
        <v>643</v>
      </c>
      <c r="F1367" s="141"/>
      <c r="G1367" s="81">
        <f>SUM(G1368)</f>
        <v>0</v>
      </c>
      <c r="H1367" s="81">
        <f>SUM(H1368)</f>
        <v>0</v>
      </c>
      <c r="I1367" s="30" t="e">
        <f t="shared" si="66"/>
        <v>#DIV/0!</v>
      </c>
    </row>
    <row r="1368" spans="1:9" s="37" customFormat="1" ht="19.5" hidden="1" customHeight="1">
      <c r="A1368" s="97" t="s">
        <v>673</v>
      </c>
      <c r="B1368" s="109"/>
      <c r="C1368" s="142" t="s">
        <v>180</v>
      </c>
      <c r="D1368" s="142" t="s">
        <v>838</v>
      </c>
      <c r="E1368" s="142" t="s">
        <v>643</v>
      </c>
      <c r="F1368" s="141" t="s">
        <v>674</v>
      </c>
      <c r="G1368" s="81"/>
      <c r="H1368" s="81"/>
      <c r="I1368" s="30" t="e">
        <f t="shared" si="66"/>
        <v>#DIV/0!</v>
      </c>
    </row>
    <row r="1369" spans="1:9" ht="19.5" hidden="1" customHeight="1">
      <c r="A1369" s="97" t="s">
        <v>641</v>
      </c>
      <c r="B1369" s="109"/>
      <c r="C1369" s="142" t="s">
        <v>180</v>
      </c>
      <c r="D1369" s="142" t="s">
        <v>838</v>
      </c>
      <c r="E1369" s="142" t="s">
        <v>640</v>
      </c>
      <c r="F1369" s="141" t="s">
        <v>642</v>
      </c>
      <c r="G1369" s="81"/>
      <c r="H1369" s="81"/>
      <c r="I1369" s="30" t="e">
        <f t="shared" si="66"/>
        <v>#DIV/0!</v>
      </c>
    </row>
    <row r="1370" spans="1:9" ht="19.5" hidden="1" customHeight="1">
      <c r="A1370" s="97" t="s">
        <v>670</v>
      </c>
      <c r="B1370" s="109"/>
      <c r="C1370" s="142" t="s">
        <v>180</v>
      </c>
      <c r="D1370" s="142" t="s">
        <v>838</v>
      </c>
      <c r="E1370" s="142" t="s">
        <v>640</v>
      </c>
      <c r="F1370" s="140" t="s">
        <v>671</v>
      </c>
      <c r="G1370" s="81"/>
      <c r="H1370" s="81"/>
      <c r="I1370" s="30" t="e">
        <f t="shared" si="66"/>
        <v>#DIV/0!</v>
      </c>
    </row>
    <row r="1371" spans="1:9" ht="19.5" hidden="1" customHeight="1">
      <c r="A1371" s="95" t="s">
        <v>1010</v>
      </c>
      <c r="B1371" s="109"/>
      <c r="C1371" s="142" t="s">
        <v>180</v>
      </c>
      <c r="D1371" s="142" t="s">
        <v>838</v>
      </c>
      <c r="E1371" s="142" t="s">
        <v>644</v>
      </c>
      <c r="F1371" s="141"/>
      <c r="G1371" s="81">
        <f>SUM(G1373)</f>
        <v>0</v>
      </c>
      <c r="H1371" s="81">
        <f>SUM(H1373)</f>
        <v>0</v>
      </c>
      <c r="I1371" s="30" t="e">
        <f t="shared" si="66"/>
        <v>#DIV/0!</v>
      </c>
    </row>
    <row r="1372" spans="1:9" ht="23.25" hidden="1" customHeight="1">
      <c r="A1372" s="95" t="s">
        <v>630</v>
      </c>
      <c r="B1372" s="109"/>
      <c r="C1372" s="142" t="s">
        <v>180</v>
      </c>
      <c r="D1372" s="142" t="s">
        <v>838</v>
      </c>
      <c r="E1372" s="142" t="s">
        <v>640</v>
      </c>
      <c r="F1372" s="141" t="s">
        <v>631</v>
      </c>
      <c r="G1372" s="81"/>
      <c r="H1372" s="81"/>
      <c r="I1372" s="30" t="e">
        <f t="shared" si="66"/>
        <v>#DIV/0!</v>
      </c>
    </row>
    <row r="1373" spans="1:9" ht="19.5" hidden="1" customHeight="1">
      <c r="A1373" s="97" t="s">
        <v>497</v>
      </c>
      <c r="B1373" s="109"/>
      <c r="C1373" s="142" t="s">
        <v>180</v>
      </c>
      <c r="D1373" s="142" t="s">
        <v>838</v>
      </c>
      <c r="E1373" s="142" t="s">
        <v>644</v>
      </c>
      <c r="F1373" s="141" t="s">
        <v>498</v>
      </c>
      <c r="G1373" s="81"/>
      <c r="H1373" s="81"/>
      <c r="I1373" s="30" t="e">
        <f t="shared" si="66"/>
        <v>#DIV/0!</v>
      </c>
    </row>
    <row r="1374" spans="1:9" ht="23.25" customHeight="1">
      <c r="A1374" s="95" t="s">
        <v>654</v>
      </c>
      <c r="B1374" s="142"/>
      <c r="C1374" s="142" t="s">
        <v>180</v>
      </c>
      <c r="D1374" s="142" t="s">
        <v>838</v>
      </c>
      <c r="E1374" s="142" t="s">
        <v>655</v>
      </c>
      <c r="F1374" s="140"/>
      <c r="G1374" s="81">
        <f>SUM(G1375)</f>
        <v>37247.1</v>
      </c>
      <c r="H1374" s="81">
        <f>SUM(H1375)</f>
        <v>37246.200000000004</v>
      </c>
      <c r="I1374" s="30">
        <f t="shared" si="66"/>
        <v>99.997583704503185</v>
      </c>
    </row>
    <row r="1375" spans="1:9" ht="18.75" customHeight="1">
      <c r="A1375" s="95" t="s">
        <v>153</v>
      </c>
      <c r="B1375" s="157"/>
      <c r="C1375" s="142" t="s">
        <v>180</v>
      </c>
      <c r="D1375" s="142" t="s">
        <v>838</v>
      </c>
      <c r="E1375" s="142" t="s">
        <v>656</v>
      </c>
      <c r="F1375" s="140"/>
      <c r="G1375" s="81">
        <f>SUM(G1379+G1381)</f>
        <v>37247.1</v>
      </c>
      <c r="H1375" s="81">
        <f>SUM(H1379+H1381)</f>
        <v>37246.200000000004</v>
      </c>
      <c r="I1375" s="30">
        <f t="shared" si="66"/>
        <v>99.997583704503185</v>
      </c>
    </row>
    <row r="1376" spans="1:9" ht="18.75" customHeight="1">
      <c r="A1376" s="97" t="s">
        <v>49</v>
      </c>
      <c r="B1376" s="109"/>
      <c r="C1376" s="142" t="s">
        <v>180</v>
      </c>
      <c r="D1376" s="142" t="s">
        <v>838</v>
      </c>
      <c r="E1376" s="142" t="s">
        <v>656</v>
      </c>
      <c r="F1376" s="141" t="s">
        <v>498</v>
      </c>
      <c r="G1376" s="81">
        <v>37247.1</v>
      </c>
      <c r="H1376" s="81">
        <v>37247.1</v>
      </c>
      <c r="I1376" s="30">
        <f t="shared" si="66"/>
        <v>100</v>
      </c>
    </row>
    <row r="1377" spans="1:9" ht="48.75" hidden="1" customHeight="1">
      <c r="A1377" s="97" t="s">
        <v>395</v>
      </c>
      <c r="B1377" s="109"/>
      <c r="C1377" s="142" t="s">
        <v>180</v>
      </c>
      <c r="D1377" s="142" t="s">
        <v>838</v>
      </c>
      <c r="E1377" s="142" t="s">
        <v>525</v>
      </c>
      <c r="F1377" s="141"/>
      <c r="G1377" s="81">
        <f>SUM(G1378)</f>
        <v>0</v>
      </c>
      <c r="H1377" s="81">
        <f>SUM(H1378)</f>
        <v>0</v>
      </c>
      <c r="I1377" s="30" t="e">
        <f t="shared" si="66"/>
        <v>#DIV/0!</v>
      </c>
    </row>
    <row r="1378" spans="1:9" ht="75.75" hidden="1" customHeight="1">
      <c r="A1378" s="97" t="s">
        <v>497</v>
      </c>
      <c r="B1378" s="109"/>
      <c r="C1378" s="142" t="s">
        <v>180</v>
      </c>
      <c r="D1378" s="142" t="s">
        <v>838</v>
      </c>
      <c r="E1378" s="142" t="s">
        <v>525</v>
      </c>
      <c r="F1378" s="141" t="s">
        <v>498</v>
      </c>
      <c r="G1378" s="81"/>
      <c r="H1378" s="81"/>
      <c r="I1378" s="30" t="e">
        <f t="shared" si="66"/>
        <v>#DIV/0!</v>
      </c>
    </row>
    <row r="1379" spans="1:9" ht="48" customHeight="1">
      <c r="A1379" s="97" t="s">
        <v>60</v>
      </c>
      <c r="B1379" s="109"/>
      <c r="C1379" s="142" t="s">
        <v>180</v>
      </c>
      <c r="D1379" s="142" t="s">
        <v>838</v>
      </c>
      <c r="E1379" s="142" t="s">
        <v>657</v>
      </c>
      <c r="F1379" s="141"/>
      <c r="G1379" s="81">
        <f>SUM(G1380)</f>
        <v>33.200000000000003</v>
      </c>
      <c r="H1379" s="81">
        <f>SUM(H1380)</f>
        <v>32.299999999999997</v>
      </c>
      <c r="I1379" s="30">
        <f t="shared" si="66"/>
        <v>97.289156626506013</v>
      </c>
    </row>
    <row r="1380" spans="1:9" ht="15.75" customHeight="1">
      <c r="A1380" s="97" t="s">
        <v>49</v>
      </c>
      <c r="B1380" s="109"/>
      <c r="C1380" s="142" t="s">
        <v>180</v>
      </c>
      <c r="D1380" s="142" t="s">
        <v>838</v>
      </c>
      <c r="E1380" s="142" t="s">
        <v>657</v>
      </c>
      <c r="F1380" s="141" t="s">
        <v>498</v>
      </c>
      <c r="G1380" s="81">
        <v>33.200000000000003</v>
      </c>
      <c r="H1380" s="81">
        <v>32.299999999999997</v>
      </c>
      <c r="I1380" s="30">
        <f t="shared" si="66"/>
        <v>97.289156626506013</v>
      </c>
    </row>
    <row r="1381" spans="1:9" ht="76.5" customHeight="1">
      <c r="A1381" s="97" t="s">
        <v>152</v>
      </c>
      <c r="B1381" s="109"/>
      <c r="C1381" s="142" t="s">
        <v>180</v>
      </c>
      <c r="D1381" s="142" t="s">
        <v>838</v>
      </c>
      <c r="E1381" s="142" t="s">
        <v>658</v>
      </c>
      <c r="F1381" s="141"/>
      <c r="G1381" s="81">
        <f>SUM(G1382)</f>
        <v>37213.9</v>
      </c>
      <c r="H1381" s="81">
        <f>SUM(H1382)</f>
        <v>37213.9</v>
      </c>
      <c r="I1381" s="30">
        <f t="shared" si="66"/>
        <v>100</v>
      </c>
    </row>
    <row r="1382" spans="1:9" s="32" customFormat="1" ht="18" customHeight="1">
      <c r="A1382" s="97" t="s">
        <v>49</v>
      </c>
      <c r="B1382" s="109"/>
      <c r="C1382" s="142" t="s">
        <v>180</v>
      </c>
      <c r="D1382" s="142" t="s">
        <v>838</v>
      </c>
      <c r="E1382" s="142" t="s">
        <v>658</v>
      </c>
      <c r="F1382" s="141" t="s">
        <v>498</v>
      </c>
      <c r="G1382" s="81">
        <v>37213.9</v>
      </c>
      <c r="H1382" s="81">
        <v>37213.9</v>
      </c>
      <c r="I1382" s="30">
        <f t="shared" si="66"/>
        <v>100</v>
      </c>
    </row>
    <row r="1383" spans="1:9" s="36" customFormat="1" ht="17.25" hidden="1" customHeight="1">
      <c r="A1383" s="97" t="s">
        <v>431</v>
      </c>
      <c r="B1383" s="109"/>
      <c r="C1383" s="142" t="s">
        <v>180</v>
      </c>
      <c r="D1383" s="142" t="s">
        <v>838</v>
      </c>
      <c r="E1383" s="142" t="s">
        <v>432</v>
      </c>
      <c r="F1383" s="141"/>
      <c r="G1383" s="81">
        <f t="shared" ref="G1383:H1385" si="67">SUM(G1384)</f>
        <v>0</v>
      </c>
      <c r="H1383" s="81">
        <f t="shared" si="67"/>
        <v>0</v>
      </c>
      <c r="I1383" s="30" t="e">
        <f t="shared" si="66"/>
        <v>#DIV/0!</v>
      </c>
    </row>
    <row r="1384" spans="1:9" s="131" customFormat="1" ht="15.75" hidden="1" customHeight="1">
      <c r="A1384" s="97" t="s">
        <v>692</v>
      </c>
      <c r="B1384" s="109"/>
      <c r="C1384" s="142" t="s">
        <v>180</v>
      </c>
      <c r="D1384" s="142" t="s">
        <v>838</v>
      </c>
      <c r="E1384" s="142" t="s">
        <v>433</v>
      </c>
      <c r="F1384" s="141"/>
      <c r="G1384" s="81">
        <f t="shared" si="67"/>
        <v>0</v>
      </c>
      <c r="H1384" s="81">
        <f t="shared" si="67"/>
        <v>0</v>
      </c>
      <c r="I1384" s="30" t="e">
        <f t="shared" si="66"/>
        <v>#DIV/0!</v>
      </c>
    </row>
    <row r="1385" spans="1:9" s="36" customFormat="1" ht="15.75" hidden="1" customHeight="1">
      <c r="A1385" s="97" t="s">
        <v>1011</v>
      </c>
      <c r="B1385" s="109"/>
      <c r="C1385" s="142" t="s">
        <v>180</v>
      </c>
      <c r="D1385" s="142" t="s">
        <v>838</v>
      </c>
      <c r="E1385" s="142" t="s">
        <v>434</v>
      </c>
      <c r="F1385" s="141"/>
      <c r="G1385" s="81">
        <f t="shared" si="67"/>
        <v>0</v>
      </c>
      <c r="H1385" s="81">
        <f t="shared" si="67"/>
        <v>0</v>
      </c>
      <c r="I1385" s="30" t="e">
        <f t="shared" si="66"/>
        <v>#DIV/0!</v>
      </c>
    </row>
    <row r="1386" spans="1:9" s="36" customFormat="1" ht="15.75" hidden="1" customHeight="1">
      <c r="A1386" s="97" t="s">
        <v>497</v>
      </c>
      <c r="B1386" s="109"/>
      <c r="C1386" s="142" t="s">
        <v>180</v>
      </c>
      <c r="D1386" s="142" t="s">
        <v>838</v>
      </c>
      <c r="E1386" s="142" t="s">
        <v>434</v>
      </c>
      <c r="F1386" s="141" t="s">
        <v>498</v>
      </c>
      <c r="G1386" s="81"/>
      <c r="H1386" s="81"/>
      <c r="I1386" s="30" t="e">
        <f t="shared" si="66"/>
        <v>#DIV/0!</v>
      </c>
    </row>
    <row r="1387" spans="1:9" s="36" customFormat="1" ht="27" customHeight="1">
      <c r="A1387" s="114" t="s">
        <v>659</v>
      </c>
      <c r="B1387" s="150"/>
      <c r="C1387" s="142" t="s">
        <v>180</v>
      </c>
      <c r="D1387" s="142" t="s">
        <v>838</v>
      </c>
      <c r="E1387" s="142" t="s">
        <v>660</v>
      </c>
      <c r="F1387" s="140"/>
      <c r="G1387" s="81">
        <f t="shared" ref="G1387:H1389" si="68">SUM(G1388)</f>
        <v>5944.2</v>
      </c>
      <c r="H1387" s="81">
        <f t="shared" si="68"/>
        <v>5733.7</v>
      </c>
      <c r="I1387" s="30">
        <f t="shared" si="66"/>
        <v>96.458732882473669</v>
      </c>
    </row>
    <row r="1388" spans="1:9" s="36" customFormat="1" ht="15">
      <c r="A1388" s="95" t="s">
        <v>460</v>
      </c>
      <c r="B1388" s="150"/>
      <c r="C1388" s="142" t="s">
        <v>180</v>
      </c>
      <c r="D1388" s="142" t="s">
        <v>838</v>
      </c>
      <c r="E1388" s="142" t="s">
        <v>571</v>
      </c>
      <c r="F1388" s="140"/>
      <c r="G1388" s="81">
        <f t="shared" si="68"/>
        <v>5944.2</v>
      </c>
      <c r="H1388" s="81">
        <f t="shared" si="68"/>
        <v>5733.7</v>
      </c>
      <c r="I1388" s="30">
        <f t="shared" si="66"/>
        <v>96.458732882473669</v>
      </c>
    </row>
    <row r="1389" spans="1:9" s="36" customFormat="1" ht="33.75" customHeight="1">
      <c r="A1389" s="97" t="s">
        <v>558</v>
      </c>
      <c r="B1389" s="150"/>
      <c r="C1389" s="142" t="s">
        <v>180</v>
      </c>
      <c r="D1389" s="142" t="s">
        <v>838</v>
      </c>
      <c r="E1389" s="142" t="s">
        <v>559</v>
      </c>
      <c r="F1389" s="140"/>
      <c r="G1389" s="81">
        <f t="shared" si="68"/>
        <v>5944.2</v>
      </c>
      <c r="H1389" s="81">
        <f t="shared" si="68"/>
        <v>5733.7</v>
      </c>
      <c r="I1389" s="30">
        <f t="shared" si="66"/>
        <v>96.458732882473669</v>
      </c>
    </row>
    <row r="1390" spans="1:9" s="36" customFormat="1" ht="25.5" customHeight="1">
      <c r="A1390" s="97" t="s">
        <v>49</v>
      </c>
      <c r="B1390" s="150"/>
      <c r="C1390" s="142" t="s">
        <v>180</v>
      </c>
      <c r="D1390" s="142" t="s">
        <v>838</v>
      </c>
      <c r="E1390" s="142" t="s">
        <v>559</v>
      </c>
      <c r="F1390" s="140" t="s">
        <v>498</v>
      </c>
      <c r="G1390" s="81">
        <v>5944.2</v>
      </c>
      <c r="H1390" s="81">
        <v>5733.7</v>
      </c>
      <c r="I1390" s="30">
        <f t="shared" si="66"/>
        <v>96.458732882473669</v>
      </c>
    </row>
    <row r="1391" spans="1:9" s="33" customFormat="1" ht="21.75" customHeight="1">
      <c r="A1391" s="94" t="s">
        <v>659</v>
      </c>
      <c r="B1391" s="146"/>
      <c r="C1391" s="142" t="s">
        <v>180</v>
      </c>
      <c r="D1391" s="142" t="s">
        <v>838</v>
      </c>
      <c r="E1391" s="142" t="s">
        <v>660</v>
      </c>
      <c r="F1391" s="140"/>
      <c r="G1391" s="81">
        <f>SUM(G1392:G1393)</f>
        <v>31663.699999999997</v>
      </c>
      <c r="H1391" s="81">
        <f>SUM(H1392:H1393)</f>
        <v>31663.699999999997</v>
      </c>
      <c r="I1391" s="30">
        <f t="shared" si="66"/>
        <v>100</v>
      </c>
    </row>
    <row r="1392" spans="1:9" ht="21" customHeight="1">
      <c r="A1392" s="97" t="s">
        <v>390</v>
      </c>
      <c r="B1392" s="109"/>
      <c r="C1392" s="142" t="s">
        <v>180</v>
      </c>
      <c r="D1392" s="142" t="s">
        <v>838</v>
      </c>
      <c r="E1392" s="142" t="s">
        <v>389</v>
      </c>
      <c r="F1392" s="141" t="s">
        <v>442</v>
      </c>
      <c r="G1392" s="81">
        <v>15784.8</v>
      </c>
      <c r="H1392" s="81">
        <v>15784.8</v>
      </c>
      <c r="I1392" s="30">
        <f t="shared" si="66"/>
        <v>100</v>
      </c>
    </row>
    <row r="1393" spans="1:9" s="110" customFormat="1" ht="23.25" customHeight="1">
      <c r="A1393" s="94" t="s">
        <v>276</v>
      </c>
      <c r="B1393" s="109"/>
      <c r="C1393" s="142" t="s">
        <v>180</v>
      </c>
      <c r="D1393" s="142" t="s">
        <v>838</v>
      </c>
      <c r="E1393" s="142" t="s">
        <v>389</v>
      </c>
      <c r="F1393" s="141" t="s">
        <v>132</v>
      </c>
      <c r="G1393" s="81">
        <v>15878.9</v>
      </c>
      <c r="H1393" s="81">
        <v>15878.9</v>
      </c>
      <c r="I1393" s="30">
        <f t="shared" si="66"/>
        <v>100</v>
      </c>
    </row>
    <row r="1394" spans="1:9" s="110" customFormat="1" ht="23.25" customHeight="1">
      <c r="A1394" s="95" t="s">
        <v>663</v>
      </c>
      <c r="B1394" s="142"/>
      <c r="C1394" s="142" t="s">
        <v>180</v>
      </c>
      <c r="D1394" s="142" t="s">
        <v>838</v>
      </c>
      <c r="E1394" s="142" t="s">
        <v>435</v>
      </c>
      <c r="F1394" s="140"/>
      <c r="G1394" s="81">
        <f>SUM(G1395)+G1398</f>
        <v>11578.3</v>
      </c>
      <c r="H1394" s="81">
        <f>SUM(H1395)+H1398</f>
        <v>9708.1999999999989</v>
      </c>
      <c r="I1394" s="30">
        <f t="shared" si="66"/>
        <v>83.848233333045428</v>
      </c>
    </row>
    <row r="1395" spans="1:9" s="110" customFormat="1" ht="30.75" customHeight="1">
      <c r="A1395" s="119" t="s">
        <v>436</v>
      </c>
      <c r="B1395" s="142"/>
      <c r="C1395" s="142" t="s">
        <v>180</v>
      </c>
      <c r="D1395" s="142" t="s">
        <v>838</v>
      </c>
      <c r="E1395" s="142" t="s">
        <v>437</v>
      </c>
      <c r="F1395" s="140"/>
      <c r="G1395" s="81">
        <f>SUM(G1396)+G1397</f>
        <v>8733.5</v>
      </c>
      <c r="H1395" s="81">
        <f>SUM(H1396)+H1397</f>
        <v>9053.5999999999985</v>
      </c>
      <c r="I1395" s="30">
        <f t="shared" ref="I1395:I1458" si="69">SUM(H1395/G1395*100)</f>
        <v>103.6651972290605</v>
      </c>
    </row>
    <row r="1396" spans="1:9" s="110" customFormat="1" ht="21" customHeight="1">
      <c r="A1396" s="97" t="s">
        <v>497</v>
      </c>
      <c r="B1396" s="142"/>
      <c r="C1396" s="142" t="s">
        <v>180</v>
      </c>
      <c r="D1396" s="142" t="s">
        <v>838</v>
      </c>
      <c r="E1396" s="142" t="s">
        <v>437</v>
      </c>
      <c r="F1396" s="140" t="s">
        <v>498</v>
      </c>
      <c r="G1396" s="81">
        <v>5094.3</v>
      </c>
      <c r="H1396" s="81">
        <v>5414.4</v>
      </c>
      <c r="I1396" s="30">
        <f t="shared" si="69"/>
        <v>106.28349331605911</v>
      </c>
    </row>
    <row r="1397" spans="1:9" s="110" customFormat="1" ht="23.25" customHeight="1">
      <c r="A1397" s="94" t="s">
        <v>276</v>
      </c>
      <c r="B1397" s="109"/>
      <c r="C1397" s="142" t="s">
        <v>180</v>
      </c>
      <c r="D1397" s="142" t="s">
        <v>838</v>
      </c>
      <c r="E1397" s="142" t="s">
        <v>437</v>
      </c>
      <c r="F1397" s="141" t="s">
        <v>132</v>
      </c>
      <c r="G1397" s="81">
        <v>3639.2</v>
      </c>
      <c r="H1397" s="81">
        <v>3639.2</v>
      </c>
      <c r="I1397" s="30">
        <f t="shared" si="69"/>
        <v>100</v>
      </c>
    </row>
    <row r="1398" spans="1:9" s="110" customFormat="1" ht="30.75" customHeight="1">
      <c r="A1398" s="119" t="s">
        <v>438</v>
      </c>
      <c r="B1398" s="142"/>
      <c r="C1398" s="142" t="s">
        <v>180</v>
      </c>
      <c r="D1398" s="142" t="s">
        <v>838</v>
      </c>
      <c r="E1398" s="142" t="s">
        <v>439</v>
      </c>
      <c r="F1398" s="140"/>
      <c r="G1398" s="81">
        <f>SUM(G1399:G1400)</f>
        <v>2844.8</v>
      </c>
      <c r="H1398" s="81">
        <f>SUM(H1399:H1400)</f>
        <v>654.6</v>
      </c>
      <c r="I1398" s="30">
        <f t="shared" si="69"/>
        <v>23.010404949381329</v>
      </c>
    </row>
    <row r="1399" spans="1:9" s="110" customFormat="1" ht="23.25" customHeight="1">
      <c r="A1399" s="97" t="s">
        <v>49</v>
      </c>
      <c r="B1399" s="142"/>
      <c r="C1399" s="142" t="s">
        <v>180</v>
      </c>
      <c r="D1399" s="142" t="s">
        <v>838</v>
      </c>
      <c r="E1399" s="142" t="s">
        <v>439</v>
      </c>
      <c r="F1399" s="140" t="s">
        <v>498</v>
      </c>
      <c r="G1399" s="81">
        <v>1294.5999999999999</v>
      </c>
      <c r="H1399" s="81"/>
      <c r="I1399" s="30">
        <f t="shared" si="69"/>
        <v>0</v>
      </c>
    </row>
    <row r="1400" spans="1:9" s="110" customFormat="1" ht="23.25" customHeight="1">
      <c r="A1400" s="94" t="s">
        <v>276</v>
      </c>
      <c r="B1400" s="109"/>
      <c r="C1400" s="142" t="s">
        <v>180</v>
      </c>
      <c r="D1400" s="142" t="s">
        <v>838</v>
      </c>
      <c r="E1400" s="142" t="s">
        <v>439</v>
      </c>
      <c r="F1400" s="141" t="s">
        <v>132</v>
      </c>
      <c r="G1400" s="81">
        <v>1550.2</v>
      </c>
      <c r="H1400" s="81">
        <v>654.6</v>
      </c>
      <c r="I1400" s="30">
        <f t="shared" si="69"/>
        <v>42.22680944394272</v>
      </c>
    </row>
    <row r="1401" spans="1:9" s="110" customFormat="1" ht="23.25" customHeight="1">
      <c r="A1401" s="94" t="s">
        <v>932</v>
      </c>
      <c r="B1401" s="109"/>
      <c r="C1401" s="142" t="s">
        <v>180</v>
      </c>
      <c r="D1401" s="142" t="s">
        <v>838</v>
      </c>
      <c r="E1401" s="142" t="s">
        <v>933</v>
      </c>
      <c r="F1401" s="141"/>
      <c r="G1401" s="81">
        <f>SUM(G1402)</f>
        <v>2600</v>
      </c>
      <c r="H1401" s="81">
        <f>SUM(H1402)</f>
        <v>3019.3</v>
      </c>
      <c r="I1401" s="30">
        <f t="shared" si="69"/>
        <v>116.12692307692309</v>
      </c>
    </row>
    <row r="1402" spans="1:9" s="110" customFormat="1" ht="30.75" customHeight="1">
      <c r="A1402" s="94" t="s">
        <v>1129</v>
      </c>
      <c r="B1402" s="109"/>
      <c r="C1402" s="142" t="s">
        <v>180</v>
      </c>
      <c r="D1402" s="142" t="s">
        <v>838</v>
      </c>
      <c r="E1402" s="142" t="s">
        <v>1130</v>
      </c>
      <c r="F1402" s="141"/>
      <c r="G1402" s="81">
        <f>SUM(G1403:G1404)</f>
        <v>2600</v>
      </c>
      <c r="H1402" s="81">
        <f>SUM(H1403:H1404)</f>
        <v>3019.3</v>
      </c>
      <c r="I1402" s="30">
        <f t="shared" si="69"/>
        <v>116.12692307692309</v>
      </c>
    </row>
    <row r="1403" spans="1:9" s="110" customFormat="1" ht="23.25" customHeight="1">
      <c r="A1403" s="97" t="s">
        <v>49</v>
      </c>
      <c r="B1403" s="109"/>
      <c r="C1403" s="142" t="s">
        <v>180</v>
      </c>
      <c r="D1403" s="142" t="s">
        <v>838</v>
      </c>
      <c r="E1403" s="142" t="s">
        <v>1130</v>
      </c>
      <c r="F1403" s="141" t="s">
        <v>498</v>
      </c>
      <c r="G1403" s="81"/>
      <c r="H1403" s="81">
        <v>279.5</v>
      </c>
      <c r="I1403" s="30"/>
    </row>
    <row r="1404" spans="1:9" s="110" customFormat="1" ht="23.25" customHeight="1">
      <c r="A1404" s="94" t="s">
        <v>276</v>
      </c>
      <c r="B1404" s="109"/>
      <c r="C1404" s="142" t="s">
        <v>180</v>
      </c>
      <c r="D1404" s="142" t="s">
        <v>838</v>
      </c>
      <c r="E1404" s="142" t="s">
        <v>1130</v>
      </c>
      <c r="F1404" s="141" t="s">
        <v>132</v>
      </c>
      <c r="G1404" s="81">
        <v>2600</v>
      </c>
      <c r="H1404" s="81">
        <v>2739.8</v>
      </c>
      <c r="I1404" s="30">
        <f t="shared" si="69"/>
        <v>105.37692307692308</v>
      </c>
    </row>
    <row r="1405" spans="1:9" ht="20.25" customHeight="1">
      <c r="A1405" s="97" t="s">
        <v>200</v>
      </c>
      <c r="B1405" s="168"/>
      <c r="C1405" s="142" t="s">
        <v>180</v>
      </c>
      <c r="D1405" s="142" t="s">
        <v>838</v>
      </c>
      <c r="E1405" s="142" t="s">
        <v>201</v>
      </c>
      <c r="F1405" s="141"/>
      <c r="G1405" s="81">
        <f>SUM(G1406+G1409)</f>
        <v>7124.2000000000007</v>
      </c>
      <c r="H1405" s="81">
        <f>SUM(H1406+H1409)</f>
        <v>7009.3</v>
      </c>
      <c r="I1405" s="30">
        <f t="shared" si="69"/>
        <v>98.387187333314614</v>
      </c>
    </row>
    <row r="1406" spans="1:9" ht="19.5" hidden="1" customHeight="1">
      <c r="A1406" s="94" t="s">
        <v>386</v>
      </c>
      <c r="B1406" s="168"/>
      <c r="C1406" s="142" t="s">
        <v>180</v>
      </c>
      <c r="D1406" s="142" t="s">
        <v>838</v>
      </c>
      <c r="E1406" s="142" t="s">
        <v>597</v>
      </c>
      <c r="F1406" s="141"/>
      <c r="G1406" s="81">
        <f>SUM(G1407:G1408)</f>
        <v>0</v>
      </c>
      <c r="H1406" s="81">
        <f>SUM(H1407:H1408)</f>
        <v>0</v>
      </c>
      <c r="I1406" s="30" t="e">
        <f t="shared" si="69"/>
        <v>#DIV/0!</v>
      </c>
    </row>
    <row r="1407" spans="1:9" ht="19.5" hidden="1" customHeight="1">
      <c r="A1407" s="97" t="s">
        <v>49</v>
      </c>
      <c r="B1407" s="168"/>
      <c r="C1407" s="142" t="s">
        <v>180</v>
      </c>
      <c r="D1407" s="142" t="s">
        <v>838</v>
      </c>
      <c r="E1407" s="142" t="s">
        <v>597</v>
      </c>
      <c r="F1407" s="141" t="s">
        <v>498</v>
      </c>
      <c r="G1407" s="81"/>
      <c r="H1407" s="81"/>
      <c r="I1407" s="30" t="e">
        <f t="shared" si="69"/>
        <v>#DIV/0!</v>
      </c>
    </row>
    <row r="1408" spans="1:9" ht="19.5" hidden="1" customHeight="1">
      <c r="A1408" s="94" t="s">
        <v>276</v>
      </c>
      <c r="B1408" s="168"/>
      <c r="C1408" s="142" t="s">
        <v>180</v>
      </c>
      <c r="D1408" s="142" t="s">
        <v>838</v>
      </c>
      <c r="E1408" s="142" t="s">
        <v>597</v>
      </c>
      <c r="F1408" s="141" t="s">
        <v>132</v>
      </c>
      <c r="G1408" s="81"/>
      <c r="H1408" s="81"/>
      <c r="I1408" s="30" t="e">
        <f t="shared" si="69"/>
        <v>#DIV/0!</v>
      </c>
    </row>
    <row r="1409" spans="1:9" ht="18.75" customHeight="1">
      <c r="A1409" s="98" t="s">
        <v>891</v>
      </c>
      <c r="B1409" s="138"/>
      <c r="C1409" s="142" t="s">
        <v>180</v>
      </c>
      <c r="D1409" s="142" t="s">
        <v>838</v>
      </c>
      <c r="E1409" s="142" t="s">
        <v>700</v>
      </c>
      <c r="F1409" s="141"/>
      <c r="G1409" s="82">
        <f>SUM(G1410)+G1411</f>
        <v>7124.2000000000007</v>
      </c>
      <c r="H1409" s="82">
        <f>SUM(H1410)+H1411</f>
        <v>7009.3</v>
      </c>
      <c r="I1409" s="30">
        <f t="shared" si="69"/>
        <v>98.387187333314614</v>
      </c>
    </row>
    <row r="1410" spans="1:9" ht="15">
      <c r="A1410" s="97" t="s">
        <v>441</v>
      </c>
      <c r="B1410" s="138"/>
      <c r="C1410" s="142" t="s">
        <v>180</v>
      </c>
      <c r="D1410" s="142" t="s">
        <v>838</v>
      </c>
      <c r="E1410" s="142" t="s">
        <v>700</v>
      </c>
      <c r="F1410" s="141" t="s">
        <v>442</v>
      </c>
      <c r="G1410" s="82">
        <v>4371.6000000000004</v>
      </c>
      <c r="H1410" s="82">
        <v>4371.6000000000004</v>
      </c>
      <c r="I1410" s="30">
        <f t="shared" si="69"/>
        <v>100</v>
      </c>
    </row>
    <row r="1411" spans="1:9" ht="19.5" customHeight="1">
      <c r="A1411" s="94" t="s">
        <v>276</v>
      </c>
      <c r="B1411" s="109"/>
      <c r="C1411" s="142" t="s">
        <v>180</v>
      </c>
      <c r="D1411" s="142" t="s">
        <v>838</v>
      </c>
      <c r="E1411" s="142" t="s">
        <v>700</v>
      </c>
      <c r="F1411" s="141" t="s">
        <v>132</v>
      </c>
      <c r="G1411" s="81">
        <v>2752.6</v>
      </c>
      <c r="H1411" s="81">
        <v>2637.7</v>
      </c>
      <c r="I1411" s="30">
        <f t="shared" si="69"/>
        <v>95.825764731526547</v>
      </c>
    </row>
    <row r="1412" spans="1:9" ht="19.5" customHeight="1">
      <c r="A1412" s="95" t="s">
        <v>181</v>
      </c>
      <c r="B1412" s="138"/>
      <c r="C1412" s="138" t="s">
        <v>180</v>
      </c>
      <c r="D1412" s="138" t="s">
        <v>180</v>
      </c>
      <c r="E1412" s="138"/>
      <c r="F1412" s="139"/>
      <c r="G1412" s="81">
        <f>SUM(G1417+G1428+G1413+G1444)+G1438</f>
        <v>40657.700000000004</v>
      </c>
      <c r="H1412" s="81">
        <f>SUM(H1417+H1428+H1413+H1444)+H1438</f>
        <v>40444.400000000001</v>
      </c>
      <c r="I1412" s="30">
        <f t="shared" si="69"/>
        <v>99.4753761280151</v>
      </c>
    </row>
    <row r="1413" spans="1:9" ht="15" hidden="1">
      <c r="A1413" s="95" t="s">
        <v>748</v>
      </c>
      <c r="B1413" s="138"/>
      <c r="C1413" s="138" t="s">
        <v>180</v>
      </c>
      <c r="D1413" s="138" t="s">
        <v>180</v>
      </c>
      <c r="E1413" s="138" t="s">
        <v>750</v>
      </c>
      <c r="F1413" s="139"/>
      <c r="G1413" s="81">
        <f>SUM(G1414)</f>
        <v>0</v>
      </c>
      <c r="H1413" s="81">
        <f>SUM(H1414)</f>
        <v>0</v>
      </c>
      <c r="I1413" s="30" t="e">
        <f t="shared" si="69"/>
        <v>#DIV/0!</v>
      </c>
    </row>
    <row r="1414" spans="1:9" ht="15" hidden="1">
      <c r="A1414" s="95" t="s">
        <v>728</v>
      </c>
      <c r="B1414" s="138"/>
      <c r="C1414" s="138" t="s">
        <v>180</v>
      </c>
      <c r="D1414" s="138" t="s">
        <v>180</v>
      </c>
      <c r="E1414" s="138" t="s">
        <v>729</v>
      </c>
      <c r="F1414" s="139"/>
      <c r="G1414" s="81">
        <f>SUM(G1415+G1416)</f>
        <v>0</v>
      </c>
      <c r="H1414" s="81">
        <f>SUM(H1415+H1416)</f>
        <v>0</v>
      </c>
      <c r="I1414" s="30" t="e">
        <f t="shared" si="69"/>
        <v>#DIV/0!</v>
      </c>
    </row>
    <row r="1415" spans="1:9" ht="15" hidden="1">
      <c r="A1415" s="97" t="s">
        <v>497</v>
      </c>
      <c r="B1415" s="142"/>
      <c r="C1415" s="138" t="s">
        <v>180</v>
      </c>
      <c r="D1415" s="138" t="s">
        <v>180</v>
      </c>
      <c r="E1415" s="138" t="s">
        <v>729</v>
      </c>
      <c r="F1415" s="140" t="s">
        <v>498</v>
      </c>
      <c r="G1415" s="81"/>
      <c r="H1415" s="81"/>
      <c r="I1415" s="30" t="e">
        <f t="shared" si="69"/>
        <v>#DIV/0!</v>
      </c>
    </row>
    <row r="1416" spans="1:9" ht="15" hidden="1">
      <c r="A1416" s="97" t="s">
        <v>441</v>
      </c>
      <c r="B1416" s="142"/>
      <c r="C1416" s="138" t="s">
        <v>180</v>
      </c>
      <c r="D1416" s="138" t="s">
        <v>180</v>
      </c>
      <c r="E1416" s="138" t="s">
        <v>729</v>
      </c>
      <c r="F1416" s="140" t="s">
        <v>442</v>
      </c>
      <c r="G1416" s="81"/>
      <c r="H1416" s="81"/>
      <c r="I1416" s="30" t="e">
        <f t="shared" si="69"/>
        <v>#DIV/0!</v>
      </c>
    </row>
    <row r="1417" spans="1:9" ht="19.5" customHeight="1">
      <c r="A1417" s="94" t="s">
        <v>443</v>
      </c>
      <c r="B1417" s="142"/>
      <c r="C1417" s="142" t="s">
        <v>180</v>
      </c>
      <c r="D1417" s="142" t="s">
        <v>180</v>
      </c>
      <c r="E1417" s="142" t="s">
        <v>444</v>
      </c>
      <c r="F1417" s="140"/>
      <c r="G1417" s="81">
        <f>SUM(G1420+G1426+G1424+G1418)</f>
        <v>2272.1</v>
      </c>
      <c r="H1417" s="81">
        <f>SUM(H1420+H1426+H1424+H1418)</f>
        <v>2270.3000000000002</v>
      </c>
      <c r="I1417" s="30">
        <f t="shared" si="69"/>
        <v>99.920778134765214</v>
      </c>
    </row>
    <row r="1418" spans="1:9" ht="32.25" customHeight="1">
      <c r="A1418" s="94" t="s">
        <v>1009</v>
      </c>
      <c r="B1418" s="142"/>
      <c r="C1418" s="142" t="s">
        <v>180</v>
      </c>
      <c r="D1418" s="142" t="s">
        <v>180</v>
      </c>
      <c r="E1418" s="142" t="s">
        <v>399</v>
      </c>
      <c r="F1418" s="140"/>
      <c r="G1418" s="81">
        <f>SUM(G1419)</f>
        <v>443.3</v>
      </c>
      <c r="H1418" s="81">
        <f>SUM(H1419)</f>
        <v>443.3</v>
      </c>
      <c r="I1418" s="30">
        <f t="shared" si="69"/>
        <v>100</v>
      </c>
    </row>
    <row r="1419" spans="1:9" ht="15">
      <c r="A1419" s="97" t="s">
        <v>49</v>
      </c>
      <c r="B1419" s="142"/>
      <c r="C1419" s="142" t="s">
        <v>180</v>
      </c>
      <c r="D1419" s="142" t="s">
        <v>180</v>
      </c>
      <c r="E1419" s="142" t="s">
        <v>399</v>
      </c>
      <c r="F1419" s="140" t="s">
        <v>498</v>
      </c>
      <c r="G1419" s="81">
        <v>443.3</v>
      </c>
      <c r="H1419" s="81">
        <v>443.3</v>
      </c>
      <c r="I1419" s="30">
        <f t="shared" si="69"/>
        <v>100</v>
      </c>
    </row>
    <row r="1420" spans="1:9" ht="30.75" customHeight="1">
      <c r="A1420" s="95" t="s">
        <v>48</v>
      </c>
      <c r="B1420" s="142"/>
      <c r="C1420" s="142" t="s">
        <v>180</v>
      </c>
      <c r="D1420" s="142" t="s">
        <v>180</v>
      </c>
      <c r="E1420" s="142" t="s">
        <v>450</v>
      </c>
      <c r="F1420" s="140"/>
      <c r="G1420" s="81">
        <f>SUM(G1421)</f>
        <v>1828.8</v>
      </c>
      <c r="H1420" s="81">
        <f>SUM(H1421)</f>
        <v>1827</v>
      </c>
      <c r="I1420" s="30">
        <f t="shared" si="69"/>
        <v>99.9015748031496</v>
      </c>
    </row>
    <row r="1421" spans="1:9" ht="15">
      <c r="A1421" s="97" t="s">
        <v>49</v>
      </c>
      <c r="B1421" s="142"/>
      <c r="C1421" s="142" t="s">
        <v>180</v>
      </c>
      <c r="D1421" s="142" t="s">
        <v>180</v>
      </c>
      <c r="E1421" s="142" t="s">
        <v>450</v>
      </c>
      <c r="F1421" s="140" t="s">
        <v>498</v>
      </c>
      <c r="G1421" s="81">
        <v>1828.8</v>
      </c>
      <c r="H1421" s="81">
        <v>1827</v>
      </c>
      <c r="I1421" s="30">
        <f t="shared" si="69"/>
        <v>99.9015748031496</v>
      </c>
    </row>
    <row r="1422" spans="1:9" ht="15" hidden="1">
      <c r="A1422" s="95" t="s">
        <v>495</v>
      </c>
      <c r="B1422" s="142"/>
      <c r="C1422" s="142" t="s">
        <v>180</v>
      </c>
      <c r="D1422" s="142" t="s">
        <v>180</v>
      </c>
      <c r="E1422" s="142" t="s">
        <v>447</v>
      </c>
      <c r="F1422" s="140"/>
      <c r="G1422" s="81">
        <f>SUM(G1423)</f>
        <v>0</v>
      </c>
      <c r="H1422" s="81">
        <f>SUM(H1423)</f>
        <v>0</v>
      </c>
      <c r="I1422" s="30" t="e">
        <f t="shared" si="69"/>
        <v>#DIV/0!</v>
      </c>
    </row>
    <row r="1423" spans="1:9" ht="23.25" hidden="1" customHeight="1">
      <c r="A1423" s="97" t="s">
        <v>497</v>
      </c>
      <c r="B1423" s="142"/>
      <c r="C1423" s="142" t="s">
        <v>180</v>
      </c>
      <c r="D1423" s="142" t="s">
        <v>180</v>
      </c>
      <c r="E1423" s="142" t="s">
        <v>447</v>
      </c>
      <c r="F1423" s="140" t="s">
        <v>498</v>
      </c>
      <c r="G1423" s="81"/>
      <c r="H1423" s="81"/>
      <c r="I1423" s="30" t="e">
        <f t="shared" si="69"/>
        <v>#DIV/0!</v>
      </c>
    </row>
    <row r="1424" spans="1:9" ht="26.25" hidden="1" customHeight="1">
      <c r="A1424" s="97" t="s">
        <v>448</v>
      </c>
      <c r="B1424" s="142"/>
      <c r="C1424" s="142" t="s">
        <v>180</v>
      </c>
      <c r="D1424" s="142" t="s">
        <v>180</v>
      </c>
      <c r="E1424" s="142" t="s">
        <v>449</v>
      </c>
      <c r="F1424" s="140"/>
      <c r="G1424" s="81">
        <f>SUM(G1425)</f>
        <v>0</v>
      </c>
      <c r="H1424" s="81">
        <f>SUM(H1425)</f>
        <v>0</v>
      </c>
      <c r="I1424" s="30" t="e">
        <f t="shared" si="69"/>
        <v>#DIV/0!</v>
      </c>
    </row>
    <row r="1425" spans="1:9" ht="22.5" hidden="1" customHeight="1">
      <c r="A1425" s="97" t="s">
        <v>497</v>
      </c>
      <c r="B1425" s="142"/>
      <c r="C1425" s="142" t="s">
        <v>180</v>
      </c>
      <c r="D1425" s="142" t="s">
        <v>180</v>
      </c>
      <c r="E1425" s="142" t="s">
        <v>449</v>
      </c>
      <c r="F1425" s="140" t="s">
        <v>498</v>
      </c>
      <c r="G1425" s="81"/>
      <c r="H1425" s="81"/>
      <c r="I1425" s="30" t="e">
        <f t="shared" si="69"/>
        <v>#DIV/0!</v>
      </c>
    </row>
    <row r="1426" spans="1:9" ht="30" hidden="1" customHeight="1">
      <c r="A1426" s="95" t="s">
        <v>495</v>
      </c>
      <c r="B1426" s="142"/>
      <c r="C1426" s="142" t="s">
        <v>180</v>
      </c>
      <c r="D1426" s="142" t="s">
        <v>180</v>
      </c>
      <c r="E1426" s="142" t="s">
        <v>450</v>
      </c>
      <c r="F1426" s="140"/>
      <c r="G1426" s="81">
        <f>SUM(G1427)</f>
        <v>0</v>
      </c>
      <c r="H1426" s="81">
        <f>SUM(H1427)</f>
        <v>0</v>
      </c>
      <c r="I1426" s="30" t="e">
        <f t="shared" si="69"/>
        <v>#DIV/0!</v>
      </c>
    </row>
    <row r="1427" spans="1:9" ht="47.25" hidden="1" customHeight="1">
      <c r="A1427" s="95" t="s">
        <v>48</v>
      </c>
      <c r="B1427" s="142"/>
      <c r="C1427" s="142" t="s">
        <v>180</v>
      </c>
      <c r="D1427" s="142" t="s">
        <v>180</v>
      </c>
      <c r="E1427" s="142" t="s">
        <v>450</v>
      </c>
      <c r="F1427" s="140" t="s">
        <v>498</v>
      </c>
      <c r="G1427" s="81"/>
      <c r="H1427" s="81"/>
      <c r="I1427" s="30" t="e">
        <f t="shared" si="69"/>
        <v>#DIV/0!</v>
      </c>
    </row>
    <row r="1428" spans="1:9" ht="24.75" customHeight="1">
      <c r="A1428" s="119" t="s">
        <v>451</v>
      </c>
      <c r="B1428" s="138"/>
      <c r="C1428" s="138" t="s">
        <v>180</v>
      </c>
      <c r="D1428" s="138" t="s">
        <v>180</v>
      </c>
      <c r="E1428" s="138" t="s">
        <v>183</v>
      </c>
      <c r="F1428" s="139"/>
      <c r="G1428" s="81">
        <f>SUM(G1430+G1433+G1436)</f>
        <v>36667.800000000003</v>
      </c>
      <c r="H1428" s="81">
        <f>SUM(H1430+H1433+H1436)</f>
        <v>36481.199999999997</v>
      </c>
      <c r="I1428" s="30">
        <f t="shared" si="69"/>
        <v>99.491106638522069</v>
      </c>
    </row>
    <row r="1429" spans="1:9" ht="34.5" customHeight="1">
      <c r="A1429" s="99" t="s">
        <v>146</v>
      </c>
      <c r="B1429" s="142"/>
      <c r="C1429" s="142" t="s">
        <v>180</v>
      </c>
      <c r="D1429" s="142" t="s">
        <v>180</v>
      </c>
      <c r="E1429" s="142" t="s">
        <v>147</v>
      </c>
      <c r="F1429" s="140"/>
      <c r="G1429" s="81">
        <f>SUM(G1430+G1433+G1436)</f>
        <v>36667.800000000003</v>
      </c>
      <c r="H1429" s="81">
        <f>SUM(H1430+H1433+H1436)</f>
        <v>36481.199999999997</v>
      </c>
      <c r="I1429" s="30">
        <f t="shared" si="69"/>
        <v>99.491106638522069</v>
      </c>
    </row>
    <row r="1430" spans="1:9" ht="51" customHeight="1">
      <c r="A1430" s="99" t="s">
        <v>148</v>
      </c>
      <c r="B1430" s="142"/>
      <c r="C1430" s="142" t="s">
        <v>180</v>
      </c>
      <c r="D1430" s="142" t="s">
        <v>180</v>
      </c>
      <c r="E1430" s="142" t="s">
        <v>149</v>
      </c>
      <c r="F1430" s="140"/>
      <c r="G1430" s="81">
        <f>SUM(G1431:G1432)</f>
        <v>3187.3</v>
      </c>
      <c r="H1430" s="81">
        <f>SUM(H1431:H1432)</f>
        <v>3001.5</v>
      </c>
      <c r="I1430" s="30">
        <f t="shared" si="69"/>
        <v>94.170614626800102</v>
      </c>
    </row>
    <row r="1431" spans="1:9" ht="15" customHeight="1">
      <c r="A1431" s="97" t="s">
        <v>49</v>
      </c>
      <c r="B1431" s="142"/>
      <c r="C1431" s="142" t="s">
        <v>180</v>
      </c>
      <c r="D1431" s="142" t="s">
        <v>180</v>
      </c>
      <c r="E1431" s="142" t="s">
        <v>149</v>
      </c>
      <c r="F1431" s="140" t="s">
        <v>498</v>
      </c>
      <c r="G1431" s="81">
        <v>1834</v>
      </c>
      <c r="H1431" s="81">
        <v>1648.2</v>
      </c>
      <c r="I1431" s="30">
        <f t="shared" si="69"/>
        <v>89.869138495092699</v>
      </c>
    </row>
    <row r="1432" spans="1:9" ht="15" customHeight="1">
      <c r="A1432" s="94" t="s">
        <v>276</v>
      </c>
      <c r="B1432" s="142"/>
      <c r="C1432" s="142" t="s">
        <v>180</v>
      </c>
      <c r="D1432" s="142" t="s">
        <v>180</v>
      </c>
      <c r="E1432" s="142" t="s">
        <v>149</v>
      </c>
      <c r="F1432" s="140" t="s">
        <v>132</v>
      </c>
      <c r="G1432" s="81">
        <v>1353.3</v>
      </c>
      <c r="H1432" s="81">
        <v>1353.3</v>
      </c>
      <c r="I1432" s="30">
        <f t="shared" si="69"/>
        <v>100</v>
      </c>
    </row>
    <row r="1433" spans="1:9" ht="57">
      <c r="A1433" s="97" t="s">
        <v>632</v>
      </c>
      <c r="B1433" s="109"/>
      <c r="C1433" s="138" t="s">
        <v>180</v>
      </c>
      <c r="D1433" s="138" t="s">
        <v>180</v>
      </c>
      <c r="E1433" s="142" t="s">
        <v>416</v>
      </c>
      <c r="F1433" s="141"/>
      <c r="G1433" s="81">
        <f>SUM(G1434:G1435)</f>
        <v>6964.6</v>
      </c>
      <c r="H1433" s="81">
        <f>SUM(H1434:H1435)</f>
        <v>6963.7999999999993</v>
      </c>
      <c r="I1433" s="30">
        <f t="shared" si="69"/>
        <v>99.988513338885198</v>
      </c>
    </row>
    <row r="1434" spans="1:9" ht="15">
      <c r="A1434" s="97" t="s">
        <v>49</v>
      </c>
      <c r="B1434" s="109"/>
      <c r="C1434" s="138" t="s">
        <v>180</v>
      </c>
      <c r="D1434" s="138" t="s">
        <v>180</v>
      </c>
      <c r="E1434" s="142" t="s">
        <v>416</v>
      </c>
      <c r="F1434" s="141" t="s">
        <v>498</v>
      </c>
      <c r="G1434" s="81">
        <v>3468.5</v>
      </c>
      <c r="H1434" s="81">
        <v>3467.7</v>
      </c>
      <c r="I1434" s="30">
        <f t="shared" si="69"/>
        <v>99.976935274614391</v>
      </c>
    </row>
    <row r="1435" spans="1:9" ht="15">
      <c r="A1435" s="94" t="s">
        <v>276</v>
      </c>
      <c r="B1435" s="109"/>
      <c r="C1435" s="138" t="s">
        <v>180</v>
      </c>
      <c r="D1435" s="138" t="s">
        <v>180</v>
      </c>
      <c r="E1435" s="142" t="s">
        <v>416</v>
      </c>
      <c r="F1435" s="141" t="s">
        <v>132</v>
      </c>
      <c r="G1435" s="81">
        <v>3496.1</v>
      </c>
      <c r="H1435" s="81">
        <v>3496.1</v>
      </c>
      <c r="I1435" s="30">
        <f t="shared" si="69"/>
        <v>100</v>
      </c>
    </row>
    <row r="1436" spans="1:9" ht="48.75" customHeight="1">
      <c r="A1436" s="97" t="s">
        <v>454</v>
      </c>
      <c r="B1436" s="138"/>
      <c r="C1436" s="142" t="s">
        <v>180</v>
      </c>
      <c r="D1436" s="138" t="s">
        <v>180</v>
      </c>
      <c r="E1436" s="142" t="s">
        <v>417</v>
      </c>
      <c r="F1436" s="139"/>
      <c r="G1436" s="81">
        <f>SUM(G1437)</f>
        <v>26515.9</v>
      </c>
      <c r="H1436" s="81">
        <f>SUM(H1437)</f>
        <v>26515.9</v>
      </c>
      <c r="I1436" s="30">
        <f t="shared" si="69"/>
        <v>100</v>
      </c>
    </row>
    <row r="1437" spans="1:9" ht="36.75" customHeight="1">
      <c r="A1437" s="97" t="s">
        <v>392</v>
      </c>
      <c r="B1437" s="138"/>
      <c r="C1437" s="142" t="s">
        <v>180</v>
      </c>
      <c r="D1437" s="138" t="s">
        <v>180</v>
      </c>
      <c r="E1437" s="142" t="s">
        <v>417</v>
      </c>
      <c r="F1437" s="139" t="s">
        <v>391</v>
      </c>
      <c r="G1437" s="81">
        <v>26515.9</v>
      </c>
      <c r="H1437" s="81">
        <v>26515.9</v>
      </c>
      <c r="I1437" s="30">
        <f t="shared" si="69"/>
        <v>100</v>
      </c>
    </row>
    <row r="1438" spans="1:9" ht="15">
      <c r="A1438" s="95" t="s">
        <v>932</v>
      </c>
      <c r="B1438" s="109"/>
      <c r="C1438" s="142" t="s">
        <v>180</v>
      </c>
      <c r="D1438" s="138" t="s">
        <v>180</v>
      </c>
      <c r="E1438" s="142" t="s">
        <v>933</v>
      </c>
      <c r="F1438" s="139"/>
      <c r="G1438" s="81">
        <f>SUM(G1439)</f>
        <v>314.39999999999998</v>
      </c>
      <c r="H1438" s="81">
        <f>SUM(H1439)</f>
        <v>289.5</v>
      </c>
      <c r="I1438" s="30">
        <f t="shared" si="69"/>
        <v>92.080152671755727</v>
      </c>
    </row>
    <row r="1439" spans="1:9" ht="36" customHeight="1">
      <c r="A1439" s="97" t="s">
        <v>1036</v>
      </c>
      <c r="B1439" s="138"/>
      <c r="C1439" s="142" t="s">
        <v>180</v>
      </c>
      <c r="D1439" s="138" t="s">
        <v>180</v>
      </c>
      <c r="E1439" s="142" t="s">
        <v>401</v>
      </c>
      <c r="F1439" s="139"/>
      <c r="G1439" s="81">
        <f>SUM(G1440)</f>
        <v>314.39999999999998</v>
      </c>
      <c r="H1439" s="81">
        <f>SUM(H1440)</f>
        <v>289.5</v>
      </c>
      <c r="I1439" s="30">
        <f t="shared" si="69"/>
        <v>92.080152671755727</v>
      </c>
    </row>
    <row r="1440" spans="1:9" ht="14.25" customHeight="1">
      <c r="A1440" s="97" t="s">
        <v>441</v>
      </c>
      <c r="B1440" s="138"/>
      <c r="C1440" s="142" t="s">
        <v>180</v>
      </c>
      <c r="D1440" s="138" t="s">
        <v>180</v>
      </c>
      <c r="E1440" s="142" t="s">
        <v>401</v>
      </c>
      <c r="F1440" s="139" t="s">
        <v>442</v>
      </c>
      <c r="G1440" s="81">
        <v>314.39999999999998</v>
      </c>
      <c r="H1440" s="81">
        <v>289.5</v>
      </c>
      <c r="I1440" s="30">
        <f t="shared" si="69"/>
        <v>92.080152671755727</v>
      </c>
    </row>
    <row r="1441" spans="1:9" ht="15" hidden="1">
      <c r="A1441" s="97"/>
      <c r="B1441" s="138"/>
      <c r="C1441" s="142"/>
      <c r="D1441" s="138"/>
      <c r="E1441" s="142"/>
      <c r="F1441" s="139"/>
      <c r="G1441" s="81"/>
      <c r="H1441" s="81"/>
      <c r="I1441" s="30" t="e">
        <f t="shared" si="69"/>
        <v>#DIV/0!</v>
      </c>
    </row>
    <row r="1442" spans="1:9" ht="15" hidden="1">
      <c r="A1442" s="97"/>
      <c r="B1442" s="138"/>
      <c r="C1442" s="142"/>
      <c r="D1442" s="138"/>
      <c r="E1442" s="142"/>
      <c r="F1442" s="139"/>
      <c r="G1442" s="81"/>
      <c r="H1442" s="81"/>
      <c r="I1442" s="30" t="e">
        <f t="shared" si="69"/>
        <v>#DIV/0!</v>
      </c>
    </row>
    <row r="1443" spans="1:9" ht="15" hidden="1">
      <c r="A1443" s="97" t="s">
        <v>456</v>
      </c>
      <c r="B1443" s="138"/>
      <c r="C1443" s="142" t="s">
        <v>180</v>
      </c>
      <c r="D1443" s="138" t="s">
        <v>180</v>
      </c>
      <c r="E1443" s="142" t="s">
        <v>455</v>
      </c>
      <c r="F1443" s="139" t="s">
        <v>457</v>
      </c>
      <c r="G1443" s="81"/>
      <c r="H1443" s="81"/>
      <c r="I1443" s="30" t="e">
        <f t="shared" si="69"/>
        <v>#DIV/0!</v>
      </c>
    </row>
    <row r="1444" spans="1:9" ht="15">
      <c r="A1444" s="97" t="s">
        <v>200</v>
      </c>
      <c r="B1444" s="168"/>
      <c r="C1444" s="142" t="s">
        <v>180</v>
      </c>
      <c r="D1444" s="142" t="s">
        <v>180</v>
      </c>
      <c r="E1444" s="142" t="s">
        <v>201</v>
      </c>
      <c r="F1444" s="141"/>
      <c r="G1444" s="81">
        <f>SUM(G1447)+G1445</f>
        <v>1403.3999999999999</v>
      </c>
      <c r="H1444" s="81">
        <f>SUM(H1447)+H1445</f>
        <v>1403.3999999999999</v>
      </c>
      <c r="I1444" s="30">
        <f t="shared" si="69"/>
        <v>100</v>
      </c>
    </row>
    <row r="1445" spans="1:9" ht="24" customHeight="1">
      <c r="A1445" s="97" t="s">
        <v>1049</v>
      </c>
      <c r="B1445" s="168"/>
      <c r="C1445" s="142" t="s">
        <v>180</v>
      </c>
      <c r="D1445" s="142" t="s">
        <v>180</v>
      </c>
      <c r="E1445" s="142" t="s">
        <v>156</v>
      </c>
      <c r="F1445" s="141"/>
      <c r="G1445" s="30">
        <f>SUM(G1446)</f>
        <v>1323.8</v>
      </c>
      <c r="H1445" s="30">
        <f>SUM(H1446)</f>
        <v>1323.8</v>
      </c>
      <c r="I1445" s="30">
        <f t="shared" si="69"/>
        <v>100</v>
      </c>
    </row>
    <row r="1446" spans="1:9" ht="15" customHeight="1">
      <c r="A1446" s="97" t="s">
        <v>441</v>
      </c>
      <c r="B1446" s="168"/>
      <c r="C1446" s="142" t="s">
        <v>180</v>
      </c>
      <c r="D1446" s="142" t="s">
        <v>180</v>
      </c>
      <c r="E1446" s="142" t="s">
        <v>156</v>
      </c>
      <c r="F1446" s="141" t="s">
        <v>442</v>
      </c>
      <c r="G1446" s="30">
        <v>1323.8</v>
      </c>
      <c r="H1446" s="30">
        <v>1323.8</v>
      </c>
      <c r="I1446" s="30">
        <f t="shared" si="69"/>
        <v>100</v>
      </c>
    </row>
    <row r="1447" spans="1:9" ht="43.5" customHeight="1">
      <c r="A1447" s="98" t="s">
        <v>708</v>
      </c>
      <c r="B1447" s="168"/>
      <c r="C1447" s="142" t="s">
        <v>180</v>
      </c>
      <c r="D1447" s="142" t="s">
        <v>180</v>
      </c>
      <c r="E1447" s="142" t="s">
        <v>707</v>
      </c>
      <c r="F1447" s="141"/>
      <c r="G1447" s="81">
        <f>SUM(G1448)</f>
        <v>79.599999999999994</v>
      </c>
      <c r="H1447" s="81">
        <f>SUM(H1448)</f>
        <v>79.599999999999994</v>
      </c>
      <c r="I1447" s="30">
        <f t="shared" si="69"/>
        <v>100</v>
      </c>
    </row>
    <row r="1448" spans="1:9" ht="16.5" customHeight="1">
      <c r="A1448" s="97" t="s">
        <v>441</v>
      </c>
      <c r="B1448" s="168"/>
      <c r="C1448" s="142" t="s">
        <v>180</v>
      </c>
      <c r="D1448" s="142" t="s">
        <v>180</v>
      </c>
      <c r="E1448" s="142" t="s">
        <v>707</v>
      </c>
      <c r="F1448" s="141" t="s">
        <v>442</v>
      </c>
      <c r="G1448" s="81">
        <v>79.599999999999994</v>
      </c>
      <c r="H1448" s="81">
        <v>79.599999999999994</v>
      </c>
      <c r="I1448" s="30">
        <f t="shared" si="69"/>
        <v>100</v>
      </c>
    </row>
    <row r="1449" spans="1:9" ht="16.5" customHeight="1">
      <c r="A1449" s="95" t="s">
        <v>458</v>
      </c>
      <c r="B1449" s="138"/>
      <c r="C1449" s="142" t="s">
        <v>180</v>
      </c>
      <c r="D1449" s="142" t="s">
        <v>603</v>
      </c>
      <c r="E1449" s="142"/>
      <c r="F1449" s="140"/>
      <c r="G1449" s="81">
        <f>SUM(G1450+G1454+G1461+G1480)</f>
        <v>39040.700000000004</v>
      </c>
      <c r="H1449" s="81">
        <f>SUM(H1450+H1454+H1461+H1480)</f>
        <v>38866.700000000004</v>
      </c>
      <c r="I1449" s="30">
        <f t="shared" si="69"/>
        <v>99.55431127003358</v>
      </c>
    </row>
    <row r="1450" spans="1:9" ht="15" hidden="1">
      <c r="A1450" s="114" t="s">
        <v>659</v>
      </c>
      <c r="B1450" s="150"/>
      <c r="C1450" s="142" t="s">
        <v>180</v>
      </c>
      <c r="D1450" s="142" t="s">
        <v>603</v>
      </c>
      <c r="E1450" s="142" t="s">
        <v>660</v>
      </c>
      <c r="F1450" s="140"/>
      <c r="G1450" s="81">
        <f>SUM(G1451)</f>
        <v>0</v>
      </c>
      <c r="H1450" s="81">
        <f>SUM(H1451)</f>
        <v>0</v>
      </c>
      <c r="I1450" s="30" t="e">
        <f t="shared" si="69"/>
        <v>#DIV/0!</v>
      </c>
    </row>
    <row r="1451" spans="1:9" ht="18" hidden="1" customHeight="1">
      <c r="A1451" s="95" t="s">
        <v>460</v>
      </c>
      <c r="B1451" s="150"/>
      <c r="C1451" s="142" t="s">
        <v>180</v>
      </c>
      <c r="D1451" s="142" t="s">
        <v>603</v>
      </c>
      <c r="E1451" s="142" t="s">
        <v>571</v>
      </c>
      <c r="F1451" s="140"/>
      <c r="G1451" s="81">
        <f>SUM(G1452)</f>
        <v>0</v>
      </c>
      <c r="H1451" s="81">
        <f>SUM(H1452)</f>
        <v>0</v>
      </c>
      <c r="I1451" s="30" t="e">
        <f t="shared" si="69"/>
        <v>#DIV/0!</v>
      </c>
    </row>
    <row r="1452" spans="1:9" ht="33.75" hidden="1" customHeight="1">
      <c r="A1452" s="97" t="s">
        <v>558</v>
      </c>
      <c r="B1452" s="150"/>
      <c r="C1452" s="142" t="s">
        <v>180</v>
      </c>
      <c r="D1452" s="142" t="s">
        <v>603</v>
      </c>
      <c r="E1452" s="142" t="s">
        <v>559</v>
      </c>
      <c r="F1452" s="140"/>
      <c r="G1452" s="81"/>
      <c r="H1452" s="81"/>
      <c r="I1452" s="30" t="e">
        <f t="shared" si="69"/>
        <v>#DIV/0!</v>
      </c>
    </row>
    <row r="1453" spans="1:9" ht="15" hidden="1">
      <c r="A1453" s="97" t="s">
        <v>49</v>
      </c>
      <c r="B1453" s="150"/>
      <c r="C1453" s="142" t="s">
        <v>180</v>
      </c>
      <c r="D1453" s="142" t="s">
        <v>603</v>
      </c>
      <c r="E1453" s="142" t="s">
        <v>559</v>
      </c>
      <c r="F1453" s="140" t="s">
        <v>498</v>
      </c>
      <c r="G1453" s="81"/>
      <c r="H1453" s="81"/>
      <c r="I1453" s="30" t="e">
        <f t="shared" si="69"/>
        <v>#DIV/0!</v>
      </c>
    </row>
    <row r="1454" spans="1:9" ht="48" customHeight="1">
      <c r="A1454" s="119" t="s">
        <v>560</v>
      </c>
      <c r="B1454" s="138"/>
      <c r="C1454" s="142" t="s">
        <v>180</v>
      </c>
      <c r="D1454" s="142" t="s">
        <v>603</v>
      </c>
      <c r="E1454" s="142" t="s">
        <v>561</v>
      </c>
      <c r="F1454" s="140"/>
      <c r="G1454" s="81">
        <f>SUM(G1455)</f>
        <v>36838.300000000003</v>
      </c>
      <c r="H1454" s="81">
        <f>SUM(H1455)</f>
        <v>36664.300000000003</v>
      </c>
      <c r="I1454" s="30">
        <f t="shared" si="69"/>
        <v>99.527665500308103</v>
      </c>
    </row>
    <row r="1455" spans="1:9" ht="29.25" customHeight="1">
      <c r="A1455" s="95" t="s">
        <v>48</v>
      </c>
      <c r="B1455" s="150"/>
      <c r="C1455" s="142" t="s">
        <v>180</v>
      </c>
      <c r="D1455" s="142" t="s">
        <v>603</v>
      </c>
      <c r="E1455" s="142" t="s">
        <v>562</v>
      </c>
      <c r="F1455" s="140"/>
      <c r="G1455" s="81">
        <f>SUM(G1456+G1457+G1459)</f>
        <v>36838.300000000003</v>
      </c>
      <c r="H1455" s="81">
        <f>SUM(H1456+H1457+H1459)</f>
        <v>36664.300000000003</v>
      </c>
      <c r="I1455" s="30">
        <f t="shared" si="69"/>
        <v>99.527665500308103</v>
      </c>
    </row>
    <row r="1456" spans="1:9" ht="19.5" customHeight="1">
      <c r="A1456" s="97" t="s">
        <v>49</v>
      </c>
      <c r="B1456" s="150"/>
      <c r="C1456" s="142" t="s">
        <v>180</v>
      </c>
      <c r="D1456" s="142" t="s">
        <v>603</v>
      </c>
      <c r="E1456" s="142" t="s">
        <v>562</v>
      </c>
      <c r="F1456" s="140" t="s">
        <v>498</v>
      </c>
      <c r="G1456" s="81">
        <v>36838.300000000003</v>
      </c>
      <c r="H1456" s="81">
        <v>36664.300000000003</v>
      </c>
      <c r="I1456" s="30">
        <f t="shared" si="69"/>
        <v>99.527665500308103</v>
      </c>
    </row>
    <row r="1457" spans="1:9" ht="15" hidden="1">
      <c r="A1457" s="97" t="s">
        <v>526</v>
      </c>
      <c r="B1457" s="150"/>
      <c r="C1457" s="142" t="s">
        <v>180</v>
      </c>
      <c r="D1457" s="142" t="s">
        <v>603</v>
      </c>
      <c r="E1457" s="142" t="s">
        <v>563</v>
      </c>
      <c r="F1457" s="140"/>
      <c r="G1457" s="81">
        <f>SUM(G1458)</f>
        <v>0</v>
      </c>
      <c r="H1457" s="81">
        <f>SUM(H1458)</f>
        <v>0</v>
      </c>
      <c r="I1457" s="30" t="e">
        <f t="shared" si="69"/>
        <v>#DIV/0!</v>
      </c>
    </row>
    <row r="1458" spans="1:9" ht="22.5" hidden="1" customHeight="1">
      <c r="A1458" s="97" t="s">
        <v>49</v>
      </c>
      <c r="B1458" s="150"/>
      <c r="C1458" s="142" t="s">
        <v>180</v>
      </c>
      <c r="D1458" s="142" t="s">
        <v>603</v>
      </c>
      <c r="E1458" s="142" t="s">
        <v>563</v>
      </c>
      <c r="F1458" s="140" t="s">
        <v>498</v>
      </c>
      <c r="G1458" s="81"/>
      <c r="H1458" s="81"/>
      <c r="I1458" s="30" t="e">
        <f t="shared" si="69"/>
        <v>#DIV/0!</v>
      </c>
    </row>
    <row r="1459" spans="1:9" ht="42.75" hidden="1">
      <c r="A1459" s="95" t="s">
        <v>1010</v>
      </c>
      <c r="B1459" s="109"/>
      <c r="C1459" s="142" t="s">
        <v>180</v>
      </c>
      <c r="D1459" s="142" t="s">
        <v>603</v>
      </c>
      <c r="E1459" s="142" t="s">
        <v>564</v>
      </c>
      <c r="F1459" s="141"/>
      <c r="G1459" s="81">
        <f>SUM(G1460)</f>
        <v>0</v>
      </c>
      <c r="H1459" s="81">
        <f>SUM(H1460)</f>
        <v>0</v>
      </c>
      <c r="I1459" s="30" t="e">
        <f t="shared" ref="I1459:I1522" si="70">SUM(H1459/G1459*100)</f>
        <v>#DIV/0!</v>
      </c>
    </row>
    <row r="1460" spans="1:9" ht="15" hidden="1">
      <c r="A1460" s="97" t="s">
        <v>497</v>
      </c>
      <c r="B1460" s="109"/>
      <c r="C1460" s="142" t="s">
        <v>180</v>
      </c>
      <c r="D1460" s="142" t="s">
        <v>603</v>
      </c>
      <c r="E1460" s="142" t="s">
        <v>564</v>
      </c>
      <c r="F1460" s="141" t="s">
        <v>498</v>
      </c>
      <c r="G1460" s="81"/>
      <c r="H1460" s="81"/>
      <c r="I1460" s="30" t="e">
        <f t="shared" si="70"/>
        <v>#DIV/0!</v>
      </c>
    </row>
    <row r="1461" spans="1:9" ht="15" hidden="1">
      <c r="A1461" s="95" t="s">
        <v>932</v>
      </c>
      <c r="B1461" s="109"/>
      <c r="C1461" s="142" t="s">
        <v>180</v>
      </c>
      <c r="D1461" s="142" t="s">
        <v>603</v>
      </c>
      <c r="E1461" s="142" t="s">
        <v>933</v>
      </c>
      <c r="F1461" s="141"/>
      <c r="G1461" s="81">
        <f>SUM(G1464+G1468+G1472+G1466+G1470+G1462)</f>
        <v>0</v>
      </c>
      <c r="H1461" s="81">
        <f>SUM(H1464+H1468+H1472+H1466+H1470+H1462)</f>
        <v>0</v>
      </c>
      <c r="I1461" s="30" t="e">
        <f t="shared" si="70"/>
        <v>#DIV/0!</v>
      </c>
    </row>
    <row r="1462" spans="1:9" ht="42.75" hidden="1">
      <c r="A1462" s="95" t="s">
        <v>565</v>
      </c>
      <c r="B1462" s="109"/>
      <c r="C1462" s="142" t="s">
        <v>180</v>
      </c>
      <c r="D1462" s="142" t="s">
        <v>603</v>
      </c>
      <c r="E1462" s="142" t="s">
        <v>566</v>
      </c>
      <c r="F1462" s="141"/>
      <c r="G1462" s="81">
        <f>SUM(G1463)</f>
        <v>0</v>
      </c>
      <c r="H1462" s="81">
        <f>SUM(H1463)</f>
        <v>0</v>
      </c>
      <c r="I1462" s="30" t="e">
        <f t="shared" si="70"/>
        <v>#DIV/0!</v>
      </c>
    </row>
    <row r="1463" spans="1:9" ht="15" hidden="1">
      <c r="A1463" s="97" t="s">
        <v>497</v>
      </c>
      <c r="B1463" s="109"/>
      <c r="C1463" s="142" t="s">
        <v>180</v>
      </c>
      <c r="D1463" s="142" t="s">
        <v>603</v>
      </c>
      <c r="E1463" s="142" t="s">
        <v>566</v>
      </c>
      <c r="F1463" s="141" t="s">
        <v>498</v>
      </c>
      <c r="G1463" s="81"/>
      <c r="H1463" s="81"/>
      <c r="I1463" s="30" t="e">
        <f t="shared" si="70"/>
        <v>#DIV/0!</v>
      </c>
    </row>
    <row r="1464" spans="1:9" ht="19.5" hidden="1" customHeight="1">
      <c r="A1464" s="95" t="s">
        <v>527</v>
      </c>
      <c r="B1464" s="109"/>
      <c r="C1464" s="142" t="s">
        <v>180</v>
      </c>
      <c r="D1464" s="142" t="s">
        <v>603</v>
      </c>
      <c r="E1464" s="142" t="s">
        <v>528</v>
      </c>
      <c r="F1464" s="141"/>
      <c r="G1464" s="81">
        <f>SUM(G1465)</f>
        <v>0</v>
      </c>
      <c r="H1464" s="81">
        <f>SUM(H1465)</f>
        <v>0</v>
      </c>
      <c r="I1464" s="30" t="e">
        <f t="shared" si="70"/>
        <v>#DIV/0!</v>
      </c>
    </row>
    <row r="1465" spans="1:9" ht="28.5" hidden="1" customHeight="1">
      <c r="A1465" s="95" t="s">
        <v>332</v>
      </c>
      <c r="B1465" s="109"/>
      <c r="C1465" s="142" t="s">
        <v>180</v>
      </c>
      <c r="D1465" s="142" t="s">
        <v>603</v>
      </c>
      <c r="E1465" s="142" t="s">
        <v>528</v>
      </c>
      <c r="F1465" s="141" t="s">
        <v>508</v>
      </c>
      <c r="G1465" s="81"/>
      <c r="H1465" s="81"/>
      <c r="I1465" s="30" t="e">
        <f t="shared" si="70"/>
        <v>#DIV/0!</v>
      </c>
    </row>
    <row r="1466" spans="1:9" ht="18.75" hidden="1" customHeight="1">
      <c r="A1466" s="95" t="s">
        <v>567</v>
      </c>
      <c r="B1466" s="109"/>
      <c r="C1466" s="142" t="s">
        <v>180</v>
      </c>
      <c r="D1466" s="142" t="s">
        <v>603</v>
      </c>
      <c r="E1466" s="142" t="s">
        <v>568</v>
      </c>
      <c r="F1466" s="141"/>
      <c r="G1466" s="81">
        <f>SUM(G1467)</f>
        <v>0</v>
      </c>
      <c r="H1466" s="81">
        <f>SUM(H1467)</f>
        <v>0</v>
      </c>
      <c r="I1466" s="30" t="e">
        <f t="shared" si="70"/>
        <v>#DIV/0!</v>
      </c>
    </row>
    <row r="1467" spans="1:9" ht="28.5" hidden="1">
      <c r="A1467" s="95" t="s">
        <v>692</v>
      </c>
      <c r="B1467" s="109"/>
      <c r="C1467" s="142" t="s">
        <v>180</v>
      </c>
      <c r="D1467" s="142" t="s">
        <v>603</v>
      </c>
      <c r="E1467" s="142" t="s">
        <v>568</v>
      </c>
      <c r="F1467" s="141" t="s">
        <v>569</v>
      </c>
      <c r="G1467" s="81"/>
      <c r="H1467" s="81"/>
      <c r="I1467" s="30" t="e">
        <f t="shared" si="70"/>
        <v>#DIV/0!</v>
      </c>
    </row>
    <row r="1468" spans="1:9" ht="28.5" hidden="1" customHeight="1">
      <c r="A1468" s="95" t="s">
        <v>681</v>
      </c>
      <c r="B1468" s="109"/>
      <c r="C1468" s="142" t="s">
        <v>180</v>
      </c>
      <c r="D1468" s="142" t="s">
        <v>603</v>
      </c>
      <c r="E1468" s="142" t="s">
        <v>682</v>
      </c>
      <c r="F1468" s="141"/>
      <c r="G1468" s="81">
        <f>SUM(G1469)</f>
        <v>0</v>
      </c>
      <c r="H1468" s="81">
        <f>SUM(H1469)</f>
        <v>0</v>
      </c>
      <c r="I1468" s="30" t="e">
        <f t="shared" si="70"/>
        <v>#DIV/0!</v>
      </c>
    </row>
    <row r="1469" spans="1:9" ht="15.75" hidden="1" customHeight="1">
      <c r="A1469" s="97" t="s">
        <v>497</v>
      </c>
      <c r="B1469" s="109"/>
      <c r="C1469" s="142" t="s">
        <v>180</v>
      </c>
      <c r="D1469" s="142" t="s">
        <v>603</v>
      </c>
      <c r="E1469" s="142" t="s">
        <v>682</v>
      </c>
      <c r="F1469" s="141" t="s">
        <v>498</v>
      </c>
      <c r="G1469" s="81"/>
      <c r="H1469" s="81"/>
      <c r="I1469" s="30" t="e">
        <f t="shared" si="70"/>
        <v>#DIV/0!</v>
      </c>
    </row>
    <row r="1470" spans="1:9" ht="71.25" hidden="1" customHeight="1">
      <c r="A1470" s="97" t="s">
        <v>1012</v>
      </c>
      <c r="B1470" s="109"/>
      <c r="C1470" s="142" t="s">
        <v>180</v>
      </c>
      <c r="D1470" s="142" t="s">
        <v>603</v>
      </c>
      <c r="E1470" s="142" t="s">
        <v>570</v>
      </c>
      <c r="F1470" s="141"/>
      <c r="G1470" s="81">
        <f>SUM(G1471)</f>
        <v>0</v>
      </c>
      <c r="H1470" s="81">
        <f>SUM(H1471)</f>
        <v>0</v>
      </c>
      <c r="I1470" s="30" t="e">
        <f t="shared" si="70"/>
        <v>#DIV/0!</v>
      </c>
    </row>
    <row r="1471" spans="1:9" ht="16.5" hidden="1" customHeight="1">
      <c r="A1471" s="95" t="s">
        <v>692</v>
      </c>
      <c r="B1471" s="109"/>
      <c r="C1471" s="142" t="s">
        <v>180</v>
      </c>
      <c r="D1471" s="142" t="s">
        <v>603</v>
      </c>
      <c r="E1471" s="142" t="s">
        <v>570</v>
      </c>
      <c r="F1471" s="141" t="s">
        <v>569</v>
      </c>
      <c r="G1471" s="81"/>
      <c r="H1471" s="81"/>
      <c r="I1471" s="30" t="e">
        <f t="shared" si="70"/>
        <v>#DIV/0!</v>
      </c>
    </row>
    <row r="1472" spans="1:9" ht="28.5" hidden="1">
      <c r="A1472" s="95" t="s">
        <v>218</v>
      </c>
      <c r="B1472" s="109"/>
      <c r="C1472" s="142" t="s">
        <v>180</v>
      </c>
      <c r="D1472" s="142" t="s">
        <v>603</v>
      </c>
      <c r="E1472" s="142" t="s">
        <v>219</v>
      </c>
      <c r="F1472" s="141"/>
      <c r="G1472" s="81">
        <f>SUM(G1473,G1478)</f>
        <v>0</v>
      </c>
      <c r="H1472" s="81">
        <f>SUM(H1473,H1478)</f>
        <v>0</v>
      </c>
      <c r="I1472" s="30" t="e">
        <f t="shared" si="70"/>
        <v>#DIV/0!</v>
      </c>
    </row>
    <row r="1473" spans="1:9" ht="21" hidden="1" customHeight="1">
      <c r="A1473" s="97" t="s">
        <v>497</v>
      </c>
      <c r="B1473" s="109"/>
      <c r="C1473" s="142" t="s">
        <v>180</v>
      </c>
      <c r="D1473" s="142" t="s">
        <v>603</v>
      </c>
      <c r="E1473" s="142" t="s">
        <v>219</v>
      </c>
      <c r="F1473" s="141" t="s">
        <v>498</v>
      </c>
      <c r="G1473" s="81"/>
      <c r="H1473" s="81"/>
      <c r="I1473" s="30" t="e">
        <f t="shared" si="70"/>
        <v>#DIV/0!</v>
      </c>
    </row>
    <row r="1474" spans="1:9" ht="45" hidden="1" customHeight="1">
      <c r="A1474" s="95" t="s">
        <v>932</v>
      </c>
      <c r="B1474" s="109"/>
      <c r="C1474" s="142" t="s">
        <v>180</v>
      </c>
      <c r="D1474" s="142" t="s">
        <v>603</v>
      </c>
      <c r="E1474" s="142" t="s">
        <v>933</v>
      </c>
      <c r="F1474" s="141"/>
      <c r="G1474" s="81"/>
      <c r="H1474" s="81"/>
      <c r="I1474" s="30" t="e">
        <f t="shared" si="70"/>
        <v>#DIV/0!</v>
      </c>
    </row>
    <row r="1475" spans="1:9" ht="17.25" hidden="1" customHeight="1">
      <c r="A1475" s="95" t="s">
        <v>529</v>
      </c>
      <c r="B1475" s="109"/>
      <c r="C1475" s="142" t="s">
        <v>180</v>
      </c>
      <c r="D1475" s="142" t="s">
        <v>603</v>
      </c>
      <c r="E1475" s="142" t="s">
        <v>219</v>
      </c>
      <c r="F1475" s="141"/>
      <c r="G1475" s="81">
        <f>SUM(G1477+G1476)</f>
        <v>0</v>
      </c>
      <c r="H1475" s="81">
        <f>SUM(H1477+H1476)</f>
        <v>0</v>
      </c>
      <c r="I1475" s="30" t="e">
        <f t="shared" si="70"/>
        <v>#DIV/0!</v>
      </c>
    </row>
    <row r="1476" spans="1:9" ht="17.25" hidden="1" customHeight="1">
      <c r="A1476" s="97" t="s">
        <v>598</v>
      </c>
      <c r="B1476" s="109"/>
      <c r="C1476" s="142" t="s">
        <v>180</v>
      </c>
      <c r="D1476" s="142" t="s">
        <v>603</v>
      </c>
      <c r="E1476" s="142" t="s">
        <v>219</v>
      </c>
      <c r="F1476" s="141" t="s">
        <v>674</v>
      </c>
      <c r="G1476" s="81"/>
      <c r="H1476" s="81"/>
      <c r="I1476" s="30" t="e">
        <f t="shared" si="70"/>
        <v>#DIV/0!</v>
      </c>
    </row>
    <row r="1477" spans="1:9" ht="16.5" hidden="1" customHeight="1">
      <c r="A1477" s="117" t="s">
        <v>220</v>
      </c>
      <c r="B1477" s="109"/>
      <c r="C1477" s="142" t="s">
        <v>180</v>
      </c>
      <c r="D1477" s="142" t="s">
        <v>603</v>
      </c>
      <c r="E1477" s="142" t="s">
        <v>221</v>
      </c>
      <c r="F1477" s="141"/>
      <c r="G1477" s="81">
        <f>SUM(G1479)</f>
        <v>0</v>
      </c>
      <c r="H1477" s="81">
        <f>SUM(H1479)</f>
        <v>0</v>
      </c>
      <c r="I1477" s="30" t="e">
        <f t="shared" si="70"/>
        <v>#DIV/0!</v>
      </c>
    </row>
    <row r="1478" spans="1:9" ht="19.5" hidden="1" customHeight="1">
      <c r="A1478" s="94" t="s">
        <v>276</v>
      </c>
      <c r="B1478" s="109"/>
      <c r="C1478" s="142" t="s">
        <v>180</v>
      </c>
      <c r="D1478" s="142" t="s">
        <v>603</v>
      </c>
      <c r="E1478" s="142" t="s">
        <v>219</v>
      </c>
      <c r="F1478" s="141" t="s">
        <v>132</v>
      </c>
      <c r="G1478" s="81"/>
      <c r="H1478" s="81"/>
      <c r="I1478" s="30" t="e">
        <f t="shared" si="70"/>
        <v>#DIV/0!</v>
      </c>
    </row>
    <row r="1479" spans="1:9" ht="51.75" hidden="1" customHeight="1">
      <c r="A1479" s="97" t="s">
        <v>497</v>
      </c>
      <c r="B1479" s="109"/>
      <c r="C1479" s="142" t="s">
        <v>180</v>
      </c>
      <c r="D1479" s="142" t="s">
        <v>603</v>
      </c>
      <c r="E1479" s="142" t="s">
        <v>221</v>
      </c>
      <c r="F1479" s="141" t="s">
        <v>498</v>
      </c>
      <c r="G1479" s="81"/>
      <c r="H1479" s="81"/>
      <c r="I1479" s="30" t="e">
        <f t="shared" si="70"/>
        <v>#DIV/0!</v>
      </c>
    </row>
    <row r="1480" spans="1:9" ht="16.5" customHeight="1">
      <c r="A1480" s="97" t="s">
        <v>200</v>
      </c>
      <c r="B1480" s="168"/>
      <c r="C1480" s="142" t="s">
        <v>180</v>
      </c>
      <c r="D1480" s="142" t="s">
        <v>603</v>
      </c>
      <c r="E1480" s="142" t="s">
        <v>201</v>
      </c>
      <c r="F1480" s="141"/>
      <c r="G1480" s="81">
        <f>SUM(G1483)</f>
        <v>2202.4</v>
      </c>
      <c r="H1480" s="81">
        <f>SUM(H1483)</f>
        <v>2202.4</v>
      </c>
      <c r="I1480" s="30">
        <f t="shared" si="70"/>
        <v>100</v>
      </c>
    </row>
    <row r="1481" spans="1:9" ht="21" hidden="1" customHeight="1">
      <c r="A1481" s="94" t="s">
        <v>386</v>
      </c>
      <c r="B1481" s="168"/>
      <c r="C1481" s="142" t="s">
        <v>599</v>
      </c>
      <c r="D1481" s="142" t="s">
        <v>603</v>
      </c>
      <c r="E1481" s="142" t="s">
        <v>597</v>
      </c>
      <c r="F1481" s="141"/>
      <c r="G1481" s="81">
        <f>SUM(G1482)</f>
        <v>0</v>
      </c>
      <c r="H1481" s="81">
        <f>SUM(H1482)</f>
        <v>0</v>
      </c>
      <c r="I1481" s="30" t="e">
        <f t="shared" si="70"/>
        <v>#DIV/0!</v>
      </c>
    </row>
    <row r="1482" spans="1:9" ht="18.75" hidden="1" customHeight="1">
      <c r="A1482" s="97" t="s">
        <v>49</v>
      </c>
      <c r="B1482" s="168"/>
      <c r="C1482" s="142" t="s">
        <v>180</v>
      </c>
      <c r="D1482" s="142" t="s">
        <v>603</v>
      </c>
      <c r="E1482" s="142" t="s">
        <v>597</v>
      </c>
      <c r="F1482" s="141" t="s">
        <v>498</v>
      </c>
      <c r="G1482" s="81"/>
      <c r="H1482" s="81"/>
      <c r="I1482" s="30" t="e">
        <f t="shared" si="70"/>
        <v>#DIV/0!</v>
      </c>
    </row>
    <row r="1483" spans="1:9" ht="18.75" customHeight="1">
      <c r="A1483" s="98" t="s">
        <v>891</v>
      </c>
      <c r="B1483" s="138"/>
      <c r="C1483" s="142" t="s">
        <v>180</v>
      </c>
      <c r="D1483" s="142" t="s">
        <v>603</v>
      </c>
      <c r="E1483" s="142" t="s">
        <v>700</v>
      </c>
      <c r="F1483" s="141"/>
      <c r="G1483" s="82">
        <f>SUM(G1484)+G1485</f>
        <v>2202.4</v>
      </c>
      <c r="H1483" s="82">
        <f>SUM(H1484)+H1485</f>
        <v>2202.4</v>
      </c>
      <c r="I1483" s="30">
        <f t="shared" si="70"/>
        <v>100</v>
      </c>
    </row>
    <row r="1484" spans="1:9" ht="21.75" customHeight="1">
      <c r="A1484" s="97" t="s">
        <v>441</v>
      </c>
      <c r="B1484" s="138"/>
      <c r="C1484" s="142" t="s">
        <v>180</v>
      </c>
      <c r="D1484" s="142" t="s">
        <v>603</v>
      </c>
      <c r="E1484" s="142" t="s">
        <v>700</v>
      </c>
      <c r="F1484" s="141" t="s">
        <v>442</v>
      </c>
      <c r="G1484" s="82">
        <v>2202.4</v>
      </c>
      <c r="H1484" s="82">
        <v>2202.4</v>
      </c>
      <c r="I1484" s="30">
        <f t="shared" si="70"/>
        <v>100</v>
      </c>
    </row>
    <row r="1485" spans="1:9" ht="18" hidden="1" customHeight="1">
      <c r="A1485" s="94" t="s">
        <v>276</v>
      </c>
      <c r="B1485" s="109"/>
      <c r="C1485" s="142" t="s">
        <v>180</v>
      </c>
      <c r="D1485" s="142" t="s">
        <v>603</v>
      </c>
      <c r="E1485" s="142" t="s">
        <v>700</v>
      </c>
      <c r="F1485" s="141" t="s">
        <v>132</v>
      </c>
      <c r="G1485" s="81"/>
      <c r="H1485" s="81"/>
      <c r="I1485" s="30" t="e">
        <f t="shared" si="70"/>
        <v>#DIV/0!</v>
      </c>
    </row>
    <row r="1486" spans="1:9" ht="18" hidden="1" customHeight="1">
      <c r="A1486" s="98" t="s">
        <v>701</v>
      </c>
      <c r="B1486" s="138"/>
      <c r="C1486" s="142" t="s">
        <v>180</v>
      </c>
      <c r="D1486" s="142" t="s">
        <v>603</v>
      </c>
      <c r="E1486" s="142" t="s">
        <v>702</v>
      </c>
      <c r="F1486" s="141"/>
      <c r="G1486" s="82">
        <f>SUM(G1487:G1488)</f>
        <v>0</v>
      </c>
      <c r="H1486" s="82">
        <f>SUM(H1487:H1488)</f>
        <v>0</v>
      </c>
      <c r="I1486" s="30" t="e">
        <f t="shared" si="70"/>
        <v>#DIV/0!</v>
      </c>
    </row>
    <row r="1487" spans="1:9" ht="18" hidden="1" customHeight="1">
      <c r="A1487" s="97" t="s">
        <v>441</v>
      </c>
      <c r="B1487" s="138"/>
      <c r="C1487" s="142" t="s">
        <v>180</v>
      </c>
      <c r="D1487" s="142" t="s">
        <v>603</v>
      </c>
      <c r="E1487" s="142" t="s">
        <v>702</v>
      </c>
      <c r="F1487" s="141" t="s">
        <v>442</v>
      </c>
      <c r="G1487" s="82"/>
      <c r="H1487" s="82"/>
      <c r="I1487" s="30" t="e">
        <f t="shared" si="70"/>
        <v>#DIV/0!</v>
      </c>
    </row>
    <row r="1488" spans="1:9" ht="18" hidden="1" customHeight="1">
      <c r="A1488" s="94" t="s">
        <v>276</v>
      </c>
      <c r="B1488" s="109"/>
      <c r="C1488" s="142" t="s">
        <v>180</v>
      </c>
      <c r="D1488" s="142" t="s">
        <v>603</v>
      </c>
      <c r="E1488" s="142" t="s">
        <v>702</v>
      </c>
      <c r="F1488" s="141" t="s">
        <v>132</v>
      </c>
      <c r="G1488" s="81"/>
      <c r="H1488" s="81"/>
      <c r="I1488" s="30" t="e">
        <f t="shared" si="70"/>
        <v>#DIV/0!</v>
      </c>
    </row>
    <row r="1489" spans="1:9" ht="18" hidden="1" customHeight="1">
      <c r="A1489" s="98" t="s">
        <v>621</v>
      </c>
      <c r="B1489" s="138"/>
      <c r="C1489" s="142" t="s">
        <v>180</v>
      </c>
      <c r="D1489" s="142" t="s">
        <v>603</v>
      </c>
      <c r="E1489" s="142" t="s">
        <v>705</v>
      </c>
      <c r="F1489" s="141"/>
      <c r="G1489" s="82">
        <f>SUM(G1490+G1491)</f>
        <v>0</v>
      </c>
      <c r="H1489" s="82">
        <f>SUM(H1490+H1491)</f>
        <v>0</v>
      </c>
      <c r="I1489" s="30" t="e">
        <f t="shared" si="70"/>
        <v>#DIV/0!</v>
      </c>
    </row>
    <row r="1490" spans="1:9" ht="17.25" hidden="1" customHeight="1">
      <c r="A1490" s="97" t="s">
        <v>441</v>
      </c>
      <c r="B1490" s="138"/>
      <c r="C1490" s="142" t="s">
        <v>180</v>
      </c>
      <c r="D1490" s="142" t="s">
        <v>603</v>
      </c>
      <c r="E1490" s="142" t="s">
        <v>705</v>
      </c>
      <c r="F1490" s="141" t="s">
        <v>442</v>
      </c>
      <c r="G1490" s="82"/>
      <c r="H1490" s="82"/>
      <c r="I1490" s="30" t="e">
        <f t="shared" si="70"/>
        <v>#DIV/0!</v>
      </c>
    </row>
    <row r="1491" spans="1:9" ht="15" hidden="1">
      <c r="A1491" s="97" t="s">
        <v>276</v>
      </c>
      <c r="B1491" s="138"/>
      <c r="C1491" s="142" t="s">
        <v>180</v>
      </c>
      <c r="D1491" s="142" t="s">
        <v>603</v>
      </c>
      <c r="E1491" s="142" t="s">
        <v>705</v>
      </c>
      <c r="F1491" s="141" t="s">
        <v>132</v>
      </c>
      <c r="G1491" s="82"/>
      <c r="H1491" s="82"/>
      <c r="I1491" s="30" t="e">
        <f t="shared" si="70"/>
        <v>#DIV/0!</v>
      </c>
    </row>
    <row r="1492" spans="1:9" ht="15">
      <c r="A1492" s="115" t="s">
        <v>341</v>
      </c>
      <c r="B1492" s="138"/>
      <c r="C1492" s="163" t="s">
        <v>940</v>
      </c>
      <c r="D1492" s="163" t="s">
        <v>342</v>
      </c>
      <c r="E1492" s="142"/>
      <c r="F1492" s="141"/>
      <c r="G1492" s="82">
        <f>SUM(G1497)+G1493</f>
        <v>36498.199999999997</v>
      </c>
      <c r="H1492" s="82">
        <f>SUM(H1497)+H1493</f>
        <v>36227.199999999997</v>
      </c>
      <c r="I1492" s="30">
        <f t="shared" si="70"/>
        <v>99.257497630020112</v>
      </c>
    </row>
    <row r="1493" spans="1:9" ht="15">
      <c r="A1493" s="119" t="s">
        <v>964</v>
      </c>
      <c r="B1493" s="138"/>
      <c r="C1493" s="154" t="s">
        <v>940</v>
      </c>
      <c r="D1493" s="163" t="s">
        <v>167</v>
      </c>
      <c r="E1493" s="163"/>
      <c r="F1493" s="141"/>
      <c r="G1493" s="82">
        <f t="shared" ref="G1493:H1495" si="71">SUM(G1494)</f>
        <v>9748.1</v>
      </c>
      <c r="H1493" s="82">
        <f t="shared" si="71"/>
        <v>9477.1</v>
      </c>
      <c r="I1493" s="30">
        <f t="shared" si="70"/>
        <v>97.219971071285684</v>
      </c>
    </row>
    <row r="1494" spans="1:9" ht="15">
      <c r="A1494" s="98" t="s">
        <v>965</v>
      </c>
      <c r="B1494" s="138"/>
      <c r="C1494" s="154" t="s">
        <v>940</v>
      </c>
      <c r="D1494" s="163" t="s">
        <v>167</v>
      </c>
      <c r="E1494" s="142" t="s">
        <v>966</v>
      </c>
      <c r="F1494" s="141"/>
      <c r="G1494" s="82">
        <f t="shared" si="71"/>
        <v>9748.1</v>
      </c>
      <c r="H1494" s="82">
        <f t="shared" si="71"/>
        <v>9477.1</v>
      </c>
      <c r="I1494" s="30">
        <f t="shared" si="70"/>
        <v>97.219971071285684</v>
      </c>
    </row>
    <row r="1495" spans="1:9" ht="15">
      <c r="A1495" s="98" t="s">
        <v>328</v>
      </c>
      <c r="B1495" s="138"/>
      <c r="C1495" s="154" t="s">
        <v>940</v>
      </c>
      <c r="D1495" s="163" t="s">
        <v>167</v>
      </c>
      <c r="E1495" s="142" t="s">
        <v>329</v>
      </c>
      <c r="F1495" s="141"/>
      <c r="G1495" s="82">
        <f t="shared" si="71"/>
        <v>9748.1</v>
      </c>
      <c r="H1495" s="82">
        <f t="shared" si="71"/>
        <v>9477.1</v>
      </c>
      <c r="I1495" s="30">
        <f t="shared" si="70"/>
        <v>97.219971071285684</v>
      </c>
    </row>
    <row r="1496" spans="1:9" ht="15">
      <c r="A1496" s="98" t="s">
        <v>592</v>
      </c>
      <c r="B1496" s="138"/>
      <c r="C1496" s="154" t="s">
        <v>940</v>
      </c>
      <c r="D1496" s="163" t="s">
        <v>167</v>
      </c>
      <c r="E1496" s="142" t="s">
        <v>329</v>
      </c>
      <c r="F1496" s="141" t="s">
        <v>593</v>
      </c>
      <c r="G1496" s="82">
        <v>9748.1</v>
      </c>
      <c r="H1496" s="82">
        <v>9477.1</v>
      </c>
      <c r="I1496" s="30">
        <f t="shared" si="70"/>
        <v>97.219971071285684</v>
      </c>
    </row>
    <row r="1497" spans="1:9" ht="18" customHeight="1">
      <c r="A1497" s="119" t="s">
        <v>279</v>
      </c>
      <c r="B1497" s="138"/>
      <c r="C1497" s="154" t="s">
        <v>940</v>
      </c>
      <c r="D1497" s="163" t="s">
        <v>191</v>
      </c>
      <c r="E1497" s="163"/>
      <c r="F1497" s="141"/>
      <c r="G1497" s="82">
        <f t="shared" ref="G1497:H1499" si="72">SUM(G1498)</f>
        <v>26750.1</v>
      </c>
      <c r="H1497" s="82">
        <f t="shared" si="72"/>
        <v>26750.1</v>
      </c>
      <c r="I1497" s="30">
        <f t="shared" si="70"/>
        <v>100</v>
      </c>
    </row>
    <row r="1498" spans="1:9" ht="22.5" customHeight="1">
      <c r="A1498" s="98" t="s">
        <v>663</v>
      </c>
      <c r="B1498" s="138"/>
      <c r="C1498" s="154" t="s">
        <v>940</v>
      </c>
      <c r="D1498" s="163" t="s">
        <v>191</v>
      </c>
      <c r="E1498" s="142" t="s">
        <v>664</v>
      </c>
      <c r="F1498" s="141"/>
      <c r="G1498" s="82">
        <f t="shared" si="72"/>
        <v>26750.1</v>
      </c>
      <c r="H1498" s="82">
        <f t="shared" si="72"/>
        <v>26750.1</v>
      </c>
      <c r="I1498" s="30">
        <f t="shared" si="70"/>
        <v>100</v>
      </c>
    </row>
    <row r="1499" spans="1:9" ht="48" customHeight="1">
      <c r="A1499" s="98" t="s">
        <v>282</v>
      </c>
      <c r="B1499" s="138"/>
      <c r="C1499" s="154" t="s">
        <v>940</v>
      </c>
      <c r="D1499" s="163" t="s">
        <v>191</v>
      </c>
      <c r="E1499" s="142" t="s">
        <v>283</v>
      </c>
      <c r="F1499" s="141"/>
      <c r="G1499" s="82">
        <f t="shared" si="72"/>
        <v>26750.1</v>
      </c>
      <c r="H1499" s="82">
        <f t="shared" si="72"/>
        <v>26750.1</v>
      </c>
      <c r="I1499" s="30">
        <f t="shared" si="70"/>
        <v>100</v>
      </c>
    </row>
    <row r="1500" spans="1:9" ht="19.5" customHeight="1">
      <c r="A1500" s="98" t="s">
        <v>592</v>
      </c>
      <c r="B1500" s="138"/>
      <c r="C1500" s="154" t="s">
        <v>940</v>
      </c>
      <c r="D1500" s="163" t="s">
        <v>191</v>
      </c>
      <c r="E1500" s="142" t="s">
        <v>283</v>
      </c>
      <c r="F1500" s="141" t="s">
        <v>593</v>
      </c>
      <c r="G1500" s="82">
        <v>26750.1</v>
      </c>
      <c r="H1500" s="82">
        <v>26750.1</v>
      </c>
      <c r="I1500" s="30">
        <f t="shared" si="70"/>
        <v>100</v>
      </c>
    </row>
    <row r="1501" spans="1:9" ht="21" customHeight="1">
      <c r="A1501" s="156" t="s">
        <v>618</v>
      </c>
      <c r="B1501" s="157" t="s">
        <v>530</v>
      </c>
      <c r="C1501" s="142"/>
      <c r="D1501" s="142"/>
      <c r="E1501" s="142"/>
      <c r="F1501" s="140"/>
      <c r="G1501" s="183">
        <f>SUM(G1502+G1534)</f>
        <v>167349.59999999998</v>
      </c>
      <c r="H1501" s="183">
        <f>SUM(H1502+H1534)</f>
        <v>166034.59999999998</v>
      </c>
      <c r="I1501" s="203">
        <f t="shared" si="70"/>
        <v>99.214219812894683</v>
      </c>
    </row>
    <row r="1502" spans="1:9" ht="21.75" customHeight="1">
      <c r="A1502" s="95" t="s">
        <v>179</v>
      </c>
      <c r="B1502" s="138"/>
      <c r="C1502" s="142" t="s">
        <v>180</v>
      </c>
      <c r="D1502" s="142"/>
      <c r="E1502" s="142"/>
      <c r="F1502" s="140"/>
      <c r="G1502" s="81">
        <f>SUM(G1503)+G1520</f>
        <v>55501.7</v>
      </c>
      <c r="H1502" s="81">
        <f>SUM(H1503)+H1520</f>
        <v>55497.3</v>
      </c>
      <c r="I1502" s="30">
        <f t="shared" si="70"/>
        <v>99.992072314902074</v>
      </c>
    </row>
    <row r="1503" spans="1:9" ht="26.25" customHeight="1">
      <c r="A1503" s="95" t="s">
        <v>683</v>
      </c>
      <c r="B1503" s="157"/>
      <c r="C1503" s="142" t="s">
        <v>180</v>
      </c>
      <c r="D1503" s="142" t="s">
        <v>838</v>
      </c>
      <c r="E1503" s="142"/>
      <c r="F1503" s="140"/>
      <c r="G1503" s="81">
        <f>SUM(G1504+G1517)</f>
        <v>55148.5</v>
      </c>
      <c r="H1503" s="81">
        <f>SUM(H1504+H1517)</f>
        <v>55148.5</v>
      </c>
      <c r="I1503" s="30">
        <f t="shared" si="70"/>
        <v>100</v>
      </c>
    </row>
    <row r="1504" spans="1:9" ht="24.75" customHeight="1">
      <c r="A1504" s="95" t="s">
        <v>638</v>
      </c>
      <c r="B1504" s="138"/>
      <c r="C1504" s="142" t="s">
        <v>180</v>
      </c>
      <c r="D1504" s="142" t="s">
        <v>838</v>
      </c>
      <c r="E1504" s="142" t="s">
        <v>639</v>
      </c>
      <c r="F1504" s="140"/>
      <c r="G1504" s="81">
        <f>SUM(G1505)</f>
        <v>55148.5</v>
      </c>
      <c r="H1504" s="81">
        <f>SUM(H1505)</f>
        <v>55148.5</v>
      </c>
      <c r="I1504" s="30">
        <f t="shared" si="70"/>
        <v>100</v>
      </c>
    </row>
    <row r="1505" spans="1:9" ht="24" customHeight="1">
      <c r="A1505" s="95" t="s">
        <v>953</v>
      </c>
      <c r="B1505" s="157"/>
      <c r="C1505" s="142" t="s">
        <v>180</v>
      </c>
      <c r="D1505" s="142" t="s">
        <v>838</v>
      </c>
      <c r="E1505" s="142" t="s">
        <v>125</v>
      </c>
      <c r="F1505" s="140"/>
      <c r="G1505" s="81">
        <f>SUM(G1506)+G1515+G1508</f>
        <v>55148.5</v>
      </c>
      <c r="H1505" s="81">
        <f>SUM(H1506)+H1515+H1508</f>
        <v>55148.5</v>
      </c>
      <c r="I1505" s="30">
        <f t="shared" si="70"/>
        <v>100</v>
      </c>
    </row>
    <row r="1506" spans="1:9" ht="28.5">
      <c r="A1506" s="95" t="s">
        <v>151</v>
      </c>
      <c r="B1506" s="157"/>
      <c r="C1506" s="142" t="s">
        <v>180</v>
      </c>
      <c r="D1506" s="142" t="s">
        <v>838</v>
      </c>
      <c r="E1506" s="142" t="s">
        <v>126</v>
      </c>
      <c r="F1506" s="140"/>
      <c r="G1506" s="81">
        <f>SUM(G1507)</f>
        <v>54579.199999999997</v>
      </c>
      <c r="H1506" s="81">
        <f>SUM(H1507)</f>
        <v>54579.199999999997</v>
      </c>
      <c r="I1506" s="30">
        <f t="shared" si="70"/>
        <v>100</v>
      </c>
    </row>
    <row r="1507" spans="1:9" ht="42.75" customHeight="1">
      <c r="A1507" s="97" t="s">
        <v>275</v>
      </c>
      <c r="B1507" s="109"/>
      <c r="C1507" s="142" t="s">
        <v>180</v>
      </c>
      <c r="D1507" s="142" t="s">
        <v>838</v>
      </c>
      <c r="E1507" s="142" t="s">
        <v>126</v>
      </c>
      <c r="F1507" s="141" t="s">
        <v>51</v>
      </c>
      <c r="G1507" s="81">
        <v>54579.199999999997</v>
      </c>
      <c r="H1507" s="81">
        <v>54579.199999999997</v>
      </c>
      <c r="I1507" s="30">
        <f t="shared" si="70"/>
        <v>100</v>
      </c>
    </row>
    <row r="1508" spans="1:9" ht="18" customHeight="1">
      <c r="A1508" s="97" t="s">
        <v>276</v>
      </c>
      <c r="B1508" s="109"/>
      <c r="C1508" s="142" t="s">
        <v>180</v>
      </c>
      <c r="D1508" s="142" t="s">
        <v>838</v>
      </c>
      <c r="E1508" s="142" t="s">
        <v>245</v>
      </c>
      <c r="F1508" s="141"/>
      <c r="G1508" s="81">
        <f>SUM(G1509+G1513+G1511)</f>
        <v>528.79999999999995</v>
      </c>
      <c r="H1508" s="81">
        <f>SUM(H1509+H1513+H1511)</f>
        <v>528.79999999999995</v>
      </c>
      <c r="I1508" s="30">
        <f t="shared" si="70"/>
        <v>100</v>
      </c>
    </row>
    <row r="1509" spans="1:9" ht="19.5" customHeight="1">
      <c r="A1509" s="97" t="s">
        <v>839</v>
      </c>
      <c r="B1509" s="109"/>
      <c r="C1509" s="142" t="s">
        <v>180</v>
      </c>
      <c r="D1509" s="142" t="s">
        <v>838</v>
      </c>
      <c r="E1509" s="142" t="s">
        <v>840</v>
      </c>
      <c r="F1509" s="141"/>
      <c r="G1509" s="81">
        <f>SUM(G1510)</f>
        <v>291.8</v>
      </c>
      <c r="H1509" s="81">
        <f>SUM(H1510)</f>
        <v>291.8</v>
      </c>
      <c r="I1509" s="30">
        <f t="shared" si="70"/>
        <v>100</v>
      </c>
    </row>
    <row r="1510" spans="1:9" ht="27" customHeight="1">
      <c r="A1510" s="97" t="s">
        <v>276</v>
      </c>
      <c r="B1510" s="109"/>
      <c r="C1510" s="142" t="s">
        <v>180</v>
      </c>
      <c r="D1510" s="142" t="s">
        <v>838</v>
      </c>
      <c r="E1510" s="142" t="s">
        <v>840</v>
      </c>
      <c r="F1510" s="141" t="s">
        <v>132</v>
      </c>
      <c r="G1510" s="81">
        <v>291.8</v>
      </c>
      <c r="H1510" s="81">
        <v>291.8</v>
      </c>
      <c r="I1510" s="30">
        <f t="shared" si="70"/>
        <v>100</v>
      </c>
    </row>
    <row r="1511" spans="1:9" ht="30" customHeight="1">
      <c r="A1511" s="97" t="s">
        <v>759</v>
      </c>
      <c r="B1511" s="109"/>
      <c r="C1511" s="142" t="s">
        <v>180</v>
      </c>
      <c r="D1511" s="142" t="s">
        <v>838</v>
      </c>
      <c r="E1511" s="142" t="s">
        <v>415</v>
      </c>
      <c r="F1511" s="141"/>
      <c r="G1511" s="81">
        <f>SUM(G1512)</f>
        <v>80</v>
      </c>
      <c r="H1511" s="81">
        <f>SUM(H1512)</f>
        <v>80</v>
      </c>
      <c r="I1511" s="30">
        <f t="shared" si="70"/>
        <v>100</v>
      </c>
    </row>
    <row r="1512" spans="1:9" ht="28.5" customHeight="1">
      <c r="A1512" s="97" t="s">
        <v>231</v>
      </c>
      <c r="B1512" s="109"/>
      <c r="C1512" s="142" t="s">
        <v>180</v>
      </c>
      <c r="D1512" s="142" t="s">
        <v>838</v>
      </c>
      <c r="E1512" s="142" t="s">
        <v>415</v>
      </c>
      <c r="F1512" s="141" t="s">
        <v>132</v>
      </c>
      <c r="G1512" s="81">
        <v>80</v>
      </c>
      <c r="H1512" s="81">
        <v>80</v>
      </c>
      <c r="I1512" s="30">
        <f t="shared" si="70"/>
        <v>100</v>
      </c>
    </row>
    <row r="1513" spans="1:9" ht="18" customHeight="1">
      <c r="A1513" s="97" t="s">
        <v>270</v>
      </c>
      <c r="B1513" s="109"/>
      <c r="C1513" s="142" t="s">
        <v>180</v>
      </c>
      <c r="D1513" s="142" t="s">
        <v>838</v>
      </c>
      <c r="E1513" s="142" t="s">
        <v>409</v>
      </c>
      <c r="F1513" s="141"/>
      <c r="G1513" s="81">
        <f>SUM(G1514)</f>
        <v>157</v>
      </c>
      <c r="H1513" s="81">
        <f>SUM(H1514)</f>
        <v>157</v>
      </c>
      <c r="I1513" s="30">
        <f t="shared" si="70"/>
        <v>100</v>
      </c>
    </row>
    <row r="1514" spans="1:9" ht="22.5" customHeight="1">
      <c r="A1514" s="97" t="s">
        <v>276</v>
      </c>
      <c r="B1514" s="109"/>
      <c r="C1514" s="142" t="s">
        <v>180</v>
      </c>
      <c r="D1514" s="142" t="s">
        <v>838</v>
      </c>
      <c r="E1514" s="142" t="s">
        <v>409</v>
      </c>
      <c r="F1514" s="141" t="s">
        <v>132</v>
      </c>
      <c r="G1514" s="81">
        <v>157</v>
      </c>
      <c r="H1514" s="81">
        <v>157</v>
      </c>
      <c r="I1514" s="30">
        <f t="shared" si="70"/>
        <v>100</v>
      </c>
    </row>
    <row r="1515" spans="1:9" ht="45.75" customHeight="1">
      <c r="A1515" s="97" t="s">
        <v>60</v>
      </c>
      <c r="B1515" s="109"/>
      <c r="C1515" s="142" t="s">
        <v>180</v>
      </c>
      <c r="D1515" s="142" t="s">
        <v>838</v>
      </c>
      <c r="E1515" s="142" t="s">
        <v>128</v>
      </c>
      <c r="F1515" s="141"/>
      <c r="G1515" s="81">
        <f>SUM(G1516)</f>
        <v>40.5</v>
      </c>
      <c r="H1515" s="81">
        <f>SUM(H1516)</f>
        <v>40.5</v>
      </c>
      <c r="I1515" s="30">
        <f t="shared" si="70"/>
        <v>100</v>
      </c>
    </row>
    <row r="1516" spans="1:9" ht="23.25" customHeight="1">
      <c r="A1516" s="97" t="s">
        <v>276</v>
      </c>
      <c r="B1516" s="109"/>
      <c r="C1516" s="142" t="s">
        <v>180</v>
      </c>
      <c r="D1516" s="142" t="s">
        <v>838</v>
      </c>
      <c r="E1516" s="142" t="s">
        <v>128</v>
      </c>
      <c r="F1516" s="141" t="s">
        <v>132</v>
      </c>
      <c r="G1516" s="81">
        <v>40.5</v>
      </c>
      <c r="H1516" s="81">
        <v>40.5</v>
      </c>
      <c r="I1516" s="30">
        <f t="shared" si="70"/>
        <v>100</v>
      </c>
    </row>
    <row r="1517" spans="1:9" ht="19.5" hidden="1" customHeight="1">
      <c r="A1517" s="97" t="s">
        <v>200</v>
      </c>
      <c r="B1517" s="169"/>
      <c r="C1517" s="154" t="s">
        <v>180</v>
      </c>
      <c r="D1517" s="154" t="s">
        <v>838</v>
      </c>
      <c r="E1517" s="154" t="s">
        <v>201</v>
      </c>
      <c r="F1517" s="144"/>
      <c r="G1517" s="81">
        <f>SUM(G1518)+G1521</f>
        <v>0</v>
      </c>
      <c r="H1517" s="81">
        <f>SUM(H1518)+H1521</f>
        <v>0</v>
      </c>
      <c r="I1517" s="30" t="e">
        <f t="shared" si="70"/>
        <v>#DIV/0!</v>
      </c>
    </row>
    <row r="1518" spans="1:9" ht="19.5" hidden="1" customHeight="1">
      <c r="A1518" s="115" t="s">
        <v>386</v>
      </c>
      <c r="B1518" s="169"/>
      <c r="C1518" s="154" t="s">
        <v>180</v>
      </c>
      <c r="D1518" s="154" t="s">
        <v>838</v>
      </c>
      <c r="E1518" s="154" t="s">
        <v>597</v>
      </c>
      <c r="F1518" s="144"/>
      <c r="G1518" s="81">
        <f>SUM(G1519)</f>
        <v>0</v>
      </c>
      <c r="H1518" s="81">
        <f>SUM(H1519)</f>
        <v>0</v>
      </c>
      <c r="I1518" s="30" t="e">
        <f t="shared" si="70"/>
        <v>#DIV/0!</v>
      </c>
    </row>
    <row r="1519" spans="1:9" ht="19.5" hidden="1" customHeight="1">
      <c r="A1519" s="97" t="s">
        <v>231</v>
      </c>
      <c r="B1519" s="169"/>
      <c r="C1519" s="154" t="s">
        <v>180</v>
      </c>
      <c r="D1519" s="154" t="s">
        <v>838</v>
      </c>
      <c r="E1519" s="154" t="s">
        <v>597</v>
      </c>
      <c r="F1519" s="144" t="s">
        <v>132</v>
      </c>
      <c r="G1519" s="81"/>
      <c r="H1519" s="81"/>
      <c r="I1519" s="30" t="e">
        <f t="shared" si="70"/>
        <v>#DIV/0!</v>
      </c>
    </row>
    <row r="1520" spans="1:9" ht="26.25" customHeight="1">
      <c r="A1520" s="95" t="s">
        <v>181</v>
      </c>
      <c r="B1520" s="138"/>
      <c r="C1520" s="138" t="s">
        <v>180</v>
      </c>
      <c r="D1520" s="138" t="s">
        <v>180</v>
      </c>
      <c r="E1520" s="142"/>
      <c r="F1520" s="141"/>
      <c r="G1520" s="81">
        <f>SUM(G1526+G1521+G1524+G1530)</f>
        <v>353.2</v>
      </c>
      <c r="H1520" s="81">
        <f>SUM(H1526+H1521+H1524+H1530)</f>
        <v>348.79999999999995</v>
      </c>
      <c r="I1520" s="30">
        <f t="shared" si="70"/>
        <v>98.754246885617206</v>
      </c>
    </row>
    <row r="1521" spans="1:9" ht="19.5" hidden="1" customHeight="1">
      <c r="A1521" s="94" t="s">
        <v>443</v>
      </c>
      <c r="B1521" s="142"/>
      <c r="C1521" s="142" t="s">
        <v>180</v>
      </c>
      <c r="D1521" s="142" t="s">
        <v>180</v>
      </c>
      <c r="E1521" s="142" t="s">
        <v>444</v>
      </c>
      <c r="F1521" s="140"/>
      <c r="G1521" s="81">
        <f>SUM(G1522)</f>
        <v>0</v>
      </c>
      <c r="H1521" s="81">
        <f>SUM(H1522)</f>
        <v>0</v>
      </c>
      <c r="I1521" s="30" t="e">
        <f t="shared" si="70"/>
        <v>#DIV/0!</v>
      </c>
    </row>
    <row r="1522" spans="1:9" ht="19.5" hidden="1" customHeight="1">
      <c r="A1522" s="94" t="s">
        <v>445</v>
      </c>
      <c r="B1522" s="142"/>
      <c r="C1522" s="142" t="s">
        <v>180</v>
      </c>
      <c r="D1522" s="142" t="s">
        <v>180</v>
      </c>
      <c r="E1522" s="142" t="s">
        <v>446</v>
      </c>
      <c r="F1522" s="140"/>
      <c r="G1522" s="81">
        <f>SUM(G1523)</f>
        <v>0</v>
      </c>
      <c r="H1522" s="81">
        <f>SUM(H1523)</f>
        <v>0</v>
      </c>
      <c r="I1522" s="30" t="e">
        <f t="shared" si="70"/>
        <v>#DIV/0!</v>
      </c>
    </row>
    <row r="1523" spans="1:9" ht="15" hidden="1">
      <c r="A1523" s="97" t="s">
        <v>497</v>
      </c>
      <c r="B1523" s="142"/>
      <c r="C1523" s="142" t="s">
        <v>180</v>
      </c>
      <c r="D1523" s="142" t="s">
        <v>180</v>
      </c>
      <c r="E1523" s="142" t="s">
        <v>446</v>
      </c>
      <c r="F1523" s="140" t="s">
        <v>498</v>
      </c>
      <c r="G1523" s="81"/>
      <c r="H1523" s="81"/>
      <c r="I1523" s="30" t="e">
        <f t="shared" ref="I1523:I1586" si="73">SUM(H1523/G1523*100)</f>
        <v>#DIV/0!</v>
      </c>
    </row>
    <row r="1524" spans="1:9" ht="15" hidden="1">
      <c r="A1524" s="97" t="s">
        <v>728</v>
      </c>
      <c r="B1524" s="142"/>
      <c r="C1524" s="142" t="s">
        <v>180</v>
      </c>
      <c r="D1524" s="142" t="s">
        <v>180</v>
      </c>
      <c r="E1524" s="142" t="s">
        <v>729</v>
      </c>
      <c r="F1524" s="140"/>
      <c r="G1524" s="81">
        <f>SUM(G1525)</f>
        <v>0</v>
      </c>
      <c r="H1524" s="81">
        <f>SUM(H1525)</f>
        <v>0</v>
      </c>
      <c r="I1524" s="30" t="e">
        <f t="shared" si="73"/>
        <v>#DIV/0!</v>
      </c>
    </row>
    <row r="1525" spans="1:9" ht="21" hidden="1" customHeight="1">
      <c r="A1525" s="97" t="s">
        <v>441</v>
      </c>
      <c r="B1525" s="142"/>
      <c r="C1525" s="142" t="s">
        <v>180</v>
      </c>
      <c r="D1525" s="142" t="s">
        <v>180</v>
      </c>
      <c r="E1525" s="142" t="s">
        <v>729</v>
      </c>
      <c r="F1525" s="140" t="s">
        <v>442</v>
      </c>
      <c r="G1525" s="81"/>
      <c r="H1525" s="81"/>
      <c r="I1525" s="30" t="e">
        <f t="shared" si="73"/>
        <v>#DIV/0!</v>
      </c>
    </row>
    <row r="1526" spans="1:9" ht="18.75" customHeight="1">
      <c r="A1526" s="119" t="s">
        <v>451</v>
      </c>
      <c r="B1526" s="138"/>
      <c r="C1526" s="138" t="s">
        <v>180</v>
      </c>
      <c r="D1526" s="138" t="s">
        <v>180</v>
      </c>
      <c r="E1526" s="138" t="s">
        <v>183</v>
      </c>
      <c r="F1526" s="139"/>
      <c r="G1526" s="81">
        <f>SUM(G1527)</f>
        <v>212.6</v>
      </c>
      <c r="H1526" s="81">
        <f>SUM(H1527)</f>
        <v>212.6</v>
      </c>
      <c r="I1526" s="30">
        <f t="shared" si="73"/>
        <v>100</v>
      </c>
    </row>
    <row r="1527" spans="1:9" ht="45.75" customHeight="1">
      <c r="A1527" s="119" t="s">
        <v>148</v>
      </c>
      <c r="B1527" s="138"/>
      <c r="C1527" s="138" t="s">
        <v>180</v>
      </c>
      <c r="D1527" s="138" t="s">
        <v>180</v>
      </c>
      <c r="E1527" s="138" t="s">
        <v>149</v>
      </c>
      <c r="F1527" s="139"/>
      <c r="G1527" s="81">
        <f>SUM(G1528)+G1529</f>
        <v>212.6</v>
      </c>
      <c r="H1527" s="81">
        <f>SUM(H1528)+H1529</f>
        <v>212.6</v>
      </c>
      <c r="I1527" s="30">
        <f t="shared" si="73"/>
        <v>100</v>
      </c>
    </row>
    <row r="1528" spans="1:9" ht="31.5" customHeight="1">
      <c r="A1528" s="97" t="s">
        <v>49</v>
      </c>
      <c r="B1528" s="138"/>
      <c r="C1528" s="138" t="s">
        <v>180</v>
      </c>
      <c r="D1528" s="138" t="s">
        <v>180</v>
      </c>
      <c r="E1528" s="138" t="s">
        <v>149</v>
      </c>
      <c r="F1528" s="139" t="s">
        <v>498</v>
      </c>
      <c r="G1528" s="81">
        <v>212.6</v>
      </c>
      <c r="H1528" s="81">
        <v>212.6</v>
      </c>
      <c r="I1528" s="30">
        <f t="shared" si="73"/>
        <v>100</v>
      </c>
    </row>
    <row r="1529" spans="1:9" ht="19.5" hidden="1" customHeight="1">
      <c r="A1529" s="97" t="s">
        <v>231</v>
      </c>
      <c r="B1529" s="138"/>
      <c r="C1529" s="138" t="s">
        <v>180</v>
      </c>
      <c r="D1529" s="138" t="s">
        <v>180</v>
      </c>
      <c r="E1529" s="138" t="s">
        <v>149</v>
      </c>
      <c r="F1529" s="139" t="s">
        <v>132</v>
      </c>
      <c r="G1529" s="81"/>
      <c r="H1529" s="81"/>
      <c r="I1529" s="30" t="e">
        <f t="shared" si="73"/>
        <v>#DIV/0!</v>
      </c>
    </row>
    <row r="1530" spans="1:9" ht="20.25" customHeight="1">
      <c r="A1530" s="97" t="s">
        <v>200</v>
      </c>
      <c r="B1530" s="168"/>
      <c r="C1530" s="142" t="s">
        <v>180</v>
      </c>
      <c r="D1530" s="142" t="s">
        <v>180</v>
      </c>
      <c r="E1530" s="142" t="s">
        <v>201</v>
      </c>
      <c r="F1530" s="141"/>
      <c r="G1530" s="81">
        <f>SUM(G1531)</f>
        <v>140.6</v>
      </c>
      <c r="H1530" s="81">
        <f>SUM(H1531)</f>
        <v>136.19999999999999</v>
      </c>
      <c r="I1530" s="30">
        <f t="shared" si="73"/>
        <v>96.870554765291601</v>
      </c>
    </row>
    <row r="1531" spans="1:9" ht="42.75">
      <c r="A1531" s="98" t="s">
        <v>708</v>
      </c>
      <c r="B1531" s="168"/>
      <c r="C1531" s="142" t="s">
        <v>180</v>
      </c>
      <c r="D1531" s="142" t="s">
        <v>180</v>
      </c>
      <c r="E1531" s="142" t="s">
        <v>707</v>
      </c>
      <c r="F1531" s="141"/>
      <c r="G1531" s="81">
        <f>SUM(G1532:G1533)</f>
        <v>140.6</v>
      </c>
      <c r="H1531" s="81">
        <f>SUM(H1532:H1533)</f>
        <v>136.19999999999999</v>
      </c>
      <c r="I1531" s="30">
        <f t="shared" si="73"/>
        <v>96.870554765291601</v>
      </c>
    </row>
    <row r="1532" spans="1:9" ht="21" customHeight="1">
      <c r="A1532" s="97" t="s">
        <v>441</v>
      </c>
      <c r="B1532" s="168"/>
      <c r="C1532" s="142" t="s">
        <v>180</v>
      </c>
      <c r="D1532" s="142" t="s">
        <v>180</v>
      </c>
      <c r="E1532" s="142" t="s">
        <v>707</v>
      </c>
      <c r="F1532" s="141" t="s">
        <v>442</v>
      </c>
      <c r="G1532" s="81">
        <v>39</v>
      </c>
      <c r="H1532" s="81">
        <v>39</v>
      </c>
      <c r="I1532" s="30">
        <f t="shared" si="73"/>
        <v>100</v>
      </c>
    </row>
    <row r="1533" spans="1:9" ht="24.75" customHeight="1">
      <c r="A1533" s="95" t="s">
        <v>276</v>
      </c>
      <c r="B1533" s="168"/>
      <c r="C1533" s="142" t="s">
        <v>180</v>
      </c>
      <c r="D1533" s="142" t="s">
        <v>180</v>
      </c>
      <c r="E1533" s="142" t="s">
        <v>707</v>
      </c>
      <c r="F1533" s="141" t="s">
        <v>132</v>
      </c>
      <c r="G1533" s="81">
        <v>101.6</v>
      </c>
      <c r="H1533" s="81">
        <v>97.2</v>
      </c>
      <c r="I1533" s="30">
        <f t="shared" si="73"/>
        <v>95.669291338582681</v>
      </c>
    </row>
    <row r="1534" spans="1:9" ht="23.25" customHeight="1">
      <c r="A1534" s="95" t="s">
        <v>652</v>
      </c>
      <c r="B1534" s="138"/>
      <c r="C1534" s="142" t="s">
        <v>193</v>
      </c>
      <c r="D1534" s="142"/>
      <c r="E1534" s="142"/>
      <c r="F1534" s="140"/>
      <c r="G1534" s="81">
        <f>SUM(G1535+G1585)</f>
        <v>111847.9</v>
      </c>
      <c r="H1534" s="81">
        <f>SUM(H1535+H1585)</f>
        <v>110537.29999999999</v>
      </c>
      <c r="I1534" s="30">
        <f t="shared" si="73"/>
        <v>98.828230123229844</v>
      </c>
    </row>
    <row r="1535" spans="1:9" ht="23.25" customHeight="1">
      <c r="A1535" s="95" t="s">
        <v>706</v>
      </c>
      <c r="B1535" s="138"/>
      <c r="C1535" s="142" t="s">
        <v>193</v>
      </c>
      <c r="D1535" s="142" t="s">
        <v>836</v>
      </c>
      <c r="E1535" s="142"/>
      <c r="F1535" s="140"/>
      <c r="G1535" s="81">
        <f>SUM(G1569+G1556+G1536+G1577+G1581)</f>
        <v>96734.399999999994</v>
      </c>
      <c r="H1535" s="81">
        <f>SUM(H1569+H1556+H1536+H1577+H1581)</f>
        <v>95596.799999999988</v>
      </c>
      <c r="I1535" s="30">
        <f t="shared" si="73"/>
        <v>98.823996427330911</v>
      </c>
    </row>
    <row r="1536" spans="1:9" ht="26.25" customHeight="1">
      <c r="A1536" s="94" t="s">
        <v>195</v>
      </c>
      <c r="B1536" s="138"/>
      <c r="C1536" s="142" t="s">
        <v>193</v>
      </c>
      <c r="D1536" s="142" t="s">
        <v>836</v>
      </c>
      <c r="E1536" s="142" t="s">
        <v>209</v>
      </c>
      <c r="F1536" s="140"/>
      <c r="G1536" s="81">
        <f>SUM(G1541+G1551)+G1537+G1539</f>
        <v>49901.9</v>
      </c>
      <c r="H1536" s="81">
        <f>SUM(H1541+H1551)+H1537+H1539</f>
        <v>49353.9</v>
      </c>
      <c r="I1536" s="30">
        <f t="shared" si="73"/>
        <v>98.901845420715446</v>
      </c>
    </row>
    <row r="1537" spans="1:9" ht="42" customHeight="1">
      <c r="A1537" s="97" t="s">
        <v>721</v>
      </c>
      <c r="B1537" s="109"/>
      <c r="C1537" s="142" t="s">
        <v>193</v>
      </c>
      <c r="D1537" s="142" t="s">
        <v>836</v>
      </c>
      <c r="E1537" s="142" t="s">
        <v>129</v>
      </c>
      <c r="F1537" s="141"/>
      <c r="G1537" s="81">
        <f>SUM(G1538)</f>
        <v>389.5</v>
      </c>
      <c r="H1537" s="81">
        <f>SUM(H1538)</f>
        <v>389.5</v>
      </c>
      <c r="I1537" s="30">
        <f t="shared" si="73"/>
        <v>100</v>
      </c>
    </row>
    <row r="1538" spans="1:9" ht="17.25" customHeight="1">
      <c r="A1538" s="97" t="s">
        <v>49</v>
      </c>
      <c r="B1538" s="138"/>
      <c r="C1538" s="142" t="s">
        <v>193</v>
      </c>
      <c r="D1538" s="142" t="s">
        <v>836</v>
      </c>
      <c r="E1538" s="142" t="s">
        <v>129</v>
      </c>
      <c r="F1538" s="140" t="s">
        <v>498</v>
      </c>
      <c r="G1538" s="81">
        <v>389.5</v>
      </c>
      <c r="H1538" s="81">
        <v>389.5</v>
      </c>
      <c r="I1538" s="30">
        <f t="shared" si="73"/>
        <v>100</v>
      </c>
    </row>
    <row r="1539" spans="1:9" ht="30.75" customHeight="1">
      <c r="A1539" s="97" t="s">
        <v>1037</v>
      </c>
      <c r="B1539" s="138"/>
      <c r="C1539" s="142" t="s">
        <v>193</v>
      </c>
      <c r="D1539" s="142" t="s">
        <v>836</v>
      </c>
      <c r="E1539" s="142" t="s">
        <v>1038</v>
      </c>
      <c r="F1539" s="140"/>
      <c r="G1539" s="81">
        <f>SUM(G1540)</f>
        <v>19.399999999999999</v>
      </c>
      <c r="H1539" s="81">
        <f>SUM(H1540)</f>
        <v>19.399999999999999</v>
      </c>
      <c r="I1539" s="30">
        <f t="shared" si="73"/>
        <v>100</v>
      </c>
    </row>
    <row r="1540" spans="1:9" ht="26.25" customHeight="1">
      <c r="A1540" s="97" t="s">
        <v>49</v>
      </c>
      <c r="B1540" s="138"/>
      <c r="C1540" s="142" t="s">
        <v>193</v>
      </c>
      <c r="D1540" s="142" t="s">
        <v>836</v>
      </c>
      <c r="E1540" s="142" t="s">
        <v>1038</v>
      </c>
      <c r="F1540" s="140" t="s">
        <v>498</v>
      </c>
      <c r="G1540" s="81">
        <v>19.399999999999999</v>
      </c>
      <c r="H1540" s="81">
        <v>19.399999999999999</v>
      </c>
      <c r="I1540" s="30">
        <f t="shared" si="73"/>
        <v>100</v>
      </c>
    </row>
    <row r="1541" spans="1:9" ht="23.25" customHeight="1">
      <c r="A1541" s="95" t="s">
        <v>154</v>
      </c>
      <c r="B1541" s="157"/>
      <c r="C1541" s="142" t="s">
        <v>193</v>
      </c>
      <c r="D1541" s="142" t="s">
        <v>836</v>
      </c>
      <c r="E1541" s="142" t="s">
        <v>373</v>
      </c>
      <c r="F1541" s="140"/>
      <c r="G1541" s="81">
        <f>SUM(G1542+G1544)</f>
        <v>30214.2</v>
      </c>
      <c r="H1541" s="81">
        <f>SUM(H1542+H1544)</f>
        <v>30214.2</v>
      </c>
      <c r="I1541" s="30">
        <f t="shared" si="73"/>
        <v>100</v>
      </c>
    </row>
    <row r="1542" spans="1:9" ht="32.25" customHeight="1">
      <c r="A1542" s="95" t="s">
        <v>374</v>
      </c>
      <c r="B1542" s="157"/>
      <c r="C1542" s="142" t="s">
        <v>193</v>
      </c>
      <c r="D1542" s="142" t="s">
        <v>836</v>
      </c>
      <c r="E1542" s="142" t="s">
        <v>375</v>
      </c>
      <c r="F1542" s="140"/>
      <c r="G1542" s="81">
        <f>SUM(G1543)</f>
        <v>29900.2</v>
      </c>
      <c r="H1542" s="81">
        <f>SUM(H1543)</f>
        <v>29900.2</v>
      </c>
      <c r="I1542" s="30">
        <f t="shared" si="73"/>
        <v>100</v>
      </c>
    </row>
    <row r="1543" spans="1:9" ht="42" customHeight="1">
      <c r="A1543" s="97" t="s">
        <v>275</v>
      </c>
      <c r="B1543" s="109"/>
      <c r="C1543" s="142" t="s">
        <v>193</v>
      </c>
      <c r="D1543" s="142" t="s">
        <v>836</v>
      </c>
      <c r="E1543" s="142" t="s">
        <v>375</v>
      </c>
      <c r="F1543" s="141" t="s">
        <v>51</v>
      </c>
      <c r="G1543" s="81">
        <v>29900.2</v>
      </c>
      <c r="H1543" s="81">
        <v>29900.2</v>
      </c>
      <c r="I1543" s="30">
        <f t="shared" si="73"/>
        <v>100</v>
      </c>
    </row>
    <row r="1544" spans="1:9" ht="15">
      <c r="A1544" s="95" t="s">
        <v>276</v>
      </c>
      <c r="B1544" s="138"/>
      <c r="C1544" s="142" t="s">
        <v>193</v>
      </c>
      <c r="D1544" s="142" t="s">
        <v>836</v>
      </c>
      <c r="E1544" s="138" t="s">
        <v>760</v>
      </c>
      <c r="F1544" s="141"/>
      <c r="G1544" s="81">
        <f>SUM(G1547+G1549)+G1545</f>
        <v>314</v>
      </c>
      <c r="H1544" s="81">
        <f>SUM(H1547+H1549)+H1545</f>
        <v>314</v>
      </c>
      <c r="I1544" s="30">
        <f t="shared" si="73"/>
        <v>100</v>
      </c>
    </row>
    <row r="1545" spans="1:9" ht="32.25" customHeight="1">
      <c r="A1545" s="95" t="s">
        <v>839</v>
      </c>
      <c r="B1545" s="138"/>
      <c r="C1545" s="142" t="s">
        <v>193</v>
      </c>
      <c r="D1545" s="142" t="s">
        <v>836</v>
      </c>
      <c r="E1545" s="138" t="s">
        <v>761</v>
      </c>
      <c r="F1545" s="141"/>
      <c r="G1545" s="81">
        <f>SUM(G1546)</f>
        <v>200</v>
      </c>
      <c r="H1545" s="81">
        <f>SUM(H1546)</f>
        <v>200</v>
      </c>
      <c r="I1545" s="30">
        <f t="shared" si="73"/>
        <v>100</v>
      </c>
    </row>
    <row r="1546" spans="1:9" ht="19.5" customHeight="1">
      <c r="A1546" s="95" t="s">
        <v>276</v>
      </c>
      <c r="B1546" s="138"/>
      <c r="C1546" s="142" t="s">
        <v>193</v>
      </c>
      <c r="D1546" s="142" t="s">
        <v>836</v>
      </c>
      <c r="E1546" s="138" t="s">
        <v>761</v>
      </c>
      <c r="F1546" s="141" t="s">
        <v>132</v>
      </c>
      <c r="G1546" s="81">
        <v>200</v>
      </c>
      <c r="H1546" s="81">
        <v>200</v>
      </c>
      <c r="I1546" s="30">
        <f t="shared" si="73"/>
        <v>100</v>
      </c>
    </row>
    <row r="1547" spans="1:9" ht="32.25" customHeight="1">
      <c r="A1547" s="97" t="s">
        <v>759</v>
      </c>
      <c r="B1547" s="109"/>
      <c r="C1547" s="142" t="s">
        <v>193</v>
      </c>
      <c r="D1547" s="142" t="s">
        <v>836</v>
      </c>
      <c r="E1547" s="142" t="s">
        <v>758</v>
      </c>
      <c r="F1547" s="141"/>
      <c r="G1547" s="81">
        <f>SUM(G1548)</f>
        <v>30</v>
      </c>
      <c r="H1547" s="81">
        <f>SUM(H1548)</f>
        <v>30</v>
      </c>
      <c r="I1547" s="30">
        <f t="shared" si="73"/>
        <v>100</v>
      </c>
    </row>
    <row r="1548" spans="1:9" ht="27" customHeight="1">
      <c r="A1548" s="97" t="s">
        <v>231</v>
      </c>
      <c r="B1548" s="109"/>
      <c r="C1548" s="142" t="s">
        <v>193</v>
      </c>
      <c r="D1548" s="142" t="s">
        <v>836</v>
      </c>
      <c r="E1548" s="142" t="s">
        <v>758</v>
      </c>
      <c r="F1548" s="141" t="s">
        <v>132</v>
      </c>
      <c r="G1548" s="81">
        <v>30</v>
      </c>
      <c r="H1548" s="81">
        <v>30</v>
      </c>
      <c r="I1548" s="30">
        <f t="shared" si="73"/>
        <v>100</v>
      </c>
    </row>
    <row r="1549" spans="1:9" ht="20.25" customHeight="1">
      <c r="A1549" s="97" t="s">
        <v>270</v>
      </c>
      <c r="B1549" s="109"/>
      <c r="C1549" s="142" t="s">
        <v>193</v>
      </c>
      <c r="D1549" s="142" t="s">
        <v>836</v>
      </c>
      <c r="E1549" s="142" t="s">
        <v>404</v>
      </c>
      <c r="F1549" s="141"/>
      <c r="G1549" s="81">
        <f>SUM(G1550)</f>
        <v>84</v>
      </c>
      <c r="H1549" s="81">
        <f>SUM(H1550)</f>
        <v>84</v>
      </c>
      <c r="I1549" s="30">
        <f t="shared" si="73"/>
        <v>100</v>
      </c>
    </row>
    <row r="1550" spans="1:9" ht="21.75" customHeight="1">
      <c r="A1550" s="97" t="s">
        <v>231</v>
      </c>
      <c r="B1550" s="109"/>
      <c r="C1550" s="142" t="s">
        <v>193</v>
      </c>
      <c r="D1550" s="142" t="s">
        <v>836</v>
      </c>
      <c r="E1550" s="142" t="s">
        <v>404</v>
      </c>
      <c r="F1550" s="141" t="s">
        <v>132</v>
      </c>
      <c r="G1550" s="81">
        <v>84</v>
      </c>
      <c r="H1550" s="81">
        <v>84</v>
      </c>
      <c r="I1550" s="30">
        <f t="shared" si="73"/>
        <v>100</v>
      </c>
    </row>
    <row r="1551" spans="1:9" ht="34.5" customHeight="1">
      <c r="A1551" s="95" t="s">
        <v>48</v>
      </c>
      <c r="B1551" s="142"/>
      <c r="C1551" s="142" t="s">
        <v>193</v>
      </c>
      <c r="D1551" s="142" t="s">
        <v>836</v>
      </c>
      <c r="E1551" s="142" t="s">
        <v>210</v>
      </c>
      <c r="F1551" s="140"/>
      <c r="G1551" s="81">
        <f>SUM(G1552:G1554)</f>
        <v>19278.8</v>
      </c>
      <c r="H1551" s="81">
        <f>SUM(H1552:H1554)</f>
        <v>18730.8</v>
      </c>
      <c r="I1551" s="30">
        <f t="shared" si="73"/>
        <v>97.157499429425059</v>
      </c>
    </row>
    <row r="1552" spans="1:9" ht="28.5" customHeight="1">
      <c r="A1552" s="97" t="s">
        <v>49</v>
      </c>
      <c r="B1552" s="142"/>
      <c r="C1552" s="142" t="s">
        <v>193</v>
      </c>
      <c r="D1552" s="142" t="s">
        <v>836</v>
      </c>
      <c r="E1552" s="142" t="s">
        <v>210</v>
      </c>
      <c r="F1552" s="140" t="s">
        <v>498</v>
      </c>
      <c r="G1552" s="81">
        <v>19278.8</v>
      </c>
      <c r="H1552" s="81">
        <v>18730.8</v>
      </c>
      <c r="I1552" s="30">
        <f t="shared" si="73"/>
        <v>97.157499429425059</v>
      </c>
    </row>
    <row r="1553" spans="1:9" ht="19.5" hidden="1" customHeight="1">
      <c r="A1553" s="97" t="s">
        <v>709</v>
      </c>
      <c r="B1553" s="109"/>
      <c r="C1553" s="142" t="s">
        <v>193</v>
      </c>
      <c r="D1553" s="142" t="s">
        <v>836</v>
      </c>
      <c r="E1553" s="142" t="s">
        <v>210</v>
      </c>
      <c r="F1553" s="141" t="s">
        <v>710</v>
      </c>
      <c r="G1553" s="81"/>
      <c r="H1553" s="81"/>
      <c r="I1553" s="30" t="e">
        <f t="shared" si="73"/>
        <v>#DIV/0!</v>
      </c>
    </row>
    <row r="1554" spans="1:9" ht="17.25" hidden="1" customHeight="1">
      <c r="A1554" s="95" t="s">
        <v>1010</v>
      </c>
      <c r="B1554" s="138"/>
      <c r="C1554" s="142" t="s">
        <v>193</v>
      </c>
      <c r="D1554" s="142" t="s">
        <v>836</v>
      </c>
      <c r="E1554" s="142" t="s">
        <v>711</v>
      </c>
      <c r="F1554" s="141"/>
      <c r="G1554" s="81">
        <f>SUM(G1555)</f>
        <v>0</v>
      </c>
      <c r="H1554" s="81">
        <f>SUM(H1555)</f>
        <v>0</v>
      </c>
      <c r="I1554" s="30" t="e">
        <f t="shared" si="73"/>
        <v>#DIV/0!</v>
      </c>
    </row>
    <row r="1555" spans="1:9" ht="17.25" hidden="1" customHeight="1">
      <c r="A1555" s="97" t="s">
        <v>497</v>
      </c>
      <c r="B1555" s="109"/>
      <c r="C1555" s="142" t="s">
        <v>193</v>
      </c>
      <c r="D1555" s="142" t="s">
        <v>836</v>
      </c>
      <c r="E1555" s="142" t="s">
        <v>711</v>
      </c>
      <c r="F1555" s="141" t="s">
        <v>498</v>
      </c>
      <c r="G1555" s="81"/>
      <c r="H1555" s="81"/>
      <c r="I1555" s="30" t="e">
        <f t="shared" si="73"/>
        <v>#DIV/0!</v>
      </c>
    </row>
    <row r="1556" spans="1:9" ht="22.5" customHeight="1">
      <c r="A1556" s="95" t="s">
        <v>712</v>
      </c>
      <c r="B1556" s="138"/>
      <c r="C1556" s="142" t="s">
        <v>193</v>
      </c>
      <c r="D1556" s="142" t="s">
        <v>836</v>
      </c>
      <c r="E1556" s="142" t="s">
        <v>713</v>
      </c>
      <c r="F1556" s="140"/>
      <c r="G1556" s="81">
        <f>SUM(G1557)</f>
        <v>5634.6</v>
      </c>
      <c r="H1556" s="81">
        <f>SUM(H1557)</f>
        <v>5633.9000000000005</v>
      </c>
      <c r="I1556" s="30">
        <f t="shared" si="73"/>
        <v>99.98757675788876</v>
      </c>
    </row>
    <row r="1557" spans="1:9" ht="21.75" customHeight="1">
      <c r="A1557" s="95" t="s">
        <v>154</v>
      </c>
      <c r="B1557" s="157"/>
      <c r="C1557" s="142" t="s">
        <v>193</v>
      </c>
      <c r="D1557" s="142" t="s">
        <v>836</v>
      </c>
      <c r="E1557" s="142" t="s">
        <v>130</v>
      </c>
      <c r="F1557" s="140"/>
      <c r="G1557" s="81">
        <f>SUM(G1558)+G1562</f>
        <v>5634.6</v>
      </c>
      <c r="H1557" s="81">
        <f>SUM(H1558)+H1562</f>
        <v>5633.9000000000005</v>
      </c>
      <c r="I1557" s="30">
        <f t="shared" si="73"/>
        <v>99.98757675788876</v>
      </c>
    </row>
    <row r="1558" spans="1:9" ht="38.25" customHeight="1">
      <c r="A1558" s="95" t="s">
        <v>374</v>
      </c>
      <c r="B1558" s="157"/>
      <c r="C1558" s="142" t="s">
        <v>193</v>
      </c>
      <c r="D1558" s="142" t="s">
        <v>836</v>
      </c>
      <c r="E1558" s="142" t="s">
        <v>131</v>
      </c>
      <c r="F1558" s="140"/>
      <c r="G1558" s="81">
        <f>SUM(G1559)</f>
        <v>4911.6000000000004</v>
      </c>
      <c r="H1558" s="81">
        <f>SUM(H1559)</f>
        <v>4911.6000000000004</v>
      </c>
      <c r="I1558" s="30">
        <f t="shared" si="73"/>
        <v>100</v>
      </c>
    </row>
    <row r="1559" spans="1:9" ht="42.75" customHeight="1">
      <c r="A1559" s="97" t="s">
        <v>275</v>
      </c>
      <c r="B1559" s="109"/>
      <c r="C1559" s="142" t="s">
        <v>193</v>
      </c>
      <c r="D1559" s="142" t="s">
        <v>836</v>
      </c>
      <c r="E1559" s="142" t="s">
        <v>131</v>
      </c>
      <c r="F1559" s="141" t="s">
        <v>51</v>
      </c>
      <c r="G1559" s="81">
        <v>4911.6000000000004</v>
      </c>
      <c r="H1559" s="81">
        <v>4911.6000000000004</v>
      </c>
      <c r="I1559" s="30">
        <f t="shared" si="73"/>
        <v>100</v>
      </c>
    </row>
    <row r="1560" spans="1:9" ht="42.75" hidden="1">
      <c r="A1560" s="95" t="s">
        <v>1010</v>
      </c>
      <c r="B1560" s="138"/>
      <c r="C1560" s="142" t="s">
        <v>193</v>
      </c>
      <c r="D1560" s="142" t="s">
        <v>836</v>
      </c>
      <c r="E1560" s="142" t="s">
        <v>715</v>
      </c>
      <c r="F1560" s="141"/>
      <c r="G1560" s="81">
        <f>SUM(G1561)</f>
        <v>0</v>
      </c>
      <c r="H1560" s="81">
        <f>SUM(H1561)</f>
        <v>0</v>
      </c>
      <c r="I1560" s="30" t="e">
        <f t="shared" si="73"/>
        <v>#DIV/0!</v>
      </c>
    </row>
    <row r="1561" spans="1:9" ht="14.25" hidden="1" customHeight="1">
      <c r="A1561" s="97" t="s">
        <v>497</v>
      </c>
      <c r="B1561" s="109"/>
      <c r="C1561" s="142" t="s">
        <v>193</v>
      </c>
      <c r="D1561" s="142" t="s">
        <v>836</v>
      </c>
      <c r="E1561" s="142" t="s">
        <v>715</v>
      </c>
      <c r="F1561" s="141" t="s">
        <v>498</v>
      </c>
      <c r="G1561" s="81"/>
      <c r="H1561" s="81"/>
      <c r="I1561" s="30" t="e">
        <f t="shared" si="73"/>
        <v>#DIV/0!</v>
      </c>
    </row>
    <row r="1562" spans="1:9" ht="27.75" customHeight="1">
      <c r="A1562" s="95" t="s">
        <v>276</v>
      </c>
      <c r="B1562" s="109"/>
      <c r="C1562" s="142" t="s">
        <v>193</v>
      </c>
      <c r="D1562" s="142" t="s">
        <v>836</v>
      </c>
      <c r="E1562" s="142" t="s">
        <v>406</v>
      </c>
      <c r="F1562" s="141"/>
      <c r="G1562" s="81">
        <f>SUM(G1565+G1563)+G1567</f>
        <v>723</v>
      </c>
      <c r="H1562" s="81">
        <f>SUM(H1565+H1563)+H1567</f>
        <v>722.3</v>
      </c>
      <c r="I1562" s="30">
        <f t="shared" si="73"/>
        <v>99.903181189488237</v>
      </c>
    </row>
    <row r="1563" spans="1:9" ht="19.5" customHeight="1">
      <c r="A1563" s="95" t="s">
        <v>839</v>
      </c>
      <c r="B1563" s="109"/>
      <c r="C1563" s="142" t="s">
        <v>193</v>
      </c>
      <c r="D1563" s="142" t="s">
        <v>836</v>
      </c>
      <c r="E1563" s="142" t="s">
        <v>841</v>
      </c>
      <c r="F1563" s="141"/>
      <c r="G1563" s="81">
        <f>SUM(G1564)</f>
        <v>710</v>
      </c>
      <c r="H1563" s="81">
        <f>SUM(H1564)</f>
        <v>709.3</v>
      </c>
      <c r="I1563" s="30">
        <f t="shared" si="73"/>
        <v>99.901408450704224</v>
      </c>
    </row>
    <row r="1564" spans="1:9" ht="19.5" customHeight="1">
      <c r="A1564" s="95" t="s">
        <v>276</v>
      </c>
      <c r="B1564" s="109"/>
      <c r="C1564" s="142" t="s">
        <v>193</v>
      </c>
      <c r="D1564" s="142" t="s">
        <v>836</v>
      </c>
      <c r="E1564" s="142" t="s">
        <v>841</v>
      </c>
      <c r="F1564" s="141" t="s">
        <v>132</v>
      </c>
      <c r="G1564" s="81">
        <v>710</v>
      </c>
      <c r="H1564" s="81">
        <v>709.3</v>
      </c>
      <c r="I1564" s="30">
        <f t="shared" si="73"/>
        <v>99.901408450704224</v>
      </c>
    </row>
    <row r="1565" spans="1:9" ht="19.5" hidden="1" customHeight="1">
      <c r="A1565" s="97" t="s">
        <v>759</v>
      </c>
      <c r="B1565" s="109"/>
      <c r="C1565" s="142" t="s">
        <v>193</v>
      </c>
      <c r="D1565" s="142" t="s">
        <v>836</v>
      </c>
      <c r="E1565" s="142" t="s">
        <v>248</v>
      </c>
      <c r="F1565" s="141"/>
      <c r="G1565" s="81">
        <f>SUM(G1566)</f>
        <v>0</v>
      </c>
      <c r="H1565" s="81">
        <f>SUM(H1566)</f>
        <v>0</v>
      </c>
      <c r="I1565" s="30" t="e">
        <f t="shared" si="73"/>
        <v>#DIV/0!</v>
      </c>
    </row>
    <row r="1566" spans="1:9" ht="19.5" hidden="1" customHeight="1">
      <c r="A1566" s="97" t="s">
        <v>231</v>
      </c>
      <c r="B1566" s="109"/>
      <c r="C1566" s="142" t="s">
        <v>193</v>
      </c>
      <c r="D1566" s="142" t="s">
        <v>836</v>
      </c>
      <c r="E1566" s="142" t="s">
        <v>248</v>
      </c>
      <c r="F1566" s="141" t="s">
        <v>132</v>
      </c>
      <c r="G1566" s="81"/>
      <c r="H1566" s="81"/>
      <c r="I1566" s="30" t="e">
        <f t="shared" si="73"/>
        <v>#DIV/0!</v>
      </c>
    </row>
    <row r="1567" spans="1:9" ht="15">
      <c r="A1567" s="97" t="s">
        <v>270</v>
      </c>
      <c r="B1567" s="109"/>
      <c r="C1567" s="142" t="s">
        <v>193</v>
      </c>
      <c r="D1567" s="142" t="s">
        <v>836</v>
      </c>
      <c r="E1567" s="142" t="s">
        <v>914</v>
      </c>
      <c r="F1567" s="141"/>
      <c r="G1567" s="81">
        <f>SUM(G1568)</f>
        <v>13</v>
      </c>
      <c r="H1567" s="81">
        <f>SUM(H1568)</f>
        <v>13</v>
      </c>
      <c r="I1567" s="30">
        <f t="shared" si="73"/>
        <v>100</v>
      </c>
    </row>
    <row r="1568" spans="1:9" ht="18" customHeight="1">
      <c r="A1568" s="97" t="s">
        <v>231</v>
      </c>
      <c r="B1568" s="109"/>
      <c r="C1568" s="142" t="s">
        <v>193</v>
      </c>
      <c r="D1568" s="142" t="s">
        <v>836</v>
      </c>
      <c r="E1568" s="142" t="s">
        <v>914</v>
      </c>
      <c r="F1568" s="141" t="s">
        <v>132</v>
      </c>
      <c r="G1568" s="81">
        <v>13</v>
      </c>
      <c r="H1568" s="81">
        <v>13</v>
      </c>
      <c r="I1568" s="30">
        <f t="shared" si="73"/>
        <v>100</v>
      </c>
    </row>
    <row r="1569" spans="1:9" ht="15" customHeight="1">
      <c r="A1569" s="95" t="s">
        <v>716</v>
      </c>
      <c r="B1569" s="138"/>
      <c r="C1569" s="142" t="s">
        <v>193</v>
      </c>
      <c r="D1569" s="142" t="s">
        <v>836</v>
      </c>
      <c r="E1569" s="142" t="s">
        <v>717</v>
      </c>
      <c r="F1569" s="140"/>
      <c r="G1569" s="81">
        <f>SUM(G1570)</f>
        <v>40777</v>
      </c>
      <c r="H1569" s="81">
        <f>SUM(H1570)</f>
        <v>40188.1</v>
      </c>
      <c r="I1569" s="30">
        <f t="shared" si="73"/>
        <v>98.555803516688329</v>
      </c>
    </row>
    <row r="1570" spans="1:9" ht="28.5" customHeight="1">
      <c r="A1570" s="95" t="s">
        <v>48</v>
      </c>
      <c r="B1570" s="157"/>
      <c r="C1570" s="142" t="s">
        <v>193</v>
      </c>
      <c r="D1570" s="142" t="s">
        <v>836</v>
      </c>
      <c r="E1570" s="142" t="s">
        <v>718</v>
      </c>
      <c r="F1570" s="140"/>
      <c r="G1570" s="81">
        <f>SUM(G1571+G1574+G1576)</f>
        <v>40777</v>
      </c>
      <c r="H1570" s="81">
        <f>SUM(H1571+H1574+H1576)</f>
        <v>40188.1</v>
      </c>
      <c r="I1570" s="30">
        <f t="shared" si="73"/>
        <v>98.555803516688329</v>
      </c>
    </row>
    <row r="1571" spans="1:9" ht="18" customHeight="1">
      <c r="A1571" s="97" t="s">
        <v>49</v>
      </c>
      <c r="B1571" s="109"/>
      <c r="C1571" s="142" t="s">
        <v>193</v>
      </c>
      <c r="D1571" s="142" t="s">
        <v>836</v>
      </c>
      <c r="E1571" s="142" t="s">
        <v>718</v>
      </c>
      <c r="F1571" s="141" t="s">
        <v>498</v>
      </c>
      <c r="G1571" s="81">
        <v>38692.9</v>
      </c>
      <c r="H1571" s="81">
        <v>38278.5</v>
      </c>
      <c r="I1571" s="30">
        <f t="shared" si="73"/>
        <v>98.929002478490872</v>
      </c>
    </row>
    <row r="1572" spans="1:9" ht="46.5" hidden="1" customHeight="1">
      <c r="A1572" s="97" t="s">
        <v>709</v>
      </c>
      <c r="B1572" s="109"/>
      <c r="C1572" s="142" t="s">
        <v>193</v>
      </c>
      <c r="D1572" s="142" t="s">
        <v>836</v>
      </c>
      <c r="E1572" s="142" t="s">
        <v>718</v>
      </c>
      <c r="F1572" s="141" t="s">
        <v>710</v>
      </c>
      <c r="G1572" s="81"/>
      <c r="H1572" s="81"/>
      <c r="I1572" s="30" t="e">
        <f t="shared" si="73"/>
        <v>#DIV/0!</v>
      </c>
    </row>
    <row r="1573" spans="1:9" ht="42.75" hidden="1">
      <c r="A1573" s="95" t="s">
        <v>1010</v>
      </c>
      <c r="B1573" s="138"/>
      <c r="C1573" s="142" t="s">
        <v>193</v>
      </c>
      <c r="D1573" s="142" t="s">
        <v>836</v>
      </c>
      <c r="E1573" s="142" t="s">
        <v>719</v>
      </c>
      <c r="F1573" s="141"/>
      <c r="G1573" s="81">
        <f>SUM(G1574)</f>
        <v>0</v>
      </c>
      <c r="H1573" s="81">
        <f>SUM(H1574)</f>
        <v>0</v>
      </c>
      <c r="I1573" s="30" t="e">
        <f t="shared" si="73"/>
        <v>#DIV/0!</v>
      </c>
    </row>
    <row r="1574" spans="1:9" ht="18" hidden="1" customHeight="1">
      <c r="A1574" s="97" t="s">
        <v>497</v>
      </c>
      <c r="B1574" s="109"/>
      <c r="C1574" s="142" t="s">
        <v>193</v>
      </c>
      <c r="D1574" s="142" t="s">
        <v>836</v>
      </c>
      <c r="E1574" s="142" t="s">
        <v>719</v>
      </c>
      <c r="F1574" s="141" t="s">
        <v>498</v>
      </c>
      <c r="G1574" s="81"/>
      <c r="H1574" s="81"/>
      <c r="I1574" s="30" t="e">
        <f t="shared" si="73"/>
        <v>#DIV/0!</v>
      </c>
    </row>
    <row r="1575" spans="1:9" ht="45" customHeight="1">
      <c r="A1575" s="97" t="s">
        <v>60</v>
      </c>
      <c r="B1575" s="109"/>
      <c r="C1575" s="142" t="s">
        <v>193</v>
      </c>
      <c r="D1575" s="142" t="s">
        <v>836</v>
      </c>
      <c r="E1575" s="142" t="s">
        <v>720</v>
      </c>
      <c r="F1575" s="141"/>
      <c r="G1575" s="81">
        <f>SUM(G1576)</f>
        <v>2084.1</v>
      </c>
      <c r="H1575" s="81">
        <f>SUM(H1576)</f>
        <v>1909.6</v>
      </c>
      <c r="I1575" s="30">
        <f t="shared" si="73"/>
        <v>91.627081234105844</v>
      </c>
    </row>
    <row r="1576" spans="1:9" ht="17.25" customHeight="1">
      <c r="A1576" s="97" t="s">
        <v>49</v>
      </c>
      <c r="B1576" s="109"/>
      <c r="C1576" s="142" t="s">
        <v>193</v>
      </c>
      <c r="D1576" s="142" t="s">
        <v>836</v>
      </c>
      <c r="E1576" s="142" t="s">
        <v>720</v>
      </c>
      <c r="F1576" s="141" t="s">
        <v>498</v>
      </c>
      <c r="G1576" s="81">
        <v>2084.1</v>
      </c>
      <c r="H1576" s="81">
        <v>1909.6</v>
      </c>
      <c r="I1576" s="30">
        <f t="shared" si="73"/>
        <v>91.627081234105844</v>
      </c>
    </row>
    <row r="1577" spans="1:9" ht="20.25" customHeight="1">
      <c r="A1577" s="95" t="s">
        <v>932</v>
      </c>
      <c r="B1577" s="109"/>
      <c r="C1577" s="142" t="s">
        <v>193</v>
      </c>
      <c r="D1577" s="142" t="s">
        <v>836</v>
      </c>
      <c r="E1577" s="142" t="s">
        <v>933</v>
      </c>
      <c r="F1577" s="141"/>
      <c r="G1577" s="81">
        <f>SUM(G1578)</f>
        <v>420.9</v>
      </c>
      <c r="H1577" s="81">
        <f>SUM(H1578)</f>
        <v>420.9</v>
      </c>
      <c r="I1577" s="30">
        <f t="shared" si="73"/>
        <v>100</v>
      </c>
    </row>
    <row r="1578" spans="1:9" ht="46.5" customHeight="1">
      <c r="A1578" s="97" t="s">
        <v>1039</v>
      </c>
      <c r="B1578" s="109"/>
      <c r="C1578" s="142" t="s">
        <v>193</v>
      </c>
      <c r="D1578" s="142" t="s">
        <v>836</v>
      </c>
      <c r="E1578" s="142" t="s">
        <v>1040</v>
      </c>
      <c r="F1578" s="141"/>
      <c r="G1578" s="81">
        <f>SUM(G1579)</f>
        <v>420.9</v>
      </c>
      <c r="H1578" s="81">
        <f>SUM(H1579)</f>
        <v>420.9</v>
      </c>
      <c r="I1578" s="30">
        <f t="shared" si="73"/>
        <v>100</v>
      </c>
    </row>
    <row r="1579" spans="1:9" ht="18" customHeight="1">
      <c r="A1579" s="97" t="s">
        <v>231</v>
      </c>
      <c r="B1579" s="109"/>
      <c r="C1579" s="142" t="s">
        <v>193</v>
      </c>
      <c r="D1579" s="142" t="s">
        <v>836</v>
      </c>
      <c r="E1579" s="142" t="s">
        <v>1040</v>
      </c>
      <c r="F1579" s="141" t="s">
        <v>132</v>
      </c>
      <c r="G1579" s="81">
        <v>420.9</v>
      </c>
      <c r="H1579" s="81">
        <v>420.9</v>
      </c>
      <c r="I1579" s="30">
        <f t="shared" si="73"/>
        <v>100</v>
      </c>
    </row>
    <row r="1580" spans="1:9" ht="15" hidden="1">
      <c r="A1580" s="97" t="s">
        <v>497</v>
      </c>
      <c r="B1580" s="109"/>
      <c r="C1580" s="142" t="s">
        <v>193</v>
      </c>
      <c r="D1580" s="142" t="s">
        <v>836</v>
      </c>
      <c r="E1580" s="142" t="s">
        <v>722</v>
      </c>
      <c r="F1580" s="141" t="s">
        <v>498</v>
      </c>
      <c r="G1580" s="81"/>
      <c r="H1580" s="81"/>
      <c r="I1580" s="30" t="e">
        <f t="shared" si="73"/>
        <v>#DIV/0!</v>
      </c>
    </row>
    <row r="1581" spans="1:9" ht="15" hidden="1">
      <c r="A1581" s="97" t="s">
        <v>200</v>
      </c>
      <c r="B1581" s="169"/>
      <c r="C1581" s="154" t="s">
        <v>193</v>
      </c>
      <c r="D1581" s="154" t="s">
        <v>836</v>
      </c>
      <c r="E1581" s="154" t="s">
        <v>201</v>
      </c>
      <c r="F1581" s="144"/>
      <c r="G1581" s="81">
        <f>SUM(G1582)</f>
        <v>0</v>
      </c>
      <c r="H1581" s="81">
        <f>SUM(H1582)</f>
        <v>0</v>
      </c>
      <c r="I1581" s="30" t="e">
        <f t="shared" si="73"/>
        <v>#DIV/0!</v>
      </c>
    </row>
    <row r="1582" spans="1:9" ht="24.75" hidden="1" customHeight="1">
      <c r="A1582" s="115" t="s">
        <v>386</v>
      </c>
      <c r="B1582" s="169"/>
      <c r="C1582" s="154" t="s">
        <v>193</v>
      </c>
      <c r="D1582" s="154" t="s">
        <v>836</v>
      </c>
      <c r="E1582" s="154" t="s">
        <v>597</v>
      </c>
      <c r="F1582" s="144"/>
      <c r="G1582" s="81">
        <f>SUM(G1583:G1584)</f>
        <v>0</v>
      </c>
      <c r="H1582" s="81">
        <f>SUM(H1583:H1584)</f>
        <v>0</v>
      </c>
      <c r="I1582" s="30" t="e">
        <f t="shared" si="73"/>
        <v>#DIV/0!</v>
      </c>
    </row>
    <row r="1583" spans="1:9" ht="15" hidden="1">
      <c r="A1583" s="97" t="s">
        <v>49</v>
      </c>
      <c r="B1583" s="169"/>
      <c r="C1583" s="154" t="s">
        <v>193</v>
      </c>
      <c r="D1583" s="154" t="s">
        <v>836</v>
      </c>
      <c r="E1583" s="154" t="s">
        <v>597</v>
      </c>
      <c r="F1583" s="144" t="s">
        <v>498</v>
      </c>
      <c r="G1583" s="81"/>
      <c r="H1583" s="81"/>
      <c r="I1583" s="30" t="e">
        <f t="shared" si="73"/>
        <v>#DIV/0!</v>
      </c>
    </row>
    <row r="1584" spans="1:9" ht="15" hidden="1">
      <c r="A1584" s="97" t="s">
        <v>231</v>
      </c>
      <c r="B1584" s="169"/>
      <c r="C1584" s="154" t="s">
        <v>193</v>
      </c>
      <c r="D1584" s="154" t="s">
        <v>836</v>
      </c>
      <c r="E1584" s="154" t="s">
        <v>597</v>
      </c>
      <c r="F1584" s="144" t="s">
        <v>132</v>
      </c>
      <c r="G1584" s="81"/>
      <c r="H1584" s="81"/>
      <c r="I1584" s="30" t="e">
        <f t="shared" si="73"/>
        <v>#DIV/0!</v>
      </c>
    </row>
    <row r="1585" spans="1:9" ht="15" customHeight="1">
      <c r="A1585" s="119" t="s">
        <v>461</v>
      </c>
      <c r="B1585" s="169"/>
      <c r="C1585" s="154" t="s">
        <v>193</v>
      </c>
      <c r="D1585" s="154" t="s">
        <v>191</v>
      </c>
      <c r="E1585" s="154"/>
      <c r="F1585" s="144"/>
      <c r="G1585" s="81">
        <f>SUM(G1589+G1592+G1587)</f>
        <v>15113.5</v>
      </c>
      <c r="H1585" s="81">
        <f>SUM(H1589+H1592+H1587)</f>
        <v>14940.5</v>
      </c>
      <c r="I1585" s="30">
        <f t="shared" si="73"/>
        <v>98.855328017997152</v>
      </c>
    </row>
    <row r="1586" spans="1:9" ht="15" hidden="1">
      <c r="A1586" s="95" t="s">
        <v>748</v>
      </c>
      <c r="B1586" s="169"/>
      <c r="C1586" s="142" t="s">
        <v>193</v>
      </c>
      <c r="D1586" s="154" t="s">
        <v>191</v>
      </c>
      <c r="E1586" s="142" t="s">
        <v>750</v>
      </c>
      <c r="F1586" s="144"/>
      <c r="G1586" s="81">
        <f>SUM(G1587)</f>
        <v>0</v>
      </c>
      <c r="H1586" s="81">
        <f>SUM(H1587)</f>
        <v>0</v>
      </c>
      <c r="I1586" s="30" t="e">
        <f t="shared" si="73"/>
        <v>#DIV/0!</v>
      </c>
    </row>
    <row r="1587" spans="1:9" ht="15" hidden="1">
      <c r="A1587" s="95" t="s">
        <v>728</v>
      </c>
      <c r="B1587" s="169"/>
      <c r="C1587" s="142" t="s">
        <v>193</v>
      </c>
      <c r="D1587" s="154" t="s">
        <v>191</v>
      </c>
      <c r="E1587" s="142" t="s">
        <v>729</v>
      </c>
      <c r="F1587" s="144"/>
      <c r="G1587" s="81">
        <f>SUM(G1588)</f>
        <v>0</v>
      </c>
      <c r="H1587" s="81">
        <f>SUM(H1588)</f>
        <v>0</v>
      </c>
      <c r="I1587" s="30" t="e">
        <f t="shared" ref="I1587:I1650" si="74">SUM(H1587/G1587*100)</f>
        <v>#DIV/0!</v>
      </c>
    </row>
    <row r="1588" spans="1:9" ht="17.25" hidden="1" customHeight="1">
      <c r="A1588" s="95" t="s">
        <v>622</v>
      </c>
      <c r="B1588" s="169"/>
      <c r="C1588" s="142" t="s">
        <v>193</v>
      </c>
      <c r="D1588" s="154" t="s">
        <v>191</v>
      </c>
      <c r="E1588" s="142" t="s">
        <v>729</v>
      </c>
      <c r="F1588" s="144" t="s">
        <v>623</v>
      </c>
      <c r="G1588" s="81"/>
      <c r="H1588" s="81"/>
      <c r="I1588" s="30" t="e">
        <f t="shared" si="74"/>
        <v>#DIV/0!</v>
      </c>
    </row>
    <row r="1589" spans="1:9" ht="52.5" customHeight="1">
      <c r="A1589" s="119" t="s">
        <v>560</v>
      </c>
      <c r="B1589" s="157"/>
      <c r="C1589" s="142" t="s">
        <v>193</v>
      </c>
      <c r="D1589" s="154" t="s">
        <v>191</v>
      </c>
      <c r="E1589" s="142" t="s">
        <v>561</v>
      </c>
      <c r="F1589" s="140"/>
      <c r="G1589" s="81">
        <f>SUM(G1590)</f>
        <v>6928.9</v>
      </c>
      <c r="H1589" s="81">
        <f>SUM(H1590)</f>
        <v>6764.1</v>
      </c>
      <c r="I1589" s="30">
        <f t="shared" si="74"/>
        <v>97.621556091154446</v>
      </c>
    </row>
    <row r="1590" spans="1:9" ht="28.5">
      <c r="A1590" s="95" t="s">
        <v>48</v>
      </c>
      <c r="B1590" s="157"/>
      <c r="C1590" s="142" t="s">
        <v>193</v>
      </c>
      <c r="D1590" s="154" t="s">
        <v>191</v>
      </c>
      <c r="E1590" s="142" t="s">
        <v>562</v>
      </c>
      <c r="F1590" s="140"/>
      <c r="G1590" s="81">
        <f>SUM(G1591)</f>
        <v>6928.9</v>
      </c>
      <c r="H1590" s="81">
        <f>SUM(H1591)</f>
        <v>6764.1</v>
      </c>
      <c r="I1590" s="30">
        <f t="shared" si="74"/>
        <v>97.621556091154446</v>
      </c>
    </row>
    <row r="1591" spans="1:9" ht="21.75" customHeight="1">
      <c r="A1591" s="97" t="s">
        <v>49</v>
      </c>
      <c r="B1591" s="109"/>
      <c r="C1591" s="142" t="s">
        <v>193</v>
      </c>
      <c r="D1591" s="154" t="s">
        <v>191</v>
      </c>
      <c r="E1591" s="142" t="s">
        <v>562</v>
      </c>
      <c r="F1591" s="141" t="s">
        <v>498</v>
      </c>
      <c r="G1591" s="81">
        <v>6928.9</v>
      </c>
      <c r="H1591" s="81">
        <v>6764.1</v>
      </c>
      <c r="I1591" s="30">
        <f t="shared" si="74"/>
        <v>97.621556091154446</v>
      </c>
    </row>
    <row r="1592" spans="1:9" ht="26.25" customHeight="1">
      <c r="A1592" s="97" t="s">
        <v>200</v>
      </c>
      <c r="B1592" s="169"/>
      <c r="C1592" s="154" t="s">
        <v>193</v>
      </c>
      <c r="D1592" s="154" t="s">
        <v>191</v>
      </c>
      <c r="E1592" s="154" t="s">
        <v>201</v>
      </c>
      <c r="F1592" s="144"/>
      <c r="G1592" s="81">
        <f>SUM(G1595)+G1598+G1593</f>
        <v>8184.6</v>
      </c>
      <c r="H1592" s="81">
        <f>SUM(H1595)+H1598+H1593</f>
        <v>8176.4</v>
      </c>
      <c r="I1592" s="30">
        <f t="shared" si="74"/>
        <v>99.899811841751571</v>
      </c>
    </row>
    <row r="1593" spans="1:9" ht="30.75" hidden="1" customHeight="1">
      <c r="A1593" s="115" t="s">
        <v>386</v>
      </c>
      <c r="B1593" s="169"/>
      <c r="C1593" s="154" t="s">
        <v>193</v>
      </c>
      <c r="D1593" s="154" t="s">
        <v>191</v>
      </c>
      <c r="E1593" s="154" t="s">
        <v>597</v>
      </c>
      <c r="F1593" s="144"/>
      <c r="G1593" s="81">
        <f>SUM(G1594)</f>
        <v>0</v>
      </c>
      <c r="H1593" s="81">
        <f>SUM(H1594)</f>
        <v>0</v>
      </c>
      <c r="I1593" s="30" t="e">
        <f t="shared" si="74"/>
        <v>#DIV/0!</v>
      </c>
    </row>
    <row r="1594" spans="1:9" ht="15" hidden="1" customHeight="1">
      <c r="A1594" s="97" t="s">
        <v>49</v>
      </c>
      <c r="B1594" s="169"/>
      <c r="C1594" s="154" t="s">
        <v>193</v>
      </c>
      <c r="D1594" s="154" t="s">
        <v>191</v>
      </c>
      <c r="E1594" s="154" t="s">
        <v>597</v>
      </c>
      <c r="F1594" s="144" t="s">
        <v>498</v>
      </c>
      <c r="G1594" s="81"/>
      <c r="H1594" s="81"/>
      <c r="I1594" s="30" t="e">
        <f t="shared" si="74"/>
        <v>#DIV/0!</v>
      </c>
    </row>
    <row r="1595" spans="1:9" ht="28.5">
      <c r="A1595" s="115" t="s">
        <v>892</v>
      </c>
      <c r="B1595" s="169"/>
      <c r="C1595" s="154" t="s">
        <v>193</v>
      </c>
      <c r="D1595" s="154" t="s">
        <v>191</v>
      </c>
      <c r="E1595" s="154" t="s">
        <v>624</v>
      </c>
      <c r="F1595" s="144"/>
      <c r="G1595" s="81">
        <f>SUM(G1596:G1597)</f>
        <v>3884.6</v>
      </c>
      <c r="H1595" s="81">
        <f>SUM(H1596:H1597)</f>
        <v>3884.6</v>
      </c>
      <c r="I1595" s="30">
        <f t="shared" si="74"/>
        <v>100</v>
      </c>
    </row>
    <row r="1596" spans="1:9" ht="31.5" customHeight="1">
      <c r="A1596" s="97" t="s">
        <v>155</v>
      </c>
      <c r="B1596" s="169"/>
      <c r="C1596" s="154" t="s">
        <v>193</v>
      </c>
      <c r="D1596" s="154" t="s">
        <v>191</v>
      </c>
      <c r="E1596" s="154" t="s">
        <v>624</v>
      </c>
      <c r="F1596" s="144" t="s">
        <v>623</v>
      </c>
      <c r="G1596" s="81">
        <v>1764.6</v>
      </c>
      <c r="H1596" s="81">
        <v>1764.6</v>
      </c>
      <c r="I1596" s="30">
        <f t="shared" si="74"/>
        <v>100</v>
      </c>
    </row>
    <row r="1597" spans="1:9" ht="15">
      <c r="A1597" s="115" t="s">
        <v>276</v>
      </c>
      <c r="B1597" s="169"/>
      <c r="C1597" s="154" t="s">
        <v>193</v>
      </c>
      <c r="D1597" s="154" t="s">
        <v>191</v>
      </c>
      <c r="E1597" s="154" t="s">
        <v>624</v>
      </c>
      <c r="F1597" s="144" t="s">
        <v>132</v>
      </c>
      <c r="G1597" s="82">
        <v>2120</v>
      </c>
      <c r="H1597" s="82">
        <v>2120</v>
      </c>
      <c r="I1597" s="30">
        <f t="shared" si="74"/>
        <v>100</v>
      </c>
    </row>
    <row r="1598" spans="1:9" ht="14.25" customHeight="1">
      <c r="A1598" s="115" t="s">
        <v>893</v>
      </c>
      <c r="B1598" s="169"/>
      <c r="C1598" s="154" t="s">
        <v>193</v>
      </c>
      <c r="D1598" s="154" t="s">
        <v>191</v>
      </c>
      <c r="E1598" s="154" t="s">
        <v>626</v>
      </c>
      <c r="F1598" s="144"/>
      <c r="G1598" s="82">
        <f>SUM(G1599:G1600)</f>
        <v>4300</v>
      </c>
      <c r="H1598" s="82">
        <f>SUM(H1599:H1600)</f>
        <v>4291.8</v>
      </c>
      <c r="I1598" s="30">
        <f t="shared" si="74"/>
        <v>99.809302325581399</v>
      </c>
    </row>
    <row r="1599" spans="1:9" ht="36.75" customHeight="1">
      <c r="A1599" s="97" t="s">
        <v>227</v>
      </c>
      <c r="B1599" s="169"/>
      <c r="C1599" s="154" t="s">
        <v>193</v>
      </c>
      <c r="D1599" s="154" t="s">
        <v>191</v>
      </c>
      <c r="E1599" s="154" t="s">
        <v>626</v>
      </c>
      <c r="F1599" s="144" t="s">
        <v>623</v>
      </c>
      <c r="G1599" s="81">
        <v>3768</v>
      </c>
      <c r="H1599" s="81">
        <v>3767</v>
      </c>
      <c r="I1599" s="30">
        <f t="shared" si="74"/>
        <v>99.973460721868364</v>
      </c>
    </row>
    <row r="1600" spans="1:9" ht="19.5" customHeight="1">
      <c r="A1600" s="115" t="s">
        <v>276</v>
      </c>
      <c r="B1600" s="169"/>
      <c r="C1600" s="154" t="s">
        <v>193</v>
      </c>
      <c r="D1600" s="154" t="s">
        <v>191</v>
      </c>
      <c r="E1600" s="154" t="s">
        <v>626</v>
      </c>
      <c r="F1600" s="144" t="s">
        <v>132</v>
      </c>
      <c r="G1600" s="82">
        <v>532</v>
      </c>
      <c r="H1600" s="82">
        <v>524.79999999999995</v>
      </c>
      <c r="I1600" s="30">
        <f t="shared" si="74"/>
        <v>98.646616541353367</v>
      </c>
    </row>
    <row r="1601" spans="1:9" ht="19.5" customHeight="1">
      <c r="A1601" s="156" t="s">
        <v>619</v>
      </c>
      <c r="B1601" s="157" t="s">
        <v>531</v>
      </c>
      <c r="C1601" s="142"/>
      <c r="D1601" s="142"/>
      <c r="E1601" s="142"/>
      <c r="F1601" s="140"/>
      <c r="G1601" s="183">
        <f>SUM(G1602+G1614)</f>
        <v>204385.1</v>
      </c>
      <c r="H1601" s="183">
        <f>SUM(H1602+H1614)</f>
        <v>202235.69999999998</v>
      </c>
      <c r="I1601" s="203">
        <f t="shared" si="74"/>
        <v>98.948357781462533</v>
      </c>
    </row>
    <row r="1602" spans="1:9" ht="22.5" customHeight="1">
      <c r="A1602" s="95" t="s">
        <v>179</v>
      </c>
      <c r="B1602" s="157"/>
      <c r="C1602" s="142" t="s">
        <v>180</v>
      </c>
      <c r="D1602" s="142"/>
      <c r="E1602" s="142"/>
      <c r="F1602" s="140"/>
      <c r="G1602" s="81">
        <f>SUM(G1603)+G1611</f>
        <v>39.1</v>
      </c>
      <c r="H1602" s="81">
        <f>SUM(H1603)+H1611</f>
        <v>39.1</v>
      </c>
      <c r="I1602" s="30">
        <f t="shared" si="74"/>
        <v>100</v>
      </c>
    </row>
    <row r="1603" spans="1:9" ht="15">
      <c r="A1603" s="95" t="s">
        <v>181</v>
      </c>
      <c r="B1603" s="138"/>
      <c r="C1603" s="138" t="s">
        <v>180</v>
      </c>
      <c r="D1603" s="138" t="s">
        <v>180</v>
      </c>
      <c r="E1603" s="138"/>
      <c r="F1603" s="139"/>
      <c r="G1603" s="81">
        <f>SUM(G1604)</f>
        <v>39.1</v>
      </c>
      <c r="H1603" s="81">
        <f>SUM(H1604)</f>
        <v>39.1</v>
      </c>
      <c r="I1603" s="30">
        <f t="shared" si="74"/>
        <v>100</v>
      </c>
    </row>
    <row r="1604" spans="1:9" ht="22.5" customHeight="1">
      <c r="A1604" s="97" t="s">
        <v>200</v>
      </c>
      <c r="B1604" s="168"/>
      <c r="C1604" s="142" t="s">
        <v>180</v>
      </c>
      <c r="D1604" s="142" t="s">
        <v>180</v>
      </c>
      <c r="E1604" s="142" t="s">
        <v>201</v>
      </c>
      <c r="F1604" s="141"/>
      <c r="G1604" s="81">
        <f>SUM(G1605)</f>
        <v>39.1</v>
      </c>
      <c r="H1604" s="81">
        <f>SUM(H1605)</f>
        <v>39.1</v>
      </c>
      <c r="I1604" s="30">
        <f t="shared" si="74"/>
        <v>100</v>
      </c>
    </row>
    <row r="1605" spans="1:9" ht="47.25" customHeight="1">
      <c r="A1605" s="98" t="s">
        <v>708</v>
      </c>
      <c r="B1605" s="168"/>
      <c r="C1605" s="142" t="s">
        <v>180</v>
      </c>
      <c r="D1605" s="142" t="s">
        <v>180</v>
      </c>
      <c r="E1605" s="142" t="s">
        <v>707</v>
      </c>
      <c r="F1605" s="141"/>
      <c r="G1605" s="81">
        <f>SUM(G1607)</f>
        <v>39.1</v>
      </c>
      <c r="H1605" s="81">
        <f>SUM(H1607)</f>
        <v>39.1</v>
      </c>
      <c r="I1605" s="30">
        <f t="shared" si="74"/>
        <v>100</v>
      </c>
    </row>
    <row r="1606" spans="1:9" ht="19.5" hidden="1" customHeight="1">
      <c r="A1606" s="97" t="s">
        <v>441</v>
      </c>
      <c r="B1606" s="168"/>
      <c r="C1606" s="142" t="s">
        <v>180</v>
      </c>
      <c r="D1606" s="142" t="s">
        <v>180</v>
      </c>
      <c r="E1606" s="142" t="s">
        <v>707</v>
      </c>
      <c r="F1606" s="141" t="s">
        <v>442</v>
      </c>
      <c r="G1606" s="81"/>
      <c r="H1606" s="81"/>
      <c r="I1606" s="30" t="e">
        <f t="shared" si="74"/>
        <v>#DIV/0!</v>
      </c>
    </row>
    <row r="1607" spans="1:9" ht="18.75" customHeight="1">
      <c r="A1607" s="95" t="s">
        <v>276</v>
      </c>
      <c r="B1607" s="168"/>
      <c r="C1607" s="142" t="s">
        <v>180</v>
      </c>
      <c r="D1607" s="142" t="s">
        <v>180</v>
      </c>
      <c r="E1607" s="142" t="s">
        <v>707</v>
      </c>
      <c r="F1607" s="141" t="s">
        <v>132</v>
      </c>
      <c r="G1607" s="81">
        <v>39.1</v>
      </c>
      <c r="H1607" s="81">
        <v>39.1</v>
      </c>
      <c r="I1607" s="30">
        <f t="shared" si="74"/>
        <v>100</v>
      </c>
    </row>
    <row r="1608" spans="1:9" ht="15" hidden="1">
      <c r="A1608" s="119" t="s">
        <v>451</v>
      </c>
      <c r="B1608" s="138"/>
      <c r="C1608" s="138" t="s">
        <v>180</v>
      </c>
      <c r="D1608" s="138" t="s">
        <v>180</v>
      </c>
      <c r="E1608" s="138" t="s">
        <v>183</v>
      </c>
      <c r="F1608" s="139"/>
      <c r="G1608" s="81">
        <f>SUM(G1609)</f>
        <v>0</v>
      </c>
      <c r="H1608" s="81">
        <f>SUM(H1609)</f>
        <v>0</v>
      </c>
      <c r="I1608" s="30" t="e">
        <f t="shared" si="74"/>
        <v>#DIV/0!</v>
      </c>
    </row>
    <row r="1609" spans="1:9" ht="15" hidden="1">
      <c r="A1609" s="119" t="s">
        <v>452</v>
      </c>
      <c r="B1609" s="138"/>
      <c r="C1609" s="138" t="s">
        <v>180</v>
      </c>
      <c r="D1609" s="138" t="s">
        <v>180</v>
      </c>
      <c r="E1609" s="138" t="s">
        <v>453</v>
      </c>
      <c r="F1609" s="139"/>
      <c r="G1609" s="81">
        <f>SUM(G1610)</f>
        <v>0</v>
      </c>
      <c r="H1609" s="81">
        <f>SUM(H1610)</f>
        <v>0</v>
      </c>
      <c r="I1609" s="30" t="e">
        <f t="shared" si="74"/>
        <v>#DIV/0!</v>
      </c>
    </row>
    <row r="1610" spans="1:9" ht="14.25" hidden="1" customHeight="1">
      <c r="A1610" s="97" t="s">
        <v>497</v>
      </c>
      <c r="B1610" s="138"/>
      <c r="C1610" s="138" t="s">
        <v>180</v>
      </c>
      <c r="D1610" s="138" t="s">
        <v>180</v>
      </c>
      <c r="E1610" s="138" t="s">
        <v>453</v>
      </c>
      <c r="F1610" s="139" t="s">
        <v>498</v>
      </c>
      <c r="G1610" s="81"/>
      <c r="H1610" s="81"/>
      <c r="I1610" s="30" t="e">
        <f t="shared" si="74"/>
        <v>#DIV/0!</v>
      </c>
    </row>
    <row r="1611" spans="1:9" ht="18" hidden="1" customHeight="1">
      <c r="A1611" s="97" t="s">
        <v>458</v>
      </c>
      <c r="B1611" s="138"/>
      <c r="C1611" s="138" t="s">
        <v>180</v>
      </c>
      <c r="D1611" s="138" t="s">
        <v>603</v>
      </c>
      <c r="E1611" s="138"/>
      <c r="F1611" s="139"/>
      <c r="G1611" s="81">
        <f>SUM(G1612)</f>
        <v>0</v>
      </c>
      <c r="H1611" s="81">
        <f>SUM(H1612)</f>
        <v>0</v>
      </c>
      <c r="I1611" s="30" t="e">
        <f t="shared" si="74"/>
        <v>#DIV/0!</v>
      </c>
    </row>
    <row r="1612" spans="1:9" ht="15" hidden="1">
      <c r="A1612" s="97" t="s">
        <v>200</v>
      </c>
      <c r="B1612" s="138"/>
      <c r="C1612" s="138" t="s">
        <v>180</v>
      </c>
      <c r="D1612" s="138" t="s">
        <v>603</v>
      </c>
      <c r="E1612" s="138" t="s">
        <v>201</v>
      </c>
      <c r="F1612" s="139"/>
      <c r="G1612" s="81">
        <f>SUM(G1613)</f>
        <v>0</v>
      </c>
      <c r="H1612" s="81">
        <f>SUM(H1613)</f>
        <v>0</v>
      </c>
      <c r="I1612" s="30" t="e">
        <f t="shared" si="74"/>
        <v>#DIV/0!</v>
      </c>
    </row>
    <row r="1613" spans="1:9" ht="15" hidden="1">
      <c r="A1613" s="95" t="s">
        <v>627</v>
      </c>
      <c r="B1613" s="138"/>
      <c r="C1613" s="138" t="s">
        <v>180</v>
      </c>
      <c r="D1613" s="138" t="s">
        <v>603</v>
      </c>
      <c r="E1613" s="138" t="s">
        <v>201</v>
      </c>
      <c r="F1613" s="139" t="s">
        <v>318</v>
      </c>
      <c r="G1613" s="81"/>
      <c r="H1613" s="81"/>
      <c r="I1613" s="30" t="e">
        <f t="shared" si="74"/>
        <v>#DIV/0!</v>
      </c>
    </row>
    <row r="1614" spans="1:9" ht="15">
      <c r="A1614" s="95" t="s">
        <v>650</v>
      </c>
      <c r="B1614" s="138"/>
      <c r="C1614" s="142" t="s">
        <v>603</v>
      </c>
      <c r="D1614" s="142"/>
      <c r="E1614" s="142"/>
      <c r="F1614" s="140"/>
      <c r="G1614" s="81">
        <f>SUM(G1615+G1633+G1671+G1688+G1666)</f>
        <v>204346</v>
      </c>
      <c r="H1614" s="81">
        <f>SUM(H1615+H1633+H1671+H1688+H1666)</f>
        <v>202196.59999999998</v>
      </c>
      <c r="I1614" s="30">
        <f t="shared" si="74"/>
        <v>98.948156557994764</v>
      </c>
    </row>
    <row r="1615" spans="1:9" ht="15">
      <c r="A1615" s="95" t="s">
        <v>319</v>
      </c>
      <c r="B1615" s="138"/>
      <c r="C1615" s="142" t="s">
        <v>603</v>
      </c>
      <c r="D1615" s="142" t="s">
        <v>836</v>
      </c>
      <c r="E1615" s="142"/>
      <c r="F1615" s="140"/>
      <c r="G1615" s="81">
        <f>SUM(G1616+G1619)</f>
        <v>26752.400000000001</v>
      </c>
      <c r="H1615" s="81">
        <f>SUM(H1616+H1619)</f>
        <v>26749.1</v>
      </c>
      <c r="I1615" s="30">
        <f t="shared" si="74"/>
        <v>99.987664658124118</v>
      </c>
    </row>
    <row r="1616" spans="1:9" ht="15" hidden="1">
      <c r="A1616" s="95" t="s">
        <v>748</v>
      </c>
      <c r="B1616" s="138"/>
      <c r="C1616" s="142" t="s">
        <v>603</v>
      </c>
      <c r="D1616" s="142" t="s">
        <v>836</v>
      </c>
      <c r="E1616" s="138" t="s">
        <v>750</v>
      </c>
      <c r="F1616" s="139"/>
      <c r="G1616" s="81">
        <f>SUM(G1617)</f>
        <v>0</v>
      </c>
      <c r="H1616" s="81">
        <f>SUM(H1617)</f>
        <v>0</v>
      </c>
      <c r="I1616" s="30" t="e">
        <f t="shared" si="74"/>
        <v>#DIV/0!</v>
      </c>
    </row>
    <row r="1617" spans="1:9" ht="42" hidden="1" customHeight="1">
      <c r="A1617" s="95" t="s">
        <v>728</v>
      </c>
      <c r="B1617" s="138"/>
      <c r="C1617" s="142" t="s">
        <v>603</v>
      </c>
      <c r="D1617" s="142" t="s">
        <v>836</v>
      </c>
      <c r="E1617" s="138" t="s">
        <v>729</v>
      </c>
      <c r="F1617" s="139"/>
      <c r="G1617" s="81">
        <f>SUM(G1618)</f>
        <v>0</v>
      </c>
      <c r="H1617" s="81">
        <f>SUM(H1618)</f>
        <v>0</v>
      </c>
      <c r="I1617" s="30" t="e">
        <f t="shared" si="74"/>
        <v>#DIV/0!</v>
      </c>
    </row>
    <row r="1618" spans="1:9" ht="18" hidden="1" customHeight="1">
      <c r="A1618" s="97" t="s">
        <v>497</v>
      </c>
      <c r="B1618" s="142"/>
      <c r="C1618" s="142" t="s">
        <v>603</v>
      </c>
      <c r="D1618" s="142" t="s">
        <v>836</v>
      </c>
      <c r="E1618" s="138" t="s">
        <v>729</v>
      </c>
      <c r="F1618" s="140" t="s">
        <v>498</v>
      </c>
      <c r="G1618" s="81"/>
      <c r="H1618" s="81"/>
      <c r="I1618" s="30" t="e">
        <f t="shared" si="74"/>
        <v>#DIV/0!</v>
      </c>
    </row>
    <row r="1619" spans="1:9" ht="19.5" customHeight="1">
      <c r="A1619" s="95" t="s">
        <v>356</v>
      </c>
      <c r="B1619" s="138"/>
      <c r="C1619" s="142" t="s">
        <v>603</v>
      </c>
      <c r="D1619" s="142" t="s">
        <v>836</v>
      </c>
      <c r="E1619" s="142" t="s">
        <v>323</v>
      </c>
      <c r="F1619" s="140"/>
      <c r="G1619" s="81">
        <f>SUM(G1620)</f>
        <v>26752.400000000001</v>
      </c>
      <c r="H1619" s="81">
        <f>SUM(H1620)</f>
        <v>26749.1</v>
      </c>
      <c r="I1619" s="30">
        <f t="shared" si="74"/>
        <v>99.987664658124118</v>
      </c>
    </row>
    <row r="1620" spans="1:9" ht="20.25" customHeight="1">
      <c r="A1620" s="95" t="s">
        <v>154</v>
      </c>
      <c r="B1620" s="157"/>
      <c r="C1620" s="142" t="s">
        <v>603</v>
      </c>
      <c r="D1620" s="142" t="s">
        <v>836</v>
      </c>
      <c r="E1620" s="142" t="s">
        <v>133</v>
      </c>
      <c r="F1620" s="140"/>
      <c r="G1620" s="81">
        <f>SUM(G1629)+G1621</f>
        <v>26752.400000000001</v>
      </c>
      <c r="H1620" s="81">
        <f>SUM(H1629)+H1621</f>
        <v>26749.1</v>
      </c>
      <c r="I1620" s="30">
        <f t="shared" si="74"/>
        <v>99.987664658124118</v>
      </c>
    </row>
    <row r="1621" spans="1:9" ht="15">
      <c r="A1621" s="97" t="s">
        <v>276</v>
      </c>
      <c r="B1621" s="157"/>
      <c r="C1621" s="142" t="s">
        <v>603</v>
      </c>
      <c r="D1621" s="142" t="s">
        <v>836</v>
      </c>
      <c r="E1621" s="142" t="s">
        <v>229</v>
      </c>
      <c r="F1621" s="140"/>
      <c r="G1621" s="81">
        <f>SUM(G1624+G1626)+G1622</f>
        <v>15190.7</v>
      </c>
      <c r="H1621" s="81">
        <f>SUM(H1624+H1626)+H1622</f>
        <v>15187.399999999998</v>
      </c>
      <c r="I1621" s="30">
        <f t="shared" si="74"/>
        <v>99.978276182137733</v>
      </c>
    </row>
    <row r="1622" spans="1:9" ht="28.5">
      <c r="A1622" s="97" t="s">
        <v>232</v>
      </c>
      <c r="B1622" s="157"/>
      <c r="C1622" s="142" t="s">
        <v>603</v>
      </c>
      <c r="D1622" s="142" t="s">
        <v>836</v>
      </c>
      <c r="E1622" s="142" t="s">
        <v>1126</v>
      </c>
      <c r="F1622" s="140"/>
      <c r="G1622" s="81">
        <f>SUM(G1623)</f>
        <v>252</v>
      </c>
      <c r="H1622" s="81">
        <f>SUM(H1623)</f>
        <v>249.8</v>
      </c>
      <c r="I1622" s="30">
        <f t="shared" si="74"/>
        <v>99.126984126984127</v>
      </c>
    </row>
    <row r="1623" spans="1:9" ht="23.25" customHeight="1">
      <c r="A1623" s="97" t="s">
        <v>231</v>
      </c>
      <c r="B1623" s="157"/>
      <c r="C1623" s="142" t="s">
        <v>603</v>
      </c>
      <c r="D1623" s="142" t="s">
        <v>836</v>
      </c>
      <c r="E1623" s="142" t="s">
        <v>1126</v>
      </c>
      <c r="F1623" s="140" t="s">
        <v>132</v>
      </c>
      <c r="G1623" s="81">
        <v>252</v>
      </c>
      <c r="H1623" s="81">
        <v>249.8</v>
      </c>
      <c r="I1623" s="30">
        <f t="shared" si="74"/>
        <v>99.126984126984127</v>
      </c>
    </row>
    <row r="1624" spans="1:9" ht="33" customHeight="1">
      <c r="A1624" s="97" t="s">
        <v>759</v>
      </c>
      <c r="B1624" s="157"/>
      <c r="C1624" s="142" t="s">
        <v>603</v>
      </c>
      <c r="D1624" s="142" t="s">
        <v>836</v>
      </c>
      <c r="E1624" s="142" t="s">
        <v>230</v>
      </c>
      <c r="F1624" s="140"/>
      <c r="G1624" s="81">
        <f>SUM(G1625)</f>
        <v>11604</v>
      </c>
      <c r="H1624" s="81">
        <f>SUM(H1625)</f>
        <v>11603.9</v>
      </c>
      <c r="I1624" s="30">
        <f t="shared" si="74"/>
        <v>99.999138228197168</v>
      </c>
    </row>
    <row r="1625" spans="1:9" ht="23.25" customHeight="1">
      <c r="A1625" s="97" t="s">
        <v>231</v>
      </c>
      <c r="B1625" s="157"/>
      <c r="C1625" s="142" t="s">
        <v>603</v>
      </c>
      <c r="D1625" s="142" t="s">
        <v>836</v>
      </c>
      <c r="E1625" s="142" t="s">
        <v>230</v>
      </c>
      <c r="F1625" s="140" t="s">
        <v>132</v>
      </c>
      <c r="G1625" s="81">
        <v>11604</v>
      </c>
      <c r="H1625" s="81">
        <v>11603.9</v>
      </c>
      <c r="I1625" s="30">
        <f t="shared" si="74"/>
        <v>99.999138228197168</v>
      </c>
    </row>
    <row r="1626" spans="1:9" ht="27" customHeight="1">
      <c r="A1626" s="95" t="s">
        <v>403</v>
      </c>
      <c r="B1626" s="157"/>
      <c r="C1626" s="142" t="s">
        <v>603</v>
      </c>
      <c r="D1626" s="142" t="s">
        <v>836</v>
      </c>
      <c r="E1626" s="142" t="s">
        <v>407</v>
      </c>
      <c r="F1626" s="140"/>
      <c r="G1626" s="81">
        <f>SUM(G1627)</f>
        <v>3334.7</v>
      </c>
      <c r="H1626" s="81">
        <f>SUM(H1627)</f>
        <v>3333.7</v>
      </c>
      <c r="I1626" s="30">
        <f t="shared" si="74"/>
        <v>99.970012294959062</v>
      </c>
    </row>
    <row r="1627" spans="1:9" ht="24" customHeight="1">
      <c r="A1627" s="95" t="s">
        <v>276</v>
      </c>
      <c r="B1627" s="157"/>
      <c r="C1627" s="142" t="s">
        <v>603</v>
      </c>
      <c r="D1627" s="142" t="s">
        <v>836</v>
      </c>
      <c r="E1627" s="142" t="s">
        <v>407</v>
      </c>
      <c r="F1627" s="140" t="s">
        <v>132</v>
      </c>
      <c r="G1627" s="81">
        <v>3334.7</v>
      </c>
      <c r="H1627" s="81">
        <v>3333.7</v>
      </c>
      <c r="I1627" s="30">
        <f t="shared" si="74"/>
        <v>99.970012294959062</v>
      </c>
    </row>
    <row r="1628" spans="1:9" ht="28.5">
      <c r="A1628" s="95" t="s">
        <v>612</v>
      </c>
      <c r="B1628" s="157"/>
      <c r="C1628" s="142" t="s">
        <v>603</v>
      </c>
      <c r="D1628" s="142" t="s">
        <v>836</v>
      </c>
      <c r="E1628" s="142" t="s">
        <v>611</v>
      </c>
      <c r="F1628" s="140"/>
      <c r="G1628" s="81">
        <f>SUM(G1629)</f>
        <v>11561.7</v>
      </c>
      <c r="H1628" s="81">
        <f>SUM(H1629)</f>
        <v>11561.7</v>
      </c>
      <c r="I1628" s="30">
        <f t="shared" si="74"/>
        <v>100</v>
      </c>
    </row>
    <row r="1629" spans="1:9" ht="16.5" customHeight="1">
      <c r="A1629" s="97" t="s">
        <v>955</v>
      </c>
      <c r="B1629" s="109"/>
      <c r="C1629" s="142" t="s">
        <v>603</v>
      </c>
      <c r="D1629" s="142" t="s">
        <v>836</v>
      </c>
      <c r="E1629" s="142" t="s">
        <v>611</v>
      </c>
      <c r="F1629" s="141" t="s">
        <v>440</v>
      </c>
      <c r="G1629" s="81">
        <v>11561.7</v>
      </c>
      <c r="H1629" s="81">
        <v>11561.7</v>
      </c>
      <c r="I1629" s="30">
        <f t="shared" si="74"/>
        <v>100</v>
      </c>
    </row>
    <row r="1630" spans="1:9" ht="19.5" hidden="1" customHeight="1">
      <c r="A1630" s="97" t="s">
        <v>689</v>
      </c>
      <c r="B1630" s="138"/>
      <c r="C1630" s="142" t="s">
        <v>603</v>
      </c>
      <c r="D1630" s="142" t="s">
        <v>836</v>
      </c>
      <c r="E1630" s="142" t="s">
        <v>324</v>
      </c>
      <c r="F1630" s="140" t="s">
        <v>690</v>
      </c>
      <c r="G1630" s="81"/>
      <c r="H1630" s="81"/>
      <c r="I1630" s="30" t="e">
        <f t="shared" si="74"/>
        <v>#DIV/0!</v>
      </c>
    </row>
    <row r="1631" spans="1:9" ht="15" hidden="1" customHeight="1">
      <c r="A1631" s="95" t="s">
        <v>1010</v>
      </c>
      <c r="B1631" s="138"/>
      <c r="C1631" s="142" t="s">
        <v>325</v>
      </c>
      <c r="D1631" s="142" t="s">
        <v>836</v>
      </c>
      <c r="E1631" s="142" t="s">
        <v>475</v>
      </c>
      <c r="F1631" s="140"/>
      <c r="G1631" s="81">
        <f>SUM(G1632)</f>
        <v>0</v>
      </c>
      <c r="H1631" s="81">
        <f>SUM(H1632)</f>
        <v>0</v>
      </c>
      <c r="I1631" s="30" t="e">
        <f t="shared" si="74"/>
        <v>#DIV/0!</v>
      </c>
    </row>
    <row r="1632" spans="1:9" ht="19.5" hidden="1" customHeight="1">
      <c r="A1632" s="97" t="s">
        <v>497</v>
      </c>
      <c r="B1632" s="138"/>
      <c r="C1632" s="142" t="s">
        <v>325</v>
      </c>
      <c r="D1632" s="142" t="s">
        <v>836</v>
      </c>
      <c r="E1632" s="142" t="s">
        <v>475</v>
      </c>
      <c r="F1632" s="140" t="s">
        <v>498</v>
      </c>
      <c r="G1632" s="81"/>
      <c r="H1632" s="81"/>
      <c r="I1632" s="30" t="e">
        <f t="shared" si="74"/>
        <v>#DIV/0!</v>
      </c>
    </row>
    <row r="1633" spans="1:9" ht="21.75" customHeight="1">
      <c r="A1633" s="95" t="s">
        <v>476</v>
      </c>
      <c r="B1633" s="138"/>
      <c r="C1633" s="142" t="s">
        <v>603</v>
      </c>
      <c r="D1633" s="142" t="s">
        <v>838</v>
      </c>
      <c r="E1633" s="142"/>
      <c r="F1633" s="140"/>
      <c r="G1633" s="81">
        <f>SUM(G1634+G1648+G1659+G1663)</f>
        <v>53404.100000000006</v>
      </c>
      <c r="H1633" s="81">
        <f>SUM(H1634+H1648+H1659+H1663)</f>
        <v>53403.8</v>
      </c>
      <c r="I1633" s="30">
        <f t="shared" si="74"/>
        <v>99.999438245378158</v>
      </c>
    </row>
    <row r="1634" spans="1:9" ht="18.75" customHeight="1">
      <c r="A1634" s="95" t="s">
        <v>356</v>
      </c>
      <c r="B1634" s="138"/>
      <c r="C1634" s="142" t="s">
        <v>603</v>
      </c>
      <c r="D1634" s="142" t="s">
        <v>838</v>
      </c>
      <c r="E1634" s="142" t="s">
        <v>323</v>
      </c>
      <c r="F1634" s="140"/>
      <c r="G1634" s="81">
        <f>SUM(G1635)</f>
        <v>42076.800000000003</v>
      </c>
      <c r="H1634" s="81">
        <f>SUM(H1635)</f>
        <v>42076.5</v>
      </c>
      <c r="I1634" s="30">
        <f t="shared" si="74"/>
        <v>99.999287018024177</v>
      </c>
    </row>
    <row r="1635" spans="1:9" ht="18" customHeight="1">
      <c r="A1635" s="95" t="s">
        <v>154</v>
      </c>
      <c r="B1635" s="157"/>
      <c r="C1635" s="142" t="s">
        <v>603</v>
      </c>
      <c r="D1635" s="142" t="s">
        <v>838</v>
      </c>
      <c r="E1635" s="142" t="s">
        <v>133</v>
      </c>
      <c r="F1635" s="140"/>
      <c r="G1635" s="81">
        <f>SUM(G1644)+G1636+G1641</f>
        <v>42076.800000000003</v>
      </c>
      <c r="H1635" s="81">
        <f>SUM(H1644)+H1636+H1641</f>
        <v>42076.5</v>
      </c>
      <c r="I1635" s="30">
        <f t="shared" si="74"/>
        <v>99.999287018024177</v>
      </c>
    </row>
    <row r="1636" spans="1:9" ht="15">
      <c r="A1636" s="97" t="s">
        <v>276</v>
      </c>
      <c r="B1636" s="157"/>
      <c r="C1636" s="142" t="s">
        <v>603</v>
      </c>
      <c r="D1636" s="142" t="s">
        <v>838</v>
      </c>
      <c r="E1636" s="142" t="s">
        <v>229</v>
      </c>
      <c r="F1636" s="140"/>
      <c r="G1636" s="81">
        <f>SUM(G1639)+G1637</f>
        <v>28965.5</v>
      </c>
      <c r="H1636" s="81">
        <f>SUM(H1639)+H1637</f>
        <v>28965.199999999997</v>
      </c>
      <c r="I1636" s="30">
        <f t="shared" si="74"/>
        <v>99.998964285097784</v>
      </c>
    </row>
    <row r="1637" spans="1:9" ht="27.75" customHeight="1">
      <c r="A1637" s="97" t="s">
        <v>759</v>
      </c>
      <c r="B1637" s="157"/>
      <c r="C1637" s="142" t="s">
        <v>603</v>
      </c>
      <c r="D1637" s="142" t="s">
        <v>838</v>
      </c>
      <c r="E1637" s="142" t="s">
        <v>230</v>
      </c>
      <c r="F1637" s="140"/>
      <c r="G1637" s="81">
        <f>SUM(G1638)</f>
        <v>28618.6</v>
      </c>
      <c r="H1637" s="81">
        <f>SUM(H1638)</f>
        <v>28618.6</v>
      </c>
      <c r="I1637" s="30">
        <f t="shared" si="74"/>
        <v>100</v>
      </c>
    </row>
    <row r="1638" spans="1:9" ht="15">
      <c r="A1638" s="97" t="s">
        <v>231</v>
      </c>
      <c r="B1638" s="157"/>
      <c r="C1638" s="142" t="s">
        <v>603</v>
      </c>
      <c r="D1638" s="142" t="s">
        <v>838</v>
      </c>
      <c r="E1638" s="142" t="s">
        <v>230</v>
      </c>
      <c r="F1638" s="140" t="s">
        <v>132</v>
      </c>
      <c r="G1638" s="81">
        <v>28618.6</v>
      </c>
      <c r="H1638" s="81">
        <v>28618.6</v>
      </c>
      <c r="I1638" s="30">
        <f t="shared" si="74"/>
        <v>100</v>
      </c>
    </row>
    <row r="1639" spans="1:9" ht="15">
      <c r="A1639" s="95" t="s">
        <v>403</v>
      </c>
      <c r="B1639" s="157"/>
      <c r="C1639" s="142" t="s">
        <v>603</v>
      </c>
      <c r="D1639" s="142" t="s">
        <v>838</v>
      </c>
      <c r="E1639" s="142" t="s">
        <v>407</v>
      </c>
      <c r="F1639" s="140"/>
      <c r="G1639" s="81">
        <f>SUM(G1640)</f>
        <v>346.9</v>
      </c>
      <c r="H1639" s="81">
        <f>SUM(H1640)</f>
        <v>346.6</v>
      </c>
      <c r="I1639" s="30">
        <f t="shared" si="74"/>
        <v>99.913519746324596</v>
      </c>
    </row>
    <row r="1640" spans="1:9" ht="15">
      <c r="A1640" s="95" t="s">
        <v>276</v>
      </c>
      <c r="B1640" s="157"/>
      <c r="C1640" s="142" t="s">
        <v>603</v>
      </c>
      <c r="D1640" s="142" t="s">
        <v>838</v>
      </c>
      <c r="E1640" s="142" t="s">
        <v>407</v>
      </c>
      <c r="F1640" s="140" t="s">
        <v>132</v>
      </c>
      <c r="G1640" s="81">
        <v>346.9</v>
      </c>
      <c r="H1640" s="81">
        <v>346.6</v>
      </c>
      <c r="I1640" s="30">
        <f t="shared" si="74"/>
        <v>99.913519746324596</v>
      </c>
    </row>
    <row r="1641" spans="1:9" ht="28.5" hidden="1">
      <c r="A1641" s="97" t="s">
        <v>759</v>
      </c>
      <c r="B1641" s="157"/>
      <c r="C1641" s="142" t="s">
        <v>603</v>
      </c>
      <c r="D1641" s="142" t="s">
        <v>838</v>
      </c>
      <c r="E1641" s="142" t="s">
        <v>230</v>
      </c>
      <c r="F1641" s="140"/>
      <c r="G1641" s="81">
        <f>SUM(G1642)</f>
        <v>0</v>
      </c>
      <c r="H1641" s="81">
        <f>SUM(H1642)</f>
        <v>0</v>
      </c>
      <c r="I1641" s="30" t="e">
        <f t="shared" si="74"/>
        <v>#DIV/0!</v>
      </c>
    </row>
    <row r="1642" spans="1:9" ht="15" hidden="1">
      <c r="A1642" s="97" t="s">
        <v>231</v>
      </c>
      <c r="B1642" s="157"/>
      <c r="C1642" s="142" t="s">
        <v>603</v>
      </c>
      <c r="D1642" s="142" t="s">
        <v>838</v>
      </c>
      <c r="E1642" s="142" t="s">
        <v>230</v>
      </c>
      <c r="F1642" s="140" t="s">
        <v>132</v>
      </c>
      <c r="G1642" s="81"/>
      <c r="H1642" s="81"/>
      <c r="I1642" s="30" t="e">
        <f t="shared" si="74"/>
        <v>#DIV/0!</v>
      </c>
    </row>
    <row r="1643" spans="1:9" ht="28.5">
      <c r="A1643" s="95" t="s">
        <v>612</v>
      </c>
      <c r="B1643" s="157"/>
      <c r="C1643" s="142" t="s">
        <v>603</v>
      </c>
      <c r="D1643" s="142" t="s">
        <v>838</v>
      </c>
      <c r="E1643" s="142" t="s">
        <v>611</v>
      </c>
      <c r="F1643" s="140"/>
      <c r="G1643" s="81">
        <f>SUM(G1644)</f>
        <v>13111.3</v>
      </c>
      <c r="H1643" s="81">
        <f>SUM(H1644)</f>
        <v>13111.3</v>
      </c>
      <c r="I1643" s="30">
        <f t="shared" si="74"/>
        <v>100</v>
      </c>
    </row>
    <row r="1644" spans="1:9" ht="47.25" customHeight="1">
      <c r="A1644" s="97" t="s">
        <v>955</v>
      </c>
      <c r="B1644" s="109"/>
      <c r="C1644" s="142" t="s">
        <v>603</v>
      </c>
      <c r="D1644" s="142" t="s">
        <v>838</v>
      </c>
      <c r="E1644" s="142" t="s">
        <v>611</v>
      </c>
      <c r="F1644" s="141" t="s">
        <v>440</v>
      </c>
      <c r="G1644" s="81">
        <v>13111.3</v>
      </c>
      <c r="H1644" s="81">
        <v>13111.3</v>
      </c>
      <c r="I1644" s="30">
        <f t="shared" si="74"/>
        <v>100</v>
      </c>
    </row>
    <row r="1645" spans="1:9" ht="34.5" hidden="1" customHeight="1">
      <c r="A1645" s="97" t="s">
        <v>689</v>
      </c>
      <c r="B1645" s="138"/>
      <c r="C1645" s="142" t="s">
        <v>603</v>
      </c>
      <c r="D1645" s="142" t="s">
        <v>838</v>
      </c>
      <c r="E1645" s="142" t="s">
        <v>324</v>
      </c>
      <c r="F1645" s="140" t="s">
        <v>690</v>
      </c>
      <c r="G1645" s="81"/>
      <c r="H1645" s="81"/>
      <c r="I1645" s="30" t="e">
        <f t="shared" si="74"/>
        <v>#DIV/0!</v>
      </c>
    </row>
    <row r="1646" spans="1:9" ht="42.75" hidden="1">
      <c r="A1646" s="95" t="s">
        <v>1010</v>
      </c>
      <c r="B1646" s="138"/>
      <c r="C1646" s="142" t="s">
        <v>603</v>
      </c>
      <c r="D1646" s="142" t="s">
        <v>838</v>
      </c>
      <c r="E1646" s="142" t="s">
        <v>475</v>
      </c>
      <c r="F1646" s="140"/>
      <c r="G1646" s="81">
        <f>SUM(G1647)</f>
        <v>0</v>
      </c>
      <c r="H1646" s="81">
        <f>SUM(H1647)</f>
        <v>0</v>
      </c>
      <c r="I1646" s="30" t="e">
        <f t="shared" si="74"/>
        <v>#DIV/0!</v>
      </c>
    </row>
    <row r="1647" spans="1:9" ht="15" hidden="1">
      <c r="A1647" s="97" t="s">
        <v>497</v>
      </c>
      <c r="B1647" s="138"/>
      <c r="C1647" s="142" t="s">
        <v>603</v>
      </c>
      <c r="D1647" s="142" t="s">
        <v>838</v>
      </c>
      <c r="E1647" s="142" t="s">
        <v>475</v>
      </c>
      <c r="F1647" s="140" t="s">
        <v>498</v>
      </c>
      <c r="G1647" s="81"/>
      <c r="H1647" s="81"/>
      <c r="I1647" s="30" t="e">
        <f t="shared" si="74"/>
        <v>#DIV/0!</v>
      </c>
    </row>
    <row r="1648" spans="1:9" ht="20.25" customHeight="1">
      <c r="A1648" s="95" t="s">
        <v>477</v>
      </c>
      <c r="B1648" s="138"/>
      <c r="C1648" s="142" t="s">
        <v>603</v>
      </c>
      <c r="D1648" s="142" t="s">
        <v>838</v>
      </c>
      <c r="E1648" s="142" t="s">
        <v>478</v>
      </c>
      <c r="F1648" s="140"/>
      <c r="G1648" s="81">
        <f>SUM(G1649)</f>
        <v>11327.3</v>
      </c>
      <c r="H1648" s="81">
        <f>SUM(H1649)</f>
        <v>11327.3</v>
      </c>
      <c r="I1648" s="30">
        <f t="shared" si="74"/>
        <v>100</v>
      </c>
    </row>
    <row r="1649" spans="1:9" ht="22.5" customHeight="1">
      <c r="A1649" s="95" t="s">
        <v>154</v>
      </c>
      <c r="B1649" s="138"/>
      <c r="C1649" s="142" t="s">
        <v>603</v>
      </c>
      <c r="D1649" s="142" t="s">
        <v>838</v>
      </c>
      <c r="E1649" s="142" t="s">
        <v>613</v>
      </c>
      <c r="F1649" s="140"/>
      <c r="G1649" s="81">
        <f>SUM(G1657+G1650)</f>
        <v>11327.3</v>
      </c>
      <c r="H1649" s="81">
        <f>SUM(H1657+H1650)</f>
        <v>11327.3</v>
      </c>
      <c r="I1649" s="30">
        <f t="shared" si="74"/>
        <v>100</v>
      </c>
    </row>
    <row r="1650" spans="1:9" ht="31.5" customHeight="1">
      <c r="A1650" s="97" t="s">
        <v>276</v>
      </c>
      <c r="B1650" s="138"/>
      <c r="C1650" s="142" t="s">
        <v>603</v>
      </c>
      <c r="D1650" s="142" t="s">
        <v>838</v>
      </c>
      <c r="E1650" s="142" t="s">
        <v>408</v>
      </c>
      <c r="F1650" s="140"/>
      <c r="G1650" s="81">
        <f>SUM(G1651)+G1653+G1655</f>
        <v>613.5</v>
      </c>
      <c r="H1650" s="81">
        <f>SUM(H1651)+H1653+H1655</f>
        <v>613.5</v>
      </c>
      <c r="I1650" s="30">
        <f t="shared" si="74"/>
        <v>100</v>
      </c>
    </row>
    <row r="1651" spans="1:9" ht="28.5" customHeight="1">
      <c r="A1651" s="97" t="s">
        <v>232</v>
      </c>
      <c r="B1651" s="157"/>
      <c r="C1651" s="142" t="s">
        <v>603</v>
      </c>
      <c r="D1651" s="142" t="s">
        <v>838</v>
      </c>
      <c r="E1651" s="142" t="s">
        <v>233</v>
      </c>
      <c r="F1651" s="140"/>
      <c r="G1651" s="81">
        <f>SUM(G1652)</f>
        <v>231</v>
      </c>
      <c r="H1651" s="81">
        <f>SUM(H1652)</f>
        <v>231</v>
      </c>
      <c r="I1651" s="30">
        <f t="shared" ref="I1651:I1714" si="75">SUM(H1651/G1651*100)</f>
        <v>100</v>
      </c>
    </row>
    <row r="1652" spans="1:9" ht="24" customHeight="1">
      <c r="A1652" s="97" t="s">
        <v>231</v>
      </c>
      <c r="B1652" s="157"/>
      <c r="C1652" s="142" t="s">
        <v>603</v>
      </c>
      <c r="D1652" s="142" t="s">
        <v>838</v>
      </c>
      <c r="E1652" s="142" t="s">
        <v>233</v>
      </c>
      <c r="F1652" s="140" t="s">
        <v>132</v>
      </c>
      <c r="G1652" s="81">
        <v>231</v>
      </c>
      <c r="H1652" s="81">
        <v>231</v>
      </c>
      <c r="I1652" s="30">
        <f t="shared" si="75"/>
        <v>100</v>
      </c>
    </row>
    <row r="1653" spans="1:9" ht="29.25" customHeight="1">
      <c r="A1653" s="97" t="s">
        <v>759</v>
      </c>
      <c r="B1653" s="157"/>
      <c r="C1653" s="142" t="s">
        <v>603</v>
      </c>
      <c r="D1653" s="142" t="s">
        <v>838</v>
      </c>
      <c r="E1653" s="142" t="s">
        <v>897</v>
      </c>
      <c r="F1653" s="140"/>
      <c r="G1653" s="81">
        <f>SUM(G1654)</f>
        <v>230</v>
      </c>
      <c r="H1653" s="81">
        <f>SUM(H1654)</f>
        <v>230</v>
      </c>
      <c r="I1653" s="30">
        <f t="shared" si="75"/>
        <v>100</v>
      </c>
    </row>
    <row r="1654" spans="1:9" ht="15">
      <c r="A1654" s="97" t="s">
        <v>231</v>
      </c>
      <c r="B1654" s="157"/>
      <c r="C1654" s="142" t="s">
        <v>603</v>
      </c>
      <c r="D1654" s="142" t="s">
        <v>838</v>
      </c>
      <c r="E1654" s="142" t="s">
        <v>897</v>
      </c>
      <c r="F1654" s="140" t="s">
        <v>132</v>
      </c>
      <c r="G1654" s="81">
        <v>230</v>
      </c>
      <c r="H1654" s="81">
        <v>230</v>
      </c>
      <c r="I1654" s="30">
        <f t="shared" si="75"/>
        <v>100</v>
      </c>
    </row>
    <row r="1655" spans="1:9" ht="15">
      <c r="A1655" s="97" t="s">
        <v>270</v>
      </c>
      <c r="B1655" s="157"/>
      <c r="C1655" s="142" t="s">
        <v>603</v>
      </c>
      <c r="D1655" s="142" t="s">
        <v>838</v>
      </c>
      <c r="E1655" s="142" t="s">
        <v>984</v>
      </c>
      <c r="F1655" s="140"/>
      <c r="G1655" s="81">
        <f>SUM(G1656)</f>
        <v>152.5</v>
      </c>
      <c r="H1655" s="81">
        <f>SUM(H1656)</f>
        <v>152.5</v>
      </c>
      <c r="I1655" s="30">
        <f t="shared" si="75"/>
        <v>100</v>
      </c>
    </row>
    <row r="1656" spans="1:9" ht="15">
      <c r="A1656" s="97" t="s">
        <v>231</v>
      </c>
      <c r="B1656" s="157"/>
      <c r="C1656" s="142" t="s">
        <v>603</v>
      </c>
      <c r="D1656" s="142" t="s">
        <v>838</v>
      </c>
      <c r="E1656" s="142" t="s">
        <v>984</v>
      </c>
      <c r="F1656" s="140" t="s">
        <v>132</v>
      </c>
      <c r="G1656" s="81">
        <v>152.5</v>
      </c>
      <c r="H1656" s="81">
        <v>152.5</v>
      </c>
      <c r="I1656" s="30">
        <f t="shared" si="75"/>
        <v>100</v>
      </c>
    </row>
    <row r="1657" spans="1:9" ht="28.5">
      <c r="A1657" s="97" t="s">
        <v>612</v>
      </c>
      <c r="B1657" s="138"/>
      <c r="C1657" s="142" t="s">
        <v>603</v>
      </c>
      <c r="D1657" s="142" t="s">
        <v>838</v>
      </c>
      <c r="E1657" s="142" t="s">
        <v>614</v>
      </c>
      <c r="F1657" s="140"/>
      <c r="G1657" s="81">
        <f>SUM(G1658)</f>
        <v>10713.8</v>
      </c>
      <c r="H1657" s="81">
        <f>SUM(H1658)</f>
        <v>10713.8</v>
      </c>
      <c r="I1657" s="30">
        <f t="shared" si="75"/>
        <v>100</v>
      </c>
    </row>
    <row r="1658" spans="1:9" ht="42.75">
      <c r="A1658" s="97" t="s">
        <v>955</v>
      </c>
      <c r="B1658" s="138"/>
      <c r="C1658" s="142" t="s">
        <v>603</v>
      </c>
      <c r="D1658" s="142" t="s">
        <v>838</v>
      </c>
      <c r="E1658" s="142" t="s">
        <v>615</v>
      </c>
      <c r="F1658" s="140" t="s">
        <v>440</v>
      </c>
      <c r="G1658" s="81">
        <v>10713.8</v>
      </c>
      <c r="H1658" s="81">
        <v>10713.8</v>
      </c>
      <c r="I1658" s="30">
        <f t="shared" si="75"/>
        <v>100</v>
      </c>
    </row>
    <row r="1659" spans="1:9" ht="19.5" hidden="1" customHeight="1">
      <c r="A1659" s="95" t="s">
        <v>481</v>
      </c>
      <c r="B1659" s="138"/>
      <c r="C1659" s="142" t="s">
        <v>603</v>
      </c>
      <c r="D1659" s="142" t="s">
        <v>838</v>
      </c>
      <c r="E1659" s="142" t="s">
        <v>482</v>
      </c>
      <c r="F1659" s="140"/>
      <c r="G1659" s="81">
        <f>SUM(G1660)</f>
        <v>0</v>
      </c>
      <c r="H1659" s="81">
        <f>SUM(H1660)</f>
        <v>0</v>
      </c>
      <c r="I1659" s="30" t="e">
        <f t="shared" si="75"/>
        <v>#DIV/0!</v>
      </c>
    </row>
    <row r="1660" spans="1:9" ht="21" hidden="1" customHeight="1">
      <c r="A1660" s="95" t="s">
        <v>154</v>
      </c>
      <c r="B1660" s="157"/>
      <c r="C1660" s="142" t="s">
        <v>603</v>
      </c>
      <c r="D1660" s="142" t="s">
        <v>838</v>
      </c>
      <c r="E1660" s="142" t="s">
        <v>134</v>
      </c>
      <c r="F1660" s="140"/>
      <c r="G1660" s="81">
        <f>SUM(G1662)</f>
        <v>0</v>
      </c>
      <c r="H1660" s="81">
        <f>SUM(H1662)</f>
        <v>0</v>
      </c>
      <c r="I1660" s="30" t="e">
        <f t="shared" si="75"/>
        <v>#DIV/0!</v>
      </c>
    </row>
    <row r="1661" spans="1:9" ht="28.5" hidden="1">
      <c r="A1661" s="95" t="s">
        <v>612</v>
      </c>
      <c r="B1661" s="157"/>
      <c r="C1661" s="142" t="s">
        <v>603</v>
      </c>
      <c r="D1661" s="142" t="s">
        <v>838</v>
      </c>
      <c r="E1661" s="142" t="s">
        <v>616</v>
      </c>
      <c r="F1661" s="140"/>
      <c r="G1661" s="81">
        <f>SUM(G1662)</f>
        <v>0</v>
      </c>
      <c r="H1661" s="81">
        <f>SUM(H1662)</f>
        <v>0</v>
      </c>
      <c r="I1661" s="30" t="e">
        <f t="shared" si="75"/>
        <v>#DIV/0!</v>
      </c>
    </row>
    <row r="1662" spans="1:9" ht="11.25" hidden="1" customHeight="1">
      <c r="A1662" s="97" t="s">
        <v>955</v>
      </c>
      <c r="B1662" s="109"/>
      <c r="C1662" s="142" t="s">
        <v>603</v>
      </c>
      <c r="D1662" s="142" t="s">
        <v>838</v>
      </c>
      <c r="E1662" s="142" t="s">
        <v>616</v>
      </c>
      <c r="F1662" s="141" t="s">
        <v>440</v>
      </c>
      <c r="G1662" s="81"/>
      <c r="H1662" s="81"/>
      <c r="I1662" s="30" t="e">
        <f t="shared" si="75"/>
        <v>#DIV/0!</v>
      </c>
    </row>
    <row r="1663" spans="1:9" ht="15.75" hidden="1" customHeight="1">
      <c r="A1663" s="98" t="s">
        <v>663</v>
      </c>
      <c r="B1663" s="138"/>
      <c r="C1663" s="142" t="s">
        <v>603</v>
      </c>
      <c r="D1663" s="142" t="s">
        <v>838</v>
      </c>
      <c r="E1663" s="142" t="s">
        <v>664</v>
      </c>
      <c r="F1663" s="140"/>
      <c r="G1663" s="81">
        <f>SUM(G1664)</f>
        <v>0</v>
      </c>
      <c r="H1663" s="81">
        <f>SUM(H1664)</f>
        <v>0</v>
      </c>
      <c r="I1663" s="30" t="e">
        <f t="shared" si="75"/>
        <v>#DIV/0!</v>
      </c>
    </row>
    <row r="1664" spans="1:9" ht="14.25" hidden="1" customHeight="1">
      <c r="A1664" s="119" t="s">
        <v>1013</v>
      </c>
      <c r="B1664" s="138"/>
      <c r="C1664" s="142" t="s">
        <v>603</v>
      </c>
      <c r="D1664" s="142" t="s">
        <v>838</v>
      </c>
      <c r="E1664" s="142" t="s">
        <v>483</v>
      </c>
      <c r="F1664" s="140"/>
      <c r="G1664" s="81">
        <f>SUM(G1665)</f>
        <v>0</v>
      </c>
      <c r="H1664" s="81">
        <f>SUM(H1665)</f>
        <v>0</v>
      </c>
      <c r="I1664" s="30" t="e">
        <f t="shared" si="75"/>
        <v>#DIV/0!</v>
      </c>
    </row>
    <row r="1665" spans="1:9" ht="18.75" hidden="1" customHeight="1">
      <c r="A1665" s="97" t="s">
        <v>276</v>
      </c>
      <c r="B1665" s="138"/>
      <c r="C1665" s="142" t="s">
        <v>603</v>
      </c>
      <c r="D1665" s="142" t="s">
        <v>838</v>
      </c>
      <c r="E1665" s="142" t="s">
        <v>483</v>
      </c>
      <c r="F1665" s="141" t="s">
        <v>132</v>
      </c>
      <c r="G1665" s="81"/>
      <c r="H1665" s="81"/>
      <c r="I1665" s="30" t="e">
        <f t="shared" si="75"/>
        <v>#DIV/0!</v>
      </c>
    </row>
    <row r="1666" spans="1:9" ht="19.5" hidden="1" customHeight="1">
      <c r="A1666" s="174" t="s">
        <v>484</v>
      </c>
      <c r="B1666" s="150"/>
      <c r="C1666" s="142" t="s">
        <v>603</v>
      </c>
      <c r="D1666" s="142" t="s">
        <v>167</v>
      </c>
      <c r="E1666" s="142"/>
      <c r="F1666" s="140"/>
      <c r="G1666" s="81">
        <f>SUM(G1667)</f>
        <v>0</v>
      </c>
      <c r="H1666" s="81">
        <f>SUM(H1667)</f>
        <v>0</v>
      </c>
      <c r="I1666" s="30" t="e">
        <f t="shared" si="75"/>
        <v>#DIV/0!</v>
      </c>
    </row>
    <row r="1667" spans="1:9" ht="16.5" hidden="1" customHeight="1">
      <c r="A1667" s="174" t="s">
        <v>485</v>
      </c>
      <c r="B1667" s="150"/>
      <c r="C1667" s="142" t="s">
        <v>603</v>
      </c>
      <c r="D1667" s="142" t="s">
        <v>167</v>
      </c>
      <c r="E1667" s="142" t="s">
        <v>323</v>
      </c>
      <c r="F1667" s="140"/>
      <c r="G1667" s="81">
        <f>SUM(G1668)</f>
        <v>0</v>
      </c>
      <c r="H1667" s="81">
        <f>SUM(H1668)</f>
        <v>0</v>
      </c>
      <c r="I1667" s="30" t="e">
        <f t="shared" si="75"/>
        <v>#DIV/0!</v>
      </c>
    </row>
    <row r="1668" spans="1:9" ht="21" hidden="1" customHeight="1">
      <c r="A1668" s="99" t="s">
        <v>495</v>
      </c>
      <c r="B1668" s="150"/>
      <c r="C1668" s="142" t="s">
        <v>603</v>
      </c>
      <c r="D1668" s="142" t="s">
        <v>167</v>
      </c>
      <c r="E1668" s="142" t="s">
        <v>324</v>
      </c>
      <c r="F1668" s="140"/>
      <c r="G1668" s="81">
        <f>SUM(G1669:G1670)</f>
        <v>0</v>
      </c>
      <c r="H1668" s="81">
        <f>SUM(H1669:H1670)</f>
        <v>0</v>
      </c>
      <c r="I1668" s="30" t="e">
        <f t="shared" si="75"/>
        <v>#DIV/0!</v>
      </c>
    </row>
    <row r="1669" spans="1:9" ht="17.25" hidden="1" customHeight="1">
      <c r="A1669" s="99" t="s">
        <v>497</v>
      </c>
      <c r="B1669" s="150"/>
      <c r="C1669" s="142" t="s">
        <v>603</v>
      </c>
      <c r="D1669" s="142" t="s">
        <v>167</v>
      </c>
      <c r="E1669" s="142" t="s">
        <v>324</v>
      </c>
      <c r="F1669" s="140" t="s">
        <v>498</v>
      </c>
      <c r="G1669" s="81"/>
      <c r="H1669" s="81"/>
      <c r="I1669" s="30" t="e">
        <f t="shared" si="75"/>
        <v>#DIV/0!</v>
      </c>
    </row>
    <row r="1670" spans="1:9" ht="18" hidden="1" customHeight="1">
      <c r="A1670" s="95" t="s">
        <v>1010</v>
      </c>
      <c r="B1670" s="138"/>
      <c r="C1670" s="142" t="s">
        <v>603</v>
      </c>
      <c r="D1670" s="142" t="s">
        <v>167</v>
      </c>
      <c r="E1670" s="142" t="s">
        <v>479</v>
      </c>
      <c r="F1670" s="140" t="s">
        <v>480</v>
      </c>
      <c r="G1670" s="81"/>
      <c r="H1670" s="81"/>
      <c r="I1670" s="30" t="e">
        <f t="shared" si="75"/>
        <v>#DIV/0!</v>
      </c>
    </row>
    <row r="1671" spans="1:9" ht="14.25" customHeight="1">
      <c r="A1671" s="97" t="s">
        <v>486</v>
      </c>
      <c r="B1671" s="138"/>
      <c r="C1671" s="142" t="s">
        <v>603</v>
      </c>
      <c r="D1671" s="142" t="s">
        <v>191</v>
      </c>
      <c r="E1671" s="142"/>
      <c r="F1671" s="140"/>
      <c r="G1671" s="81">
        <f>SUM(G1674+G1683+G1672)</f>
        <v>9081.2000000000007</v>
      </c>
      <c r="H1671" s="81">
        <f>SUM(H1674+H1683+H1672)</f>
        <v>9081.2000000000007</v>
      </c>
      <c r="I1671" s="30">
        <f t="shared" si="75"/>
        <v>100</v>
      </c>
    </row>
    <row r="1672" spans="1:9" ht="17.25" hidden="1" customHeight="1">
      <c r="A1672" s="97" t="s">
        <v>728</v>
      </c>
      <c r="B1672" s="138"/>
      <c r="C1672" s="142" t="s">
        <v>603</v>
      </c>
      <c r="D1672" s="142" t="s">
        <v>191</v>
      </c>
      <c r="E1672" s="142" t="s">
        <v>729</v>
      </c>
      <c r="F1672" s="140"/>
      <c r="G1672" s="81">
        <f>SUM(G1673)</f>
        <v>0</v>
      </c>
      <c r="H1672" s="81">
        <f>SUM(H1673)</f>
        <v>0</v>
      </c>
      <c r="I1672" s="30" t="e">
        <f t="shared" si="75"/>
        <v>#DIV/0!</v>
      </c>
    </row>
    <row r="1673" spans="1:9" ht="17.25" hidden="1" customHeight="1">
      <c r="A1673" s="97" t="s">
        <v>497</v>
      </c>
      <c r="B1673" s="138"/>
      <c r="C1673" s="142" t="s">
        <v>603</v>
      </c>
      <c r="D1673" s="142" t="s">
        <v>191</v>
      </c>
      <c r="E1673" s="142" t="s">
        <v>729</v>
      </c>
      <c r="F1673" s="140" t="s">
        <v>498</v>
      </c>
      <c r="G1673" s="81"/>
      <c r="H1673" s="81"/>
      <c r="I1673" s="30" t="e">
        <f t="shared" si="75"/>
        <v>#DIV/0!</v>
      </c>
    </row>
    <row r="1674" spans="1:9" ht="17.25" customHeight="1">
      <c r="A1674" s="95" t="s">
        <v>487</v>
      </c>
      <c r="B1674" s="138"/>
      <c r="C1674" s="142" t="s">
        <v>603</v>
      </c>
      <c r="D1674" s="142" t="s">
        <v>191</v>
      </c>
      <c r="E1674" s="142" t="s">
        <v>488</v>
      </c>
      <c r="F1674" s="140"/>
      <c r="G1674" s="81">
        <f>SUM(G1675)</f>
        <v>9081.2000000000007</v>
      </c>
      <c r="H1674" s="81">
        <f>SUM(H1675)</f>
        <v>9081.2000000000007</v>
      </c>
      <c r="I1674" s="30">
        <f t="shared" si="75"/>
        <v>100</v>
      </c>
    </row>
    <row r="1675" spans="1:9" ht="17.25" customHeight="1">
      <c r="A1675" s="95" t="s">
        <v>154</v>
      </c>
      <c r="B1675" s="138"/>
      <c r="C1675" s="142" t="s">
        <v>603</v>
      </c>
      <c r="D1675" s="142" t="s">
        <v>191</v>
      </c>
      <c r="E1675" s="142" t="s">
        <v>915</v>
      </c>
      <c r="F1675" s="140"/>
      <c r="G1675" s="81">
        <f>SUM(G1676+G1681)</f>
        <v>9081.2000000000007</v>
      </c>
      <c r="H1675" s="81">
        <f>SUM(H1676+H1681)</f>
        <v>9081.2000000000007</v>
      </c>
      <c r="I1675" s="30">
        <f t="shared" si="75"/>
        <v>100</v>
      </c>
    </row>
    <row r="1676" spans="1:9" ht="20.25" customHeight="1">
      <c r="A1676" s="97" t="s">
        <v>276</v>
      </c>
      <c r="B1676" s="138"/>
      <c r="C1676" s="142" t="s">
        <v>603</v>
      </c>
      <c r="D1676" s="142" t="s">
        <v>191</v>
      </c>
      <c r="E1676" s="142" t="s">
        <v>1048</v>
      </c>
      <c r="F1676" s="140"/>
      <c r="G1676" s="81">
        <f>SUM(G1677+G1679)</f>
        <v>8382.6</v>
      </c>
      <c r="H1676" s="81">
        <f>SUM(H1677+H1679)</f>
        <v>8382.6</v>
      </c>
      <c r="I1676" s="30">
        <f t="shared" si="75"/>
        <v>100</v>
      </c>
    </row>
    <row r="1677" spans="1:9" ht="17.25" customHeight="1">
      <c r="A1677" s="97" t="s">
        <v>759</v>
      </c>
      <c r="B1677" s="157"/>
      <c r="C1677" s="142" t="s">
        <v>603</v>
      </c>
      <c r="D1677" s="142" t="s">
        <v>191</v>
      </c>
      <c r="E1677" s="142" t="s">
        <v>1041</v>
      </c>
      <c r="F1677" s="140"/>
      <c r="G1677" s="81">
        <f>SUM(G1678)</f>
        <v>8370.7000000000007</v>
      </c>
      <c r="H1677" s="81">
        <f>SUM(H1678)</f>
        <v>8370.7000000000007</v>
      </c>
      <c r="I1677" s="30">
        <f t="shared" si="75"/>
        <v>100</v>
      </c>
    </row>
    <row r="1678" spans="1:9" ht="20.25" customHeight="1">
      <c r="A1678" s="97" t="s">
        <v>231</v>
      </c>
      <c r="B1678" s="157"/>
      <c r="C1678" s="142" t="s">
        <v>603</v>
      </c>
      <c r="D1678" s="142" t="s">
        <v>191</v>
      </c>
      <c r="E1678" s="142" t="s">
        <v>1041</v>
      </c>
      <c r="F1678" s="140" t="s">
        <v>132</v>
      </c>
      <c r="G1678" s="81">
        <v>8370.7000000000007</v>
      </c>
      <c r="H1678" s="81">
        <v>8370.7000000000007</v>
      </c>
      <c r="I1678" s="30">
        <f t="shared" si="75"/>
        <v>100</v>
      </c>
    </row>
    <row r="1679" spans="1:9" ht="18" customHeight="1">
      <c r="A1679" s="97" t="s">
        <v>270</v>
      </c>
      <c r="B1679" s="157"/>
      <c r="C1679" s="142" t="s">
        <v>603</v>
      </c>
      <c r="D1679" s="142" t="s">
        <v>191</v>
      </c>
      <c r="E1679" s="142" t="s">
        <v>1047</v>
      </c>
      <c r="F1679" s="140"/>
      <c r="G1679" s="81">
        <f>SUM(G1680)</f>
        <v>11.9</v>
      </c>
      <c r="H1679" s="81">
        <f>SUM(H1680)</f>
        <v>11.9</v>
      </c>
      <c r="I1679" s="30">
        <f t="shared" si="75"/>
        <v>100</v>
      </c>
    </row>
    <row r="1680" spans="1:9" ht="15">
      <c r="A1680" s="97" t="s">
        <v>231</v>
      </c>
      <c r="B1680" s="157"/>
      <c r="C1680" s="142" t="s">
        <v>603</v>
      </c>
      <c r="D1680" s="142" t="s">
        <v>191</v>
      </c>
      <c r="E1680" s="142" t="s">
        <v>1047</v>
      </c>
      <c r="F1680" s="140" t="s">
        <v>132</v>
      </c>
      <c r="G1680" s="81">
        <v>11.9</v>
      </c>
      <c r="H1680" s="81">
        <v>11.9</v>
      </c>
      <c r="I1680" s="30">
        <f t="shared" si="75"/>
        <v>100</v>
      </c>
    </row>
    <row r="1681" spans="1:9" ht="17.25" customHeight="1">
      <c r="A1681" s="97" t="s">
        <v>612</v>
      </c>
      <c r="B1681" s="138"/>
      <c r="C1681" s="142" t="s">
        <v>603</v>
      </c>
      <c r="D1681" s="142" t="s">
        <v>191</v>
      </c>
      <c r="E1681" s="142" t="s">
        <v>916</v>
      </c>
      <c r="F1681" s="140"/>
      <c r="G1681" s="81">
        <f>SUM(G1682)</f>
        <v>698.6</v>
      </c>
      <c r="H1681" s="81">
        <f>SUM(H1682)</f>
        <v>698.6</v>
      </c>
      <c r="I1681" s="30">
        <f t="shared" si="75"/>
        <v>100</v>
      </c>
    </row>
    <row r="1682" spans="1:9" ht="17.25" customHeight="1">
      <c r="A1682" s="97" t="s">
        <v>955</v>
      </c>
      <c r="B1682" s="138"/>
      <c r="C1682" s="142" t="s">
        <v>603</v>
      </c>
      <c r="D1682" s="142" t="s">
        <v>191</v>
      </c>
      <c r="E1682" s="142" t="s">
        <v>917</v>
      </c>
      <c r="F1682" s="140" t="s">
        <v>440</v>
      </c>
      <c r="G1682" s="81">
        <v>698.6</v>
      </c>
      <c r="H1682" s="81">
        <v>698.6</v>
      </c>
      <c r="I1682" s="30">
        <f t="shared" si="75"/>
        <v>100</v>
      </c>
    </row>
    <row r="1683" spans="1:9" ht="15" hidden="1">
      <c r="A1683" s="98" t="s">
        <v>663</v>
      </c>
      <c r="B1683" s="138"/>
      <c r="C1683" s="142" t="s">
        <v>603</v>
      </c>
      <c r="D1683" s="142" t="s">
        <v>191</v>
      </c>
      <c r="E1683" s="142" t="s">
        <v>664</v>
      </c>
      <c r="F1683" s="140"/>
      <c r="G1683" s="81">
        <f>SUM(G1684)</f>
        <v>0</v>
      </c>
      <c r="H1683" s="81">
        <f>SUM(H1684)</f>
        <v>0</v>
      </c>
      <c r="I1683" s="30" t="e">
        <f t="shared" si="75"/>
        <v>#DIV/0!</v>
      </c>
    </row>
    <row r="1684" spans="1:9" ht="42.75" hidden="1">
      <c r="A1684" s="119" t="s">
        <v>1013</v>
      </c>
      <c r="B1684" s="138"/>
      <c r="C1684" s="142" t="s">
        <v>603</v>
      </c>
      <c r="D1684" s="142" t="s">
        <v>191</v>
      </c>
      <c r="E1684" s="142" t="s">
        <v>483</v>
      </c>
      <c r="F1684" s="140"/>
      <c r="G1684" s="81">
        <f>SUM(G1685)</f>
        <v>0</v>
      </c>
      <c r="H1684" s="81">
        <f>SUM(H1685)</f>
        <v>0</v>
      </c>
      <c r="I1684" s="30" t="e">
        <f t="shared" si="75"/>
        <v>#DIV/0!</v>
      </c>
    </row>
    <row r="1685" spans="1:9" ht="19.5" hidden="1" customHeight="1">
      <c r="A1685" s="97" t="s">
        <v>49</v>
      </c>
      <c r="B1685" s="138"/>
      <c r="C1685" s="142" t="s">
        <v>603</v>
      </c>
      <c r="D1685" s="142" t="s">
        <v>191</v>
      </c>
      <c r="E1685" s="142" t="s">
        <v>483</v>
      </c>
      <c r="F1685" s="140" t="s">
        <v>498</v>
      </c>
      <c r="G1685" s="81"/>
      <c r="H1685" s="81"/>
      <c r="I1685" s="30" t="e">
        <f t="shared" si="75"/>
        <v>#DIV/0!</v>
      </c>
    </row>
    <row r="1686" spans="1:9" ht="15" hidden="1">
      <c r="A1686" s="119" t="s">
        <v>932</v>
      </c>
      <c r="B1686" s="138"/>
      <c r="C1686" s="142" t="s">
        <v>603</v>
      </c>
      <c r="D1686" s="142" t="s">
        <v>836</v>
      </c>
      <c r="E1686" s="142" t="s">
        <v>532</v>
      </c>
      <c r="F1686" s="139"/>
      <c r="G1686" s="81">
        <f>SUM(G1687)</f>
        <v>0</v>
      </c>
      <c r="H1686" s="81">
        <f>SUM(H1687)</f>
        <v>0</v>
      </c>
      <c r="I1686" s="30" t="e">
        <f t="shared" si="75"/>
        <v>#DIV/0!</v>
      </c>
    </row>
    <row r="1687" spans="1:9" ht="28.5" hidden="1">
      <c r="A1687" s="95" t="s">
        <v>692</v>
      </c>
      <c r="B1687" s="138"/>
      <c r="C1687" s="142" t="s">
        <v>603</v>
      </c>
      <c r="D1687" s="142" t="s">
        <v>836</v>
      </c>
      <c r="E1687" s="142" t="s">
        <v>532</v>
      </c>
      <c r="F1687" s="139" t="s">
        <v>533</v>
      </c>
      <c r="G1687" s="81"/>
      <c r="H1687" s="81"/>
      <c r="I1687" s="30" t="e">
        <f t="shared" si="75"/>
        <v>#DIV/0!</v>
      </c>
    </row>
    <row r="1688" spans="1:9" ht="15">
      <c r="A1688" s="118" t="s">
        <v>473</v>
      </c>
      <c r="B1688" s="142"/>
      <c r="C1688" s="142" t="s">
        <v>603</v>
      </c>
      <c r="D1688" s="142" t="s">
        <v>603</v>
      </c>
      <c r="E1688" s="142"/>
      <c r="F1688" s="140"/>
      <c r="G1688" s="81">
        <f>SUM(G1695+G1699+G1704)+G1689+G1691</f>
        <v>115108.3</v>
      </c>
      <c r="H1688" s="81">
        <f>SUM(H1695+H1699+H1704)+H1689+H1691</f>
        <v>112962.5</v>
      </c>
      <c r="I1688" s="30">
        <f t="shared" si="75"/>
        <v>98.135842506578584</v>
      </c>
    </row>
    <row r="1689" spans="1:9" ht="42.75">
      <c r="A1689" s="118" t="s">
        <v>412</v>
      </c>
      <c r="B1689" s="142"/>
      <c r="C1689" s="142" t="s">
        <v>603</v>
      </c>
      <c r="D1689" s="142" t="s">
        <v>603</v>
      </c>
      <c r="E1689" s="142" t="s">
        <v>413</v>
      </c>
      <c r="F1689" s="140"/>
      <c r="G1689" s="81">
        <f>SUM(G1690)</f>
        <v>17927.599999999999</v>
      </c>
      <c r="H1689" s="81">
        <f>SUM(H1690)</f>
        <v>16761.900000000001</v>
      </c>
      <c r="I1689" s="30">
        <f t="shared" si="75"/>
        <v>93.497735335460419</v>
      </c>
    </row>
    <row r="1690" spans="1:9" ht="15">
      <c r="A1690" s="97" t="s">
        <v>276</v>
      </c>
      <c r="B1690" s="142"/>
      <c r="C1690" s="142" t="s">
        <v>603</v>
      </c>
      <c r="D1690" s="142" t="s">
        <v>603</v>
      </c>
      <c r="E1690" s="142" t="s">
        <v>413</v>
      </c>
      <c r="F1690" s="140" t="s">
        <v>132</v>
      </c>
      <c r="G1690" s="81">
        <v>17927.599999999999</v>
      </c>
      <c r="H1690" s="81">
        <v>16761.900000000001</v>
      </c>
      <c r="I1690" s="30">
        <f t="shared" si="75"/>
        <v>93.497735335460419</v>
      </c>
    </row>
    <row r="1691" spans="1:9" ht="42.75">
      <c r="A1691" s="97" t="s">
        <v>1043</v>
      </c>
      <c r="B1691" s="142"/>
      <c r="C1691" s="142" t="s">
        <v>603</v>
      </c>
      <c r="D1691" s="142" t="s">
        <v>603</v>
      </c>
      <c r="E1691" s="142" t="s">
        <v>1042</v>
      </c>
      <c r="F1691" s="140"/>
      <c r="G1691" s="81">
        <f>SUM(G1692)</f>
        <v>42300.3</v>
      </c>
      <c r="H1691" s="81">
        <f>SUM(H1692)</f>
        <v>41350.1</v>
      </c>
      <c r="I1691" s="30">
        <f t="shared" si="75"/>
        <v>97.753680233946312</v>
      </c>
    </row>
    <row r="1692" spans="1:9" ht="29.25" customHeight="1">
      <c r="A1692" s="97" t="s">
        <v>276</v>
      </c>
      <c r="B1692" s="142"/>
      <c r="C1692" s="142" t="s">
        <v>603</v>
      </c>
      <c r="D1692" s="142" t="s">
        <v>603</v>
      </c>
      <c r="E1692" s="142" t="s">
        <v>1042</v>
      </c>
      <c r="F1692" s="140" t="s">
        <v>132</v>
      </c>
      <c r="G1692" s="81">
        <v>42300.3</v>
      </c>
      <c r="H1692" s="81">
        <v>41350.1</v>
      </c>
      <c r="I1692" s="30">
        <f t="shared" si="75"/>
        <v>97.753680233946312</v>
      </c>
    </row>
    <row r="1693" spans="1:9" ht="33" hidden="1" customHeight="1">
      <c r="A1693" s="97"/>
      <c r="B1693" s="142"/>
      <c r="C1693" s="142"/>
      <c r="D1693" s="142"/>
      <c r="E1693" s="142"/>
      <c r="F1693" s="140"/>
      <c r="G1693" s="81"/>
      <c r="H1693" s="81"/>
      <c r="I1693" s="30" t="e">
        <f t="shared" si="75"/>
        <v>#DIV/0!</v>
      </c>
    </row>
    <row r="1694" spans="1:9" ht="18.75" hidden="1" customHeight="1">
      <c r="A1694" s="97"/>
      <c r="B1694" s="142"/>
      <c r="C1694" s="142"/>
      <c r="D1694" s="142"/>
      <c r="E1694" s="142"/>
      <c r="F1694" s="140"/>
      <c r="G1694" s="81"/>
      <c r="H1694" s="81"/>
      <c r="I1694" s="30" t="e">
        <f t="shared" si="75"/>
        <v>#DIV/0!</v>
      </c>
    </row>
    <row r="1695" spans="1:9" ht="28.5">
      <c r="A1695" s="118" t="s">
        <v>320</v>
      </c>
      <c r="B1695" s="138"/>
      <c r="C1695" s="142" t="s">
        <v>603</v>
      </c>
      <c r="D1695" s="142" t="s">
        <v>603</v>
      </c>
      <c r="E1695" s="142" t="s">
        <v>321</v>
      </c>
      <c r="F1695" s="140"/>
      <c r="G1695" s="81">
        <f>SUM(G1696)</f>
        <v>12896</v>
      </c>
      <c r="H1695" s="81">
        <f>SUM(H1696)</f>
        <v>12868.4</v>
      </c>
      <c r="I1695" s="30">
        <f t="shared" si="75"/>
        <v>99.785980148883368</v>
      </c>
    </row>
    <row r="1696" spans="1:9" ht="29.25" customHeight="1">
      <c r="A1696" s="95" t="s">
        <v>48</v>
      </c>
      <c r="B1696" s="138"/>
      <c r="C1696" s="142" t="s">
        <v>603</v>
      </c>
      <c r="D1696" s="142" t="s">
        <v>603</v>
      </c>
      <c r="E1696" s="142" t="s">
        <v>322</v>
      </c>
      <c r="F1696" s="140"/>
      <c r="G1696" s="81">
        <f>SUM(G1697:G1698)</f>
        <v>12896</v>
      </c>
      <c r="H1696" s="81">
        <f>SUM(H1697:H1698)</f>
        <v>12868.4</v>
      </c>
      <c r="I1696" s="30">
        <f t="shared" si="75"/>
        <v>99.785980148883368</v>
      </c>
    </row>
    <row r="1697" spans="1:9" ht="19.5" customHeight="1">
      <c r="A1697" s="97" t="s">
        <v>49</v>
      </c>
      <c r="B1697" s="138"/>
      <c r="C1697" s="142" t="s">
        <v>603</v>
      </c>
      <c r="D1697" s="142" t="s">
        <v>603</v>
      </c>
      <c r="E1697" s="142" t="s">
        <v>322</v>
      </c>
      <c r="F1697" s="140" t="s">
        <v>498</v>
      </c>
      <c r="G1697" s="81">
        <v>12896</v>
      </c>
      <c r="H1697" s="81">
        <v>12868.4</v>
      </c>
      <c r="I1697" s="30">
        <f t="shared" si="75"/>
        <v>99.785980148883368</v>
      </c>
    </row>
    <row r="1698" spans="1:9" ht="32.25" hidden="1" customHeight="1">
      <c r="A1698" s="95" t="s">
        <v>1010</v>
      </c>
      <c r="B1698" s="138"/>
      <c r="C1698" s="142" t="s">
        <v>603</v>
      </c>
      <c r="D1698" s="142" t="s">
        <v>603</v>
      </c>
      <c r="E1698" s="142" t="s">
        <v>322</v>
      </c>
      <c r="F1698" s="140" t="s">
        <v>480</v>
      </c>
      <c r="G1698" s="81"/>
      <c r="H1698" s="81"/>
      <c r="I1698" s="30" t="e">
        <f t="shared" si="75"/>
        <v>#DIV/0!</v>
      </c>
    </row>
    <row r="1699" spans="1:9" ht="18" hidden="1" customHeight="1">
      <c r="A1699" s="95" t="s">
        <v>932</v>
      </c>
      <c r="B1699" s="138"/>
      <c r="C1699" s="142" t="s">
        <v>603</v>
      </c>
      <c r="D1699" s="142" t="s">
        <v>603</v>
      </c>
      <c r="E1699" s="142" t="s">
        <v>933</v>
      </c>
      <c r="F1699" s="140"/>
      <c r="G1699" s="81">
        <f>SUM(G1700+G1702)</f>
        <v>0</v>
      </c>
      <c r="H1699" s="81">
        <f>SUM(H1700+H1702)</f>
        <v>0</v>
      </c>
      <c r="I1699" s="30" t="e">
        <f t="shared" si="75"/>
        <v>#DIV/0!</v>
      </c>
    </row>
    <row r="1700" spans="1:9" ht="33" hidden="1" customHeight="1">
      <c r="A1700" s="97" t="s">
        <v>1012</v>
      </c>
      <c r="B1700" s="109"/>
      <c r="C1700" s="142" t="s">
        <v>603</v>
      </c>
      <c r="D1700" s="142" t="s">
        <v>603</v>
      </c>
      <c r="E1700" s="142" t="s">
        <v>570</v>
      </c>
      <c r="F1700" s="141"/>
      <c r="G1700" s="81">
        <f>SUM(G1701)</f>
        <v>0</v>
      </c>
      <c r="H1700" s="81">
        <f>SUM(H1701)</f>
        <v>0</v>
      </c>
      <c r="I1700" s="30" t="e">
        <f t="shared" si="75"/>
        <v>#DIV/0!</v>
      </c>
    </row>
    <row r="1701" spans="1:9" ht="27" hidden="1" customHeight="1">
      <c r="A1701" s="95" t="s">
        <v>692</v>
      </c>
      <c r="B1701" s="109"/>
      <c r="C1701" s="142" t="s">
        <v>603</v>
      </c>
      <c r="D1701" s="142" t="s">
        <v>603</v>
      </c>
      <c r="E1701" s="142" t="s">
        <v>570</v>
      </c>
      <c r="F1701" s="141" t="s">
        <v>569</v>
      </c>
      <c r="G1701" s="81"/>
      <c r="H1701" s="81"/>
      <c r="I1701" s="30" t="e">
        <f t="shared" si="75"/>
        <v>#DIV/0!</v>
      </c>
    </row>
    <row r="1702" spans="1:9" ht="30.75" hidden="1" customHeight="1">
      <c r="A1702" s="95" t="s">
        <v>465</v>
      </c>
      <c r="B1702" s="138"/>
      <c r="C1702" s="142" t="s">
        <v>603</v>
      </c>
      <c r="D1702" s="142" t="s">
        <v>603</v>
      </c>
      <c r="E1702" s="142" t="s">
        <v>466</v>
      </c>
      <c r="F1702" s="140"/>
      <c r="G1702" s="81">
        <f>SUM(G1703)</f>
        <v>0</v>
      </c>
      <c r="H1702" s="81">
        <f>SUM(H1703)</f>
        <v>0</v>
      </c>
      <c r="I1702" s="30" t="e">
        <f t="shared" si="75"/>
        <v>#DIV/0!</v>
      </c>
    </row>
    <row r="1703" spans="1:9" ht="21" hidden="1" customHeight="1">
      <c r="A1703" s="95" t="s">
        <v>692</v>
      </c>
      <c r="B1703" s="138"/>
      <c r="C1703" s="142" t="s">
        <v>603</v>
      </c>
      <c r="D1703" s="142" t="s">
        <v>603</v>
      </c>
      <c r="E1703" s="142" t="s">
        <v>466</v>
      </c>
      <c r="F1703" s="140" t="s">
        <v>569</v>
      </c>
      <c r="G1703" s="81"/>
      <c r="H1703" s="81"/>
      <c r="I1703" s="30" t="e">
        <f t="shared" si="75"/>
        <v>#DIV/0!</v>
      </c>
    </row>
    <row r="1704" spans="1:9" ht="23.25" customHeight="1">
      <c r="A1704" s="97" t="s">
        <v>200</v>
      </c>
      <c r="B1704" s="142"/>
      <c r="C1704" s="142" t="s">
        <v>603</v>
      </c>
      <c r="D1704" s="142" t="s">
        <v>603</v>
      </c>
      <c r="E1704" s="142" t="s">
        <v>201</v>
      </c>
      <c r="F1704" s="140"/>
      <c r="G1704" s="81">
        <f>SUM(G1705+G1709)+G1711+G1713+G1715</f>
        <v>41984.4</v>
      </c>
      <c r="H1704" s="81">
        <f>SUM(H1705+H1709)+H1711+H1713+H1715</f>
        <v>41982.1</v>
      </c>
      <c r="I1704" s="30">
        <f t="shared" si="75"/>
        <v>99.994521774754432</v>
      </c>
    </row>
    <row r="1705" spans="1:9" ht="22.5" hidden="1" customHeight="1">
      <c r="A1705" s="95" t="s">
        <v>651</v>
      </c>
      <c r="B1705" s="142"/>
      <c r="C1705" s="142" t="s">
        <v>603</v>
      </c>
      <c r="D1705" s="142" t="s">
        <v>603</v>
      </c>
      <c r="E1705" s="142" t="s">
        <v>201</v>
      </c>
      <c r="F1705" s="140" t="s">
        <v>569</v>
      </c>
      <c r="G1705" s="81"/>
      <c r="H1705" s="81"/>
      <c r="I1705" s="30" t="e">
        <f t="shared" si="75"/>
        <v>#DIV/0!</v>
      </c>
    </row>
    <row r="1706" spans="1:9" ht="35.25" hidden="1" customHeight="1">
      <c r="A1706" s="95" t="s">
        <v>467</v>
      </c>
      <c r="B1706" s="175"/>
      <c r="C1706" s="142" t="s">
        <v>603</v>
      </c>
      <c r="D1706" s="142" t="s">
        <v>603</v>
      </c>
      <c r="E1706" s="142" t="s">
        <v>468</v>
      </c>
      <c r="F1706" s="140"/>
      <c r="G1706" s="81"/>
      <c r="H1706" s="81"/>
      <c r="I1706" s="30" t="e">
        <f t="shared" si="75"/>
        <v>#DIV/0!</v>
      </c>
    </row>
    <row r="1707" spans="1:9" ht="19.5" hidden="1" customHeight="1">
      <c r="A1707" s="95" t="s">
        <v>467</v>
      </c>
      <c r="B1707" s="175"/>
      <c r="C1707" s="142" t="s">
        <v>603</v>
      </c>
      <c r="D1707" s="142" t="s">
        <v>603</v>
      </c>
      <c r="E1707" s="142" t="s">
        <v>468</v>
      </c>
      <c r="F1707" s="140" t="s">
        <v>569</v>
      </c>
      <c r="G1707" s="82"/>
      <c r="H1707" s="82"/>
      <c r="I1707" s="30" t="e">
        <f t="shared" si="75"/>
        <v>#DIV/0!</v>
      </c>
    </row>
    <row r="1708" spans="1:9" ht="47.25" hidden="1" customHeight="1">
      <c r="A1708" s="95" t="s">
        <v>596</v>
      </c>
      <c r="B1708" s="175"/>
      <c r="C1708" s="142" t="s">
        <v>603</v>
      </c>
      <c r="D1708" s="142" t="s">
        <v>603</v>
      </c>
      <c r="E1708" s="142" t="s">
        <v>597</v>
      </c>
      <c r="F1708" s="140" t="s">
        <v>569</v>
      </c>
      <c r="G1708" s="82"/>
      <c r="H1708" s="82"/>
      <c r="I1708" s="30" t="e">
        <f t="shared" si="75"/>
        <v>#DIV/0!</v>
      </c>
    </row>
    <row r="1709" spans="1:9" ht="19.5" hidden="1" customHeight="1" thickBot="1">
      <c r="A1709" s="95" t="s">
        <v>1014</v>
      </c>
      <c r="B1709" s="175"/>
      <c r="C1709" s="142" t="s">
        <v>603</v>
      </c>
      <c r="D1709" s="142" t="s">
        <v>603</v>
      </c>
      <c r="E1709" s="142" t="s">
        <v>755</v>
      </c>
      <c r="F1709" s="140"/>
      <c r="G1709" s="82">
        <f>SUM(G1710)</f>
        <v>0</v>
      </c>
      <c r="H1709" s="82">
        <f>SUM(H1710)</f>
        <v>0</v>
      </c>
      <c r="I1709" s="30" t="e">
        <f t="shared" si="75"/>
        <v>#DIV/0!</v>
      </c>
    </row>
    <row r="1710" spans="1:9" ht="30" hidden="1" customHeight="1" thickBot="1">
      <c r="A1710" s="97" t="s">
        <v>276</v>
      </c>
      <c r="B1710" s="138"/>
      <c r="C1710" s="142" t="s">
        <v>603</v>
      </c>
      <c r="D1710" s="142" t="s">
        <v>603</v>
      </c>
      <c r="E1710" s="142" t="s">
        <v>755</v>
      </c>
      <c r="F1710" s="141" t="s">
        <v>132</v>
      </c>
      <c r="G1710" s="81"/>
      <c r="H1710" s="81"/>
      <c r="I1710" s="30" t="e">
        <f t="shared" si="75"/>
        <v>#DIV/0!</v>
      </c>
    </row>
    <row r="1711" spans="1:9" ht="42.75">
      <c r="A1711" s="115" t="s">
        <v>888</v>
      </c>
      <c r="B1711" s="154"/>
      <c r="C1711" s="154" t="s">
        <v>603</v>
      </c>
      <c r="D1711" s="142" t="s">
        <v>603</v>
      </c>
      <c r="E1711" s="154" t="s">
        <v>695</v>
      </c>
      <c r="F1711" s="144"/>
      <c r="G1711" s="82">
        <f>SUM(G1712)</f>
        <v>319</v>
      </c>
      <c r="H1711" s="82">
        <f>SUM(H1712)</f>
        <v>319</v>
      </c>
      <c r="I1711" s="30">
        <f t="shared" si="75"/>
        <v>100</v>
      </c>
    </row>
    <row r="1712" spans="1:9" ht="22.5" customHeight="1">
      <c r="A1712" s="97" t="s">
        <v>276</v>
      </c>
      <c r="B1712" s="154"/>
      <c r="C1712" s="154" t="s">
        <v>603</v>
      </c>
      <c r="D1712" s="142" t="s">
        <v>603</v>
      </c>
      <c r="E1712" s="154" t="s">
        <v>695</v>
      </c>
      <c r="F1712" s="141" t="s">
        <v>132</v>
      </c>
      <c r="G1712" s="82">
        <v>319</v>
      </c>
      <c r="H1712" s="82">
        <v>319</v>
      </c>
      <c r="I1712" s="30">
        <f t="shared" si="75"/>
        <v>100</v>
      </c>
    </row>
    <row r="1713" spans="1:9" ht="33" customHeight="1">
      <c r="A1713" s="115" t="s">
        <v>889</v>
      </c>
      <c r="B1713" s="154"/>
      <c r="C1713" s="154" t="s">
        <v>603</v>
      </c>
      <c r="D1713" s="142" t="s">
        <v>603</v>
      </c>
      <c r="E1713" s="154" t="s">
        <v>696</v>
      </c>
      <c r="F1713" s="144"/>
      <c r="G1713" s="82">
        <f>SUM(G1714)</f>
        <v>497</v>
      </c>
      <c r="H1713" s="82">
        <f>SUM(H1714)</f>
        <v>496.7</v>
      </c>
      <c r="I1713" s="30">
        <f t="shared" si="75"/>
        <v>99.939637826961771</v>
      </c>
    </row>
    <row r="1714" spans="1:9" ht="30" customHeight="1">
      <c r="A1714" s="97" t="s">
        <v>276</v>
      </c>
      <c r="B1714" s="154"/>
      <c r="C1714" s="154" t="s">
        <v>603</v>
      </c>
      <c r="D1714" s="142" t="s">
        <v>603</v>
      </c>
      <c r="E1714" s="154" t="s">
        <v>696</v>
      </c>
      <c r="F1714" s="141" t="s">
        <v>132</v>
      </c>
      <c r="G1714" s="82">
        <v>497</v>
      </c>
      <c r="H1714" s="82">
        <v>496.7</v>
      </c>
      <c r="I1714" s="30">
        <f t="shared" si="75"/>
        <v>99.939637826961771</v>
      </c>
    </row>
    <row r="1715" spans="1:9" ht="42.75">
      <c r="A1715" s="97" t="s">
        <v>1060</v>
      </c>
      <c r="B1715" s="154"/>
      <c r="C1715" s="154" t="s">
        <v>603</v>
      </c>
      <c r="D1715" s="142" t="s">
        <v>603</v>
      </c>
      <c r="E1715" s="154" t="s">
        <v>257</v>
      </c>
      <c r="F1715" s="141"/>
      <c r="G1715" s="82">
        <f>SUM(G1716)</f>
        <v>41168.400000000001</v>
      </c>
      <c r="H1715" s="82">
        <f>SUM(H1716)</f>
        <v>41166.400000000001</v>
      </c>
      <c r="I1715" s="30">
        <f t="shared" ref="I1715:I1721" si="76">SUM(H1715/G1715*100)</f>
        <v>99.995141904956228</v>
      </c>
    </row>
    <row r="1716" spans="1:9" ht="18.75" customHeight="1" thickBot="1">
      <c r="A1716" s="97" t="s">
        <v>276</v>
      </c>
      <c r="B1716" s="154"/>
      <c r="C1716" s="154" t="s">
        <v>603</v>
      </c>
      <c r="D1716" s="142" t="s">
        <v>603</v>
      </c>
      <c r="E1716" s="154" t="s">
        <v>257</v>
      </c>
      <c r="F1716" s="141" t="s">
        <v>132</v>
      </c>
      <c r="G1716" s="82">
        <v>41168.400000000001</v>
      </c>
      <c r="H1716" s="82">
        <v>41166.400000000001</v>
      </c>
      <c r="I1716" s="30">
        <f t="shared" si="76"/>
        <v>99.995141904956228</v>
      </c>
    </row>
    <row r="1717" spans="1:9" ht="1.5" hidden="1" customHeight="1" thickBot="1">
      <c r="A1717" s="115" t="s">
        <v>697</v>
      </c>
      <c r="B1717" s="154"/>
      <c r="C1717" s="154" t="s">
        <v>603</v>
      </c>
      <c r="D1717" s="154" t="s">
        <v>940</v>
      </c>
      <c r="E1717" s="154" t="s">
        <v>112</v>
      </c>
      <c r="F1717" s="144" t="s">
        <v>569</v>
      </c>
      <c r="G1717" s="82"/>
      <c r="H1717" s="82"/>
      <c r="I1717" s="20" t="e">
        <f t="shared" si="76"/>
        <v>#DIV/0!</v>
      </c>
    </row>
    <row r="1718" spans="1:9" ht="21.75" hidden="1" customHeight="1" thickBot="1">
      <c r="A1718" s="115" t="s">
        <v>113</v>
      </c>
      <c r="B1718" s="154"/>
      <c r="C1718" s="154" t="s">
        <v>603</v>
      </c>
      <c r="D1718" s="154" t="s">
        <v>940</v>
      </c>
      <c r="E1718" s="154" t="s">
        <v>114</v>
      </c>
      <c r="F1718" s="144" t="s">
        <v>569</v>
      </c>
      <c r="G1718" s="82"/>
      <c r="H1718" s="82"/>
      <c r="I1718" s="20" t="e">
        <f t="shared" si="76"/>
        <v>#DIV/0!</v>
      </c>
    </row>
    <row r="1719" spans="1:9" ht="29.25" hidden="1" thickBot="1">
      <c r="A1719" s="98" t="s">
        <v>698</v>
      </c>
      <c r="B1719" s="154"/>
      <c r="C1719" s="154" t="s">
        <v>603</v>
      </c>
      <c r="D1719" s="154" t="s">
        <v>940</v>
      </c>
      <c r="E1719" s="154" t="s">
        <v>699</v>
      </c>
      <c r="F1719" s="144" t="s">
        <v>569</v>
      </c>
      <c r="G1719" s="82"/>
      <c r="H1719" s="82"/>
      <c r="I1719" s="20" t="e">
        <f t="shared" si="76"/>
        <v>#DIV/0!</v>
      </c>
    </row>
    <row r="1720" spans="1:9" ht="12" hidden="1" customHeight="1" thickBot="1">
      <c r="A1720" s="176" t="s">
        <v>337</v>
      </c>
      <c r="B1720" s="177"/>
      <c r="C1720" s="177" t="s">
        <v>603</v>
      </c>
      <c r="D1720" s="177" t="s">
        <v>940</v>
      </c>
      <c r="E1720" s="177" t="s">
        <v>338</v>
      </c>
      <c r="F1720" s="178" t="s">
        <v>569</v>
      </c>
      <c r="G1720" s="189"/>
      <c r="H1720" s="189"/>
      <c r="I1720" s="39" t="e">
        <f t="shared" si="76"/>
        <v>#DIV/0!</v>
      </c>
    </row>
    <row r="1721" spans="1:9" ht="26.25" customHeight="1" thickBot="1">
      <c r="A1721" s="130" t="s">
        <v>303</v>
      </c>
      <c r="B1721" s="179"/>
      <c r="C1721" s="180"/>
      <c r="D1721" s="180"/>
      <c r="E1721" s="180"/>
      <c r="F1721" s="181"/>
      <c r="G1721" s="190">
        <f>SUM(G11+G41+G235+G706+G743+G1037+G1222+G1245+G1501+G1601+G1129+G57)</f>
        <v>3915260.8</v>
      </c>
      <c r="H1721" s="190">
        <f>SUM(H11+H41+H235+H706+H743+H1037+H1222+H1245+H1501+H1601+H1129+H57)</f>
        <v>3816151.9</v>
      </c>
      <c r="I1721" s="363">
        <f t="shared" si="76"/>
        <v>97.468651385879582</v>
      </c>
    </row>
    <row r="1722" spans="1:9" ht="19.5" hidden="1" customHeight="1" thickBot="1">
      <c r="A1722" s="108" t="s">
        <v>304</v>
      </c>
      <c r="B1722" s="76"/>
      <c r="C1722" s="77"/>
      <c r="D1722" s="76"/>
      <c r="E1722" s="76"/>
      <c r="F1722" s="78"/>
      <c r="G1722" s="51">
        <f>-76000-174.5-350</f>
        <v>-76524.5</v>
      </c>
    </row>
    <row r="1723" spans="1:9" ht="10.5" customHeight="1">
      <c r="G1723" s="101"/>
    </row>
    <row r="1724" spans="1:9" hidden="1">
      <c r="G1724" s="102">
        <v>3766018.5</v>
      </c>
    </row>
    <row r="1725" spans="1:9" hidden="1"/>
    <row r="1726" spans="1:9" hidden="1">
      <c r="G1726" s="102">
        <f>SUM(G1721-G1724)</f>
        <v>149242.29999999981</v>
      </c>
    </row>
    <row r="1727" spans="1:9" hidden="1">
      <c r="G1727" s="133"/>
    </row>
    <row r="1728" spans="1:9" hidden="1"/>
    <row r="1729" spans="7:7" hidden="1">
      <c r="G1729" s="133">
        <f>SUM(G1726-G1728)</f>
        <v>149242.29999999981</v>
      </c>
    </row>
    <row r="1730" spans="7:7" hidden="1"/>
    <row r="1731" spans="7:7" hidden="1">
      <c r="G1731" s="133">
        <f>3915644.5-383.6-G1721</f>
        <v>0.10000000009313226</v>
      </c>
    </row>
  </sheetData>
  <mergeCells count="2">
    <mergeCell ref="F5:G5"/>
    <mergeCell ref="A9:A10"/>
  </mergeCells>
  <phoneticPr fontId="25" type="noConversion"/>
  <pageMargins left="1.0629921259842521" right="0.15748031496062992" top="0.15748031496062992" bottom="3.937007874015748E-2" header="0.51181102362204722" footer="0.23622047244094491"/>
  <pageSetup paperSize="9" scale="55" fitToHeight="14" orientation="portrait" r:id="rId1"/>
  <headerFooter alignWithMargins="0"/>
  <ignoredErrors>
    <ignoredError sqref="B11 C12:C14 D13:D1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workbookViewId="0">
      <selection activeCell="D1" sqref="D1:D2"/>
    </sheetView>
  </sheetViews>
  <sheetFormatPr defaultRowHeight="12.75"/>
  <cols>
    <col min="1" max="1" width="54.85546875" style="261" customWidth="1"/>
    <col min="2" max="2" width="22.42578125" style="261" customWidth="1"/>
    <col min="3" max="3" width="18.140625" style="261" customWidth="1"/>
    <col min="4" max="4" width="16.140625" style="261" customWidth="1"/>
    <col min="5" max="256" width="9.140625" style="261"/>
    <col min="257" max="257" width="54.85546875" style="261" customWidth="1"/>
    <col min="258" max="258" width="22.42578125" style="261" customWidth="1"/>
    <col min="259" max="260" width="0" style="261" hidden="1" customWidth="1"/>
    <col min="261" max="512" width="9.140625" style="261"/>
    <col min="513" max="513" width="54.85546875" style="261" customWidth="1"/>
    <col min="514" max="514" width="22.42578125" style="261" customWidth="1"/>
    <col min="515" max="516" width="0" style="261" hidden="1" customWidth="1"/>
    <col min="517" max="768" width="9.140625" style="261"/>
    <col min="769" max="769" width="54.85546875" style="261" customWidth="1"/>
    <col min="770" max="770" width="22.42578125" style="261" customWidth="1"/>
    <col min="771" max="772" width="0" style="261" hidden="1" customWidth="1"/>
    <col min="773" max="1024" width="9.140625" style="261"/>
    <col min="1025" max="1025" width="54.85546875" style="261" customWidth="1"/>
    <col min="1026" max="1026" width="22.42578125" style="261" customWidth="1"/>
    <col min="1027" max="1028" width="0" style="261" hidden="1" customWidth="1"/>
    <col min="1029" max="1280" width="9.140625" style="261"/>
    <col min="1281" max="1281" width="54.85546875" style="261" customWidth="1"/>
    <col min="1282" max="1282" width="22.42578125" style="261" customWidth="1"/>
    <col min="1283" max="1284" width="0" style="261" hidden="1" customWidth="1"/>
    <col min="1285" max="1536" width="9.140625" style="261"/>
    <col min="1537" max="1537" width="54.85546875" style="261" customWidth="1"/>
    <col min="1538" max="1538" width="22.42578125" style="261" customWidth="1"/>
    <col min="1539" max="1540" width="0" style="261" hidden="1" customWidth="1"/>
    <col min="1541" max="1792" width="9.140625" style="261"/>
    <col min="1793" max="1793" width="54.85546875" style="261" customWidth="1"/>
    <col min="1794" max="1794" width="22.42578125" style="261" customWidth="1"/>
    <col min="1795" max="1796" width="0" style="261" hidden="1" customWidth="1"/>
    <col min="1797" max="2048" width="9.140625" style="261"/>
    <col min="2049" max="2049" width="54.85546875" style="261" customWidth="1"/>
    <col min="2050" max="2050" width="22.42578125" style="261" customWidth="1"/>
    <col min="2051" max="2052" width="0" style="261" hidden="1" customWidth="1"/>
    <col min="2053" max="2304" width="9.140625" style="261"/>
    <col min="2305" max="2305" width="54.85546875" style="261" customWidth="1"/>
    <col min="2306" max="2306" width="22.42578125" style="261" customWidth="1"/>
    <col min="2307" max="2308" width="0" style="261" hidden="1" customWidth="1"/>
    <col min="2309" max="2560" width="9.140625" style="261"/>
    <col min="2561" max="2561" width="54.85546875" style="261" customWidth="1"/>
    <col min="2562" max="2562" width="22.42578125" style="261" customWidth="1"/>
    <col min="2563" max="2564" width="0" style="261" hidden="1" customWidth="1"/>
    <col min="2565" max="2816" width="9.140625" style="261"/>
    <col min="2817" max="2817" width="54.85546875" style="261" customWidth="1"/>
    <col min="2818" max="2818" width="22.42578125" style="261" customWidth="1"/>
    <col min="2819" max="2820" width="0" style="261" hidden="1" customWidth="1"/>
    <col min="2821" max="3072" width="9.140625" style="261"/>
    <col min="3073" max="3073" width="54.85546875" style="261" customWidth="1"/>
    <col min="3074" max="3074" width="22.42578125" style="261" customWidth="1"/>
    <col min="3075" max="3076" width="0" style="261" hidden="1" customWidth="1"/>
    <col min="3077" max="3328" width="9.140625" style="261"/>
    <col min="3329" max="3329" width="54.85546875" style="261" customWidth="1"/>
    <col min="3330" max="3330" width="22.42578125" style="261" customWidth="1"/>
    <col min="3331" max="3332" width="0" style="261" hidden="1" customWidth="1"/>
    <col min="3333" max="3584" width="9.140625" style="261"/>
    <col min="3585" max="3585" width="54.85546875" style="261" customWidth="1"/>
    <col min="3586" max="3586" width="22.42578125" style="261" customWidth="1"/>
    <col min="3587" max="3588" width="0" style="261" hidden="1" customWidth="1"/>
    <col min="3589" max="3840" width="9.140625" style="261"/>
    <col min="3841" max="3841" width="54.85546875" style="261" customWidth="1"/>
    <col min="3842" max="3842" width="22.42578125" style="261" customWidth="1"/>
    <col min="3843" max="3844" width="0" style="261" hidden="1" customWidth="1"/>
    <col min="3845" max="4096" width="9.140625" style="261"/>
    <col min="4097" max="4097" width="54.85546875" style="261" customWidth="1"/>
    <col min="4098" max="4098" width="22.42578125" style="261" customWidth="1"/>
    <col min="4099" max="4100" width="0" style="261" hidden="1" customWidth="1"/>
    <col min="4101" max="4352" width="9.140625" style="261"/>
    <col min="4353" max="4353" width="54.85546875" style="261" customWidth="1"/>
    <col min="4354" max="4354" width="22.42578125" style="261" customWidth="1"/>
    <col min="4355" max="4356" width="0" style="261" hidden="1" customWidth="1"/>
    <col min="4357" max="4608" width="9.140625" style="261"/>
    <col min="4609" max="4609" width="54.85546875" style="261" customWidth="1"/>
    <col min="4610" max="4610" width="22.42578125" style="261" customWidth="1"/>
    <col min="4611" max="4612" width="0" style="261" hidden="1" customWidth="1"/>
    <col min="4613" max="4864" width="9.140625" style="261"/>
    <col min="4865" max="4865" width="54.85546875" style="261" customWidth="1"/>
    <col min="4866" max="4866" width="22.42578125" style="261" customWidth="1"/>
    <col min="4867" max="4868" width="0" style="261" hidden="1" customWidth="1"/>
    <col min="4869" max="5120" width="9.140625" style="261"/>
    <col min="5121" max="5121" width="54.85546875" style="261" customWidth="1"/>
    <col min="5122" max="5122" width="22.42578125" style="261" customWidth="1"/>
    <col min="5123" max="5124" width="0" style="261" hidden="1" customWidth="1"/>
    <col min="5125" max="5376" width="9.140625" style="261"/>
    <col min="5377" max="5377" width="54.85546875" style="261" customWidth="1"/>
    <col min="5378" max="5378" width="22.42578125" style="261" customWidth="1"/>
    <col min="5379" max="5380" width="0" style="261" hidden="1" customWidth="1"/>
    <col min="5381" max="5632" width="9.140625" style="261"/>
    <col min="5633" max="5633" width="54.85546875" style="261" customWidth="1"/>
    <col min="5634" max="5634" width="22.42578125" style="261" customWidth="1"/>
    <col min="5635" max="5636" width="0" style="261" hidden="1" customWidth="1"/>
    <col min="5637" max="5888" width="9.140625" style="261"/>
    <col min="5889" max="5889" width="54.85546875" style="261" customWidth="1"/>
    <col min="5890" max="5890" width="22.42578125" style="261" customWidth="1"/>
    <col min="5891" max="5892" width="0" style="261" hidden="1" customWidth="1"/>
    <col min="5893" max="6144" width="9.140625" style="261"/>
    <col min="6145" max="6145" width="54.85546875" style="261" customWidth="1"/>
    <col min="6146" max="6146" width="22.42578125" style="261" customWidth="1"/>
    <col min="6147" max="6148" width="0" style="261" hidden="1" customWidth="1"/>
    <col min="6149" max="6400" width="9.140625" style="261"/>
    <col min="6401" max="6401" width="54.85546875" style="261" customWidth="1"/>
    <col min="6402" max="6402" width="22.42578125" style="261" customWidth="1"/>
    <col min="6403" max="6404" width="0" style="261" hidden="1" customWidth="1"/>
    <col min="6405" max="6656" width="9.140625" style="261"/>
    <col min="6657" max="6657" width="54.85546875" style="261" customWidth="1"/>
    <col min="6658" max="6658" width="22.42578125" style="261" customWidth="1"/>
    <col min="6659" max="6660" width="0" style="261" hidden="1" customWidth="1"/>
    <col min="6661" max="6912" width="9.140625" style="261"/>
    <col min="6913" max="6913" width="54.85546875" style="261" customWidth="1"/>
    <col min="6914" max="6914" width="22.42578125" style="261" customWidth="1"/>
    <col min="6915" max="6916" width="0" style="261" hidden="1" customWidth="1"/>
    <col min="6917" max="7168" width="9.140625" style="261"/>
    <col min="7169" max="7169" width="54.85546875" style="261" customWidth="1"/>
    <col min="7170" max="7170" width="22.42578125" style="261" customWidth="1"/>
    <col min="7171" max="7172" width="0" style="261" hidden="1" customWidth="1"/>
    <col min="7173" max="7424" width="9.140625" style="261"/>
    <col min="7425" max="7425" width="54.85546875" style="261" customWidth="1"/>
    <col min="7426" max="7426" width="22.42578125" style="261" customWidth="1"/>
    <col min="7427" max="7428" width="0" style="261" hidden="1" customWidth="1"/>
    <col min="7429" max="7680" width="9.140625" style="261"/>
    <col min="7681" max="7681" width="54.85546875" style="261" customWidth="1"/>
    <col min="7682" max="7682" width="22.42578125" style="261" customWidth="1"/>
    <col min="7683" max="7684" width="0" style="261" hidden="1" customWidth="1"/>
    <col min="7685" max="7936" width="9.140625" style="261"/>
    <col min="7937" max="7937" width="54.85546875" style="261" customWidth="1"/>
    <col min="7938" max="7938" width="22.42578125" style="261" customWidth="1"/>
    <col min="7939" max="7940" width="0" style="261" hidden="1" customWidth="1"/>
    <col min="7941" max="8192" width="9.140625" style="261"/>
    <col min="8193" max="8193" width="54.85546875" style="261" customWidth="1"/>
    <col min="8194" max="8194" width="22.42578125" style="261" customWidth="1"/>
    <col min="8195" max="8196" width="0" style="261" hidden="1" customWidth="1"/>
    <col min="8197" max="8448" width="9.140625" style="261"/>
    <col min="8449" max="8449" width="54.85546875" style="261" customWidth="1"/>
    <col min="8450" max="8450" width="22.42578125" style="261" customWidth="1"/>
    <col min="8451" max="8452" width="0" style="261" hidden="1" customWidth="1"/>
    <col min="8453" max="8704" width="9.140625" style="261"/>
    <col min="8705" max="8705" width="54.85546875" style="261" customWidth="1"/>
    <col min="8706" max="8706" width="22.42578125" style="261" customWidth="1"/>
    <col min="8707" max="8708" width="0" style="261" hidden="1" customWidth="1"/>
    <col min="8709" max="8960" width="9.140625" style="261"/>
    <col min="8961" max="8961" width="54.85546875" style="261" customWidth="1"/>
    <col min="8962" max="8962" width="22.42578125" style="261" customWidth="1"/>
    <col min="8963" max="8964" width="0" style="261" hidden="1" customWidth="1"/>
    <col min="8965" max="9216" width="9.140625" style="261"/>
    <col min="9217" max="9217" width="54.85546875" style="261" customWidth="1"/>
    <col min="9218" max="9218" width="22.42578125" style="261" customWidth="1"/>
    <col min="9219" max="9220" width="0" style="261" hidden="1" customWidth="1"/>
    <col min="9221" max="9472" width="9.140625" style="261"/>
    <col min="9473" max="9473" width="54.85546875" style="261" customWidth="1"/>
    <col min="9474" max="9474" width="22.42578125" style="261" customWidth="1"/>
    <col min="9475" max="9476" width="0" style="261" hidden="1" customWidth="1"/>
    <col min="9477" max="9728" width="9.140625" style="261"/>
    <col min="9729" max="9729" width="54.85546875" style="261" customWidth="1"/>
    <col min="9730" max="9730" width="22.42578125" style="261" customWidth="1"/>
    <col min="9731" max="9732" width="0" style="261" hidden="1" customWidth="1"/>
    <col min="9733" max="9984" width="9.140625" style="261"/>
    <col min="9985" max="9985" width="54.85546875" style="261" customWidth="1"/>
    <col min="9986" max="9986" width="22.42578125" style="261" customWidth="1"/>
    <col min="9987" max="9988" width="0" style="261" hidden="1" customWidth="1"/>
    <col min="9989" max="10240" width="9.140625" style="261"/>
    <col min="10241" max="10241" width="54.85546875" style="261" customWidth="1"/>
    <col min="10242" max="10242" width="22.42578125" style="261" customWidth="1"/>
    <col min="10243" max="10244" width="0" style="261" hidden="1" customWidth="1"/>
    <col min="10245" max="10496" width="9.140625" style="261"/>
    <col min="10497" max="10497" width="54.85546875" style="261" customWidth="1"/>
    <col min="10498" max="10498" width="22.42578125" style="261" customWidth="1"/>
    <col min="10499" max="10500" width="0" style="261" hidden="1" customWidth="1"/>
    <col min="10501" max="10752" width="9.140625" style="261"/>
    <col min="10753" max="10753" width="54.85546875" style="261" customWidth="1"/>
    <col min="10754" max="10754" width="22.42578125" style="261" customWidth="1"/>
    <col min="10755" max="10756" width="0" style="261" hidden="1" customWidth="1"/>
    <col min="10757" max="11008" width="9.140625" style="261"/>
    <col min="11009" max="11009" width="54.85546875" style="261" customWidth="1"/>
    <col min="11010" max="11010" width="22.42578125" style="261" customWidth="1"/>
    <col min="11011" max="11012" width="0" style="261" hidden="1" customWidth="1"/>
    <col min="11013" max="11264" width="9.140625" style="261"/>
    <col min="11265" max="11265" width="54.85546875" style="261" customWidth="1"/>
    <col min="11266" max="11266" width="22.42578125" style="261" customWidth="1"/>
    <col min="11267" max="11268" width="0" style="261" hidden="1" customWidth="1"/>
    <col min="11269" max="11520" width="9.140625" style="261"/>
    <col min="11521" max="11521" width="54.85546875" style="261" customWidth="1"/>
    <col min="11522" max="11522" width="22.42578125" style="261" customWidth="1"/>
    <col min="11523" max="11524" width="0" style="261" hidden="1" customWidth="1"/>
    <col min="11525" max="11776" width="9.140625" style="261"/>
    <col min="11777" max="11777" width="54.85546875" style="261" customWidth="1"/>
    <col min="11778" max="11778" width="22.42578125" style="261" customWidth="1"/>
    <col min="11779" max="11780" width="0" style="261" hidden="1" customWidth="1"/>
    <col min="11781" max="12032" width="9.140625" style="261"/>
    <col min="12033" max="12033" width="54.85546875" style="261" customWidth="1"/>
    <col min="12034" max="12034" width="22.42578125" style="261" customWidth="1"/>
    <col min="12035" max="12036" width="0" style="261" hidden="1" customWidth="1"/>
    <col min="12037" max="12288" width="9.140625" style="261"/>
    <col min="12289" max="12289" width="54.85546875" style="261" customWidth="1"/>
    <col min="12290" max="12290" width="22.42578125" style="261" customWidth="1"/>
    <col min="12291" max="12292" width="0" style="261" hidden="1" customWidth="1"/>
    <col min="12293" max="12544" width="9.140625" style="261"/>
    <col min="12545" max="12545" width="54.85546875" style="261" customWidth="1"/>
    <col min="12546" max="12546" width="22.42578125" style="261" customWidth="1"/>
    <col min="12547" max="12548" width="0" style="261" hidden="1" customWidth="1"/>
    <col min="12549" max="12800" width="9.140625" style="261"/>
    <col min="12801" max="12801" width="54.85546875" style="261" customWidth="1"/>
    <col min="12802" max="12802" width="22.42578125" style="261" customWidth="1"/>
    <col min="12803" max="12804" width="0" style="261" hidden="1" customWidth="1"/>
    <col min="12805" max="13056" width="9.140625" style="261"/>
    <col min="13057" max="13057" width="54.85546875" style="261" customWidth="1"/>
    <col min="13058" max="13058" width="22.42578125" style="261" customWidth="1"/>
    <col min="13059" max="13060" width="0" style="261" hidden="1" customWidth="1"/>
    <col min="13061" max="13312" width="9.140625" style="261"/>
    <col min="13313" max="13313" width="54.85546875" style="261" customWidth="1"/>
    <col min="13314" max="13314" width="22.42578125" style="261" customWidth="1"/>
    <col min="13315" max="13316" width="0" style="261" hidden="1" customWidth="1"/>
    <col min="13317" max="13568" width="9.140625" style="261"/>
    <col min="13569" max="13569" width="54.85546875" style="261" customWidth="1"/>
    <col min="13570" max="13570" width="22.42578125" style="261" customWidth="1"/>
    <col min="13571" max="13572" width="0" style="261" hidden="1" customWidth="1"/>
    <col min="13573" max="13824" width="9.140625" style="261"/>
    <col min="13825" max="13825" width="54.85546875" style="261" customWidth="1"/>
    <col min="13826" max="13826" width="22.42578125" style="261" customWidth="1"/>
    <col min="13827" max="13828" width="0" style="261" hidden="1" customWidth="1"/>
    <col min="13829" max="14080" width="9.140625" style="261"/>
    <col min="14081" max="14081" width="54.85546875" style="261" customWidth="1"/>
    <col min="14082" max="14082" width="22.42578125" style="261" customWidth="1"/>
    <col min="14083" max="14084" width="0" style="261" hidden="1" customWidth="1"/>
    <col min="14085" max="14336" width="9.140625" style="261"/>
    <col min="14337" max="14337" width="54.85546875" style="261" customWidth="1"/>
    <col min="14338" max="14338" width="22.42578125" style="261" customWidth="1"/>
    <col min="14339" max="14340" width="0" style="261" hidden="1" customWidth="1"/>
    <col min="14341" max="14592" width="9.140625" style="261"/>
    <col min="14593" max="14593" width="54.85546875" style="261" customWidth="1"/>
    <col min="14594" max="14594" width="22.42578125" style="261" customWidth="1"/>
    <col min="14595" max="14596" width="0" style="261" hidden="1" customWidth="1"/>
    <col min="14597" max="14848" width="9.140625" style="261"/>
    <col min="14849" max="14849" width="54.85546875" style="261" customWidth="1"/>
    <col min="14850" max="14850" width="22.42578125" style="261" customWidth="1"/>
    <col min="14851" max="14852" width="0" style="261" hidden="1" customWidth="1"/>
    <col min="14853" max="15104" width="9.140625" style="261"/>
    <col min="15105" max="15105" width="54.85546875" style="261" customWidth="1"/>
    <col min="15106" max="15106" width="22.42578125" style="261" customWidth="1"/>
    <col min="15107" max="15108" width="0" style="261" hidden="1" customWidth="1"/>
    <col min="15109" max="15360" width="9.140625" style="261"/>
    <col min="15361" max="15361" width="54.85546875" style="261" customWidth="1"/>
    <col min="15362" max="15362" width="22.42578125" style="261" customWidth="1"/>
    <col min="15363" max="15364" width="0" style="261" hidden="1" customWidth="1"/>
    <col min="15365" max="15616" width="9.140625" style="261"/>
    <col min="15617" max="15617" width="54.85546875" style="261" customWidth="1"/>
    <col min="15618" max="15618" width="22.42578125" style="261" customWidth="1"/>
    <col min="15619" max="15620" width="0" style="261" hidden="1" customWidth="1"/>
    <col min="15621" max="15872" width="9.140625" style="261"/>
    <col min="15873" max="15873" width="54.85546875" style="261" customWidth="1"/>
    <col min="15874" max="15874" width="22.42578125" style="261" customWidth="1"/>
    <col min="15875" max="15876" width="0" style="261" hidden="1" customWidth="1"/>
    <col min="15877" max="16128" width="9.140625" style="261"/>
    <col min="16129" max="16129" width="54.85546875" style="261" customWidth="1"/>
    <col min="16130" max="16130" width="22.42578125" style="261" customWidth="1"/>
    <col min="16131" max="16132" width="0" style="261" hidden="1" customWidth="1"/>
    <col min="16133" max="16384" width="9.140625" style="261"/>
  </cols>
  <sheetData>
    <row r="1" spans="1:7" ht="18" customHeight="1">
      <c r="B1" s="283"/>
      <c r="C1" s="283"/>
      <c r="D1" s="283" t="s">
        <v>1488</v>
      </c>
      <c r="G1" s="262"/>
    </row>
    <row r="2" spans="1:7">
      <c r="B2" s="286"/>
      <c r="C2" s="286"/>
      <c r="D2" s="286" t="s">
        <v>1487</v>
      </c>
      <c r="G2" s="262"/>
    </row>
    <row r="3" spans="1:7">
      <c r="B3" s="4"/>
      <c r="C3" s="79"/>
      <c r="D3" s="79"/>
      <c r="G3" s="262"/>
    </row>
    <row r="4" spans="1:7">
      <c r="B4" s="263"/>
      <c r="C4" s="79"/>
      <c r="D4" s="79"/>
      <c r="G4" s="262"/>
    </row>
    <row r="5" spans="1:7" ht="15" customHeight="1">
      <c r="B5" s="391"/>
      <c r="C5" s="391"/>
      <c r="D5" s="40"/>
      <c r="G5" s="262"/>
    </row>
    <row r="6" spans="1:7">
      <c r="B6" s="262"/>
    </row>
    <row r="9" spans="1:7" s="262" customFormat="1" ht="15">
      <c r="A9" s="264" t="s">
        <v>1071</v>
      </c>
    </row>
    <row r="10" spans="1:7" s="262" customFormat="1" ht="15">
      <c r="A10" s="264" t="s">
        <v>1072</v>
      </c>
      <c r="C10" s="264"/>
      <c r="D10" s="264"/>
    </row>
    <row r="11" spans="1:7" ht="15.75">
      <c r="A11" s="265"/>
    </row>
    <row r="12" spans="1:7" s="264" customFormat="1" ht="15"/>
    <row r="13" spans="1:7" s="264" customFormat="1" ht="15">
      <c r="A13" s="264" t="s">
        <v>1073</v>
      </c>
    </row>
    <row r="14" spans="1:7" s="264" customFormat="1" ht="15"/>
    <row r="15" spans="1:7" s="264" customFormat="1" ht="15.75" thickBot="1">
      <c r="B15" s="264" t="s">
        <v>1074</v>
      </c>
    </row>
    <row r="16" spans="1:7" s="264" customFormat="1" ht="40.5" customHeight="1" thickBot="1">
      <c r="A16" s="266" t="s">
        <v>537</v>
      </c>
      <c r="B16" s="267" t="s">
        <v>1075</v>
      </c>
      <c r="C16" s="267" t="s">
        <v>1376</v>
      </c>
      <c r="D16" s="267" t="s">
        <v>1489</v>
      </c>
    </row>
    <row r="17" spans="1:4" s="264" customFormat="1" ht="45.75" customHeight="1">
      <c r="A17" s="268" t="s">
        <v>1076</v>
      </c>
      <c r="B17" s="269">
        <f>SUM(B18-B19)</f>
        <v>108895.69999999998</v>
      </c>
      <c r="C17" s="269">
        <f>SUM(C18-C19)</f>
        <v>117718.5</v>
      </c>
      <c r="D17" s="365">
        <f>SUM(C17/B17)*100</f>
        <v>108.10206463616103</v>
      </c>
    </row>
    <row r="18" spans="1:4" s="264" customFormat="1" ht="24" customHeight="1">
      <c r="A18" s="270" t="s">
        <v>1077</v>
      </c>
      <c r="B18" s="271">
        <f>259071.6-43.7</f>
        <v>259027.9</v>
      </c>
      <c r="C18" s="271">
        <v>217718.5</v>
      </c>
      <c r="D18" s="271">
        <f>SUM(C18/B18)*100</f>
        <v>84.052142645637787</v>
      </c>
    </row>
    <row r="19" spans="1:4" s="264" customFormat="1" ht="25.5" customHeight="1" thickBot="1">
      <c r="A19" s="272" t="s">
        <v>1078</v>
      </c>
      <c r="B19" s="271">
        <f>160132.2-10000</f>
        <v>150132.20000000001</v>
      </c>
      <c r="C19" s="271">
        <v>100000</v>
      </c>
      <c r="D19" s="366">
        <f>SUM(C19/B19)*100</f>
        <v>66.607962848742645</v>
      </c>
    </row>
    <row r="20" spans="1:4" s="264" customFormat="1" ht="45.75" thickBot="1">
      <c r="A20" s="273" t="s">
        <v>1079</v>
      </c>
      <c r="B20" s="274">
        <f>SUM(B22-B23)</f>
        <v>11400</v>
      </c>
      <c r="C20" s="274">
        <f>SUM(C22-C23)</f>
        <v>11400</v>
      </c>
      <c r="D20" s="274">
        <f>SUM(C20/B20)*100</f>
        <v>100</v>
      </c>
    </row>
    <row r="21" spans="1:4" s="264" customFormat="1" ht="15" hidden="1">
      <c r="A21" s="275"/>
      <c r="B21" s="271"/>
      <c r="C21" s="271"/>
      <c r="D21" s="271"/>
    </row>
    <row r="22" spans="1:4" s="264" customFormat="1" ht="24" customHeight="1">
      <c r="A22" s="270" t="s">
        <v>1077</v>
      </c>
      <c r="B22" s="271">
        <v>21400</v>
      </c>
      <c r="C22" s="271">
        <v>21400</v>
      </c>
      <c r="D22" s="271">
        <f>SUM(C22/B22)*100</f>
        <v>100</v>
      </c>
    </row>
    <row r="23" spans="1:4" s="264" customFormat="1" ht="25.5" customHeight="1" thickBot="1">
      <c r="A23" s="276" t="s">
        <v>1078</v>
      </c>
      <c r="B23" s="277">
        <v>10000</v>
      </c>
      <c r="C23" s="277">
        <v>10000</v>
      </c>
      <c r="D23" s="271">
        <f>SUM(C23/B23)*100</f>
        <v>100</v>
      </c>
    </row>
    <row r="24" spans="1:4" s="264" customFormat="1" ht="21" customHeight="1" thickBot="1">
      <c r="A24" s="278" t="s">
        <v>1080</v>
      </c>
      <c r="B24" s="274">
        <f>SUM(B25-B26)</f>
        <v>120295.70000000001</v>
      </c>
      <c r="C24" s="274">
        <f>SUM(C25-C26)</f>
        <v>129118.5</v>
      </c>
      <c r="D24" s="274">
        <f>SUM(C24/B24)*100</f>
        <v>107.33426049310157</v>
      </c>
    </row>
    <row r="25" spans="1:4" s="264" customFormat="1" ht="24" customHeight="1">
      <c r="A25" s="279" t="s">
        <v>1077</v>
      </c>
      <c r="B25" s="269">
        <f>SUM(B18+B22)</f>
        <v>280427.90000000002</v>
      </c>
      <c r="C25" s="269">
        <f>SUM(C18+C22)</f>
        <v>239118.5</v>
      </c>
      <c r="D25" s="271">
        <f>SUM(C25/B25)*100</f>
        <v>85.269154745301719</v>
      </c>
    </row>
    <row r="26" spans="1:4" s="264" customFormat="1" ht="21.75" customHeight="1" thickBot="1">
      <c r="A26" s="272" t="s">
        <v>1078</v>
      </c>
      <c r="B26" s="280">
        <f>SUM(B23)+B19</f>
        <v>160132.20000000001</v>
      </c>
      <c r="C26" s="280">
        <f>SUM(C23)+C19</f>
        <v>110000</v>
      </c>
      <c r="D26" s="280">
        <f>SUM(C26/B26)*100</f>
        <v>68.693242208625122</v>
      </c>
    </row>
  </sheetData>
  <mergeCells count="1">
    <mergeCell ref="B5:C5"/>
  </mergeCells>
  <pageMargins left="1.1023622047244095" right="0.70866141732283472" top="0.74803149606299213" bottom="0.74803149606299213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workbookViewId="0">
      <selection activeCell="D2" sqref="D2"/>
    </sheetView>
  </sheetViews>
  <sheetFormatPr defaultRowHeight="15"/>
  <cols>
    <col min="1" max="1" width="32.28515625" style="281" customWidth="1"/>
    <col min="2" max="2" width="48.140625" style="288" customWidth="1"/>
    <col min="3" max="3" width="17.28515625" style="289" customWidth="1"/>
    <col min="4" max="4" width="15.85546875" style="284" customWidth="1"/>
    <col min="5" max="5" width="15.28515625" style="284" customWidth="1"/>
    <col min="6" max="256" width="9.140625" style="284"/>
    <col min="257" max="257" width="32.28515625" style="284" customWidth="1"/>
    <col min="258" max="258" width="48.140625" style="284" customWidth="1"/>
    <col min="259" max="259" width="16.28515625" style="284" customWidth="1"/>
    <col min="260" max="260" width="0" style="284" hidden="1" customWidth="1"/>
    <col min="261" max="512" width="9.140625" style="284"/>
    <col min="513" max="513" width="32.28515625" style="284" customWidth="1"/>
    <col min="514" max="514" width="48.140625" style="284" customWidth="1"/>
    <col min="515" max="515" width="16.28515625" style="284" customWidth="1"/>
    <col min="516" max="516" width="0" style="284" hidden="1" customWidth="1"/>
    <col min="517" max="768" width="9.140625" style="284"/>
    <col min="769" max="769" width="32.28515625" style="284" customWidth="1"/>
    <col min="770" max="770" width="48.140625" style="284" customWidth="1"/>
    <col min="771" max="771" width="16.28515625" style="284" customWidth="1"/>
    <col min="772" max="772" width="0" style="284" hidden="1" customWidth="1"/>
    <col min="773" max="1024" width="9.140625" style="284"/>
    <col min="1025" max="1025" width="32.28515625" style="284" customWidth="1"/>
    <col min="1026" max="1026" width="48.140625" style="284" customWidth="1"/>
    <col min="1027" max="1027" width="16.28515625" style="284" customWidth="1"/>
    <col min="1028" max="1028" width="0" style="284" hidden="1" customWidth="1"/>
    <col min="1029" max="1280" width="9.140625" style="284"/>
    <col min="1281" max="1281" width="32.28515625" style="284" customWidth="1"/>
    <col min="1282" max="1282" width="48.140625" style="284" customWidth="1"/>
    <col min="1283" max="1283" width="16.28515625" style="284" customWidth="1"/>
    <col min="1284" max="1284" width="0" style="284" hidden="1" customWidth="1"/>
    <col min="1285" max="1536" width="9.140625" style="284"/>
    <col min="1537" max="1537" width="32.28515625" style="284" customWidth="1"/>
    <col min="1538" max="1538" width="48.140625" style="284" customWidth="1"/>
    <col min="1539" max="1539" width="16.28515625" style="284" customWidth="1"/>
    <col min="1540" max="1540" width="0" style="284" hidden="1" customWidth="1"/>
    <col min="1541" max="1792" width="9.140625" style="284"/>
    <col min="1793" max="1793" width="32.28515625" style="284" customWidth="1"/>
    <col min="1794" max="1794" width="48.140625" style="284" customWidth="1"/>
    <col min="1795" max="1795" width="16.28515625" style="284" customWidth="1"/>
    <col min="1796" max="1796" width="0" style="284" hidden="1" customWidth="1"/>
    <col min="1797" max="2048" width="9.140625" style="284"/>
    <col min="2049" max="2049" width="32.28515625" style="284" customWidth="1"/>
    <col min="2050" max="2050" width="48.140625" style="284" customWidth="1"/>
    <col min="2051" max="2051" width="16.28515625" style="284" customWidth="1"/>
    <col min="2052" max="2052" width="0" style="284" hidden="1" customWidth="1"/>
    <col min="2053" max="2304" width="9.140625" style="284"/>
    <col min="2305" max="2305" width="32.28515625" style="284" customWidth="1"/>
    <col min="2306" max="2306" width="48.140625" style="284" customWidth="1"/>
    <col min="2307" max="2307" width="16.28515625" style="284" customWidth="1"/>
    <col min="2308" max="2308" width="0" style="284" hidden="1" customWidth="1"/>
    <col min="2309" max="2560" width="9.140625" style="284"/>
    <col min="2561" max="2561" width="32.28515625" style="284" customWidth="1"/>
    <col min="2562" max="2562" width="48.140625" style="284" customWidth="1"/>
    <col min="2563" max="2563" width="16.28515625" style="284" customWidth="1"/>
    <col min="2564" max="2564" width="0" style="284" hidden="1" customWidth="1"/>
    <col min="2565" max="2816" width="9.140625" style="284"/>
    <col min="2817" max="2817" width="32.28515625" style="284" customWidth="1"/>
    <col min="2818" max="2818" width="48.140625" style="284" customWidth="1"/>
    <col min="2819" max="2819" width="16.28515625" style="284" customWidth="1"/>
    <col min="2820" max="2820" width="0" style="284" hidden="1" customWidth="1"/>
    <col min="2821" max="3072" width="9.140625" style="284"/>
    <col min="3073" max="3073" width="32.28515625" style="284" customWidth="1"/>
    <col min="3074" max="3074" width="48.140625" style="284" customWidth="1"/>
    <col min="3075" max="3075" width="16.28515625" style="284" customWidth="1"/>
    <col min="3076" max="3076" width="0" style="284" hidden="1" customWidth="1"/>
    <col min="3077" max="3328" width="9.140625" style="284"/>
    <col min="3329" max="3329" width="32.28515625" style="284" customWidth="1"/>
    <col min="3330" max="3330" width="48.140625" style="284" customWidth="1"/>
    <col min="3331" max="3331" width="16.28515625" style="284" customWidth="1"/>
    <col min="3332" max="3332" width="0" style="284" hidden="1" customWidth="1"/>
    <col min="3333" max="3584" width="9.140625" style="284"/>
    <col min="3585" max="3585" width="32.28515625" style="284" customWidth="1"/>
    <col min="3586" max="3586" width="48.140625" style="284" customWidth="1"/>
    <col min="3587" max="3587" width="16.28515625" style="284" customWidth="1"/>
    <col min="3588" max="3588" width="0" style="284" hidden="1" customWidth="1"/>
    <col min="3589" max="3840" width="9.140625" style="284"/>
    <col min="3841" max="3841" width="32.28515625" style="284" customWidth="1"/>
    <col min="3842" max="3842" width="48.140625" style="284" customWidth="1"/>
    <col min="3843" max="3843" width="16.28515625" style="284" customWidth="1"/>
    <col min="3844" max="3844" width="0" style="284" hidden="1" customWidth="1"/>
    <col min="3845" max="4096" width="9.140625" style="284"/>
    <col min="4097" max="4097" width="32.28515625" style="284" customWidth="1"/>
    <col min="4098" max="4098" width="48.140625" style="284" customWidth="1"/>
    <col min="4099" max="4099" width="16.28515625" style="284" customWidth="1"/>
    <col min="4100" max="4100" width="0" style="284" hidden="1" customWidth="1"/>
    <col min="4101" max="4352" width="9.140625" style="284"/>
    <col min="4353" max="4353" width="32.28515625" style="284" customWidth="1"/>
    <col min="4354" max="4354" width="48.140625" style="284" customWidth="1"/>
    <col min="4355" max="4355" width="16.28515625" style="284" customWidth="1"/>
    <col min="4356" max="4356" width="0" style="284" hidden="1" customWidth="1"/>
    <col min="4357" max="4608" width="9.140625" style="284"/>
    <col min="4609" max="4609" width="32.28515625" style="284" customWidth="1"/>
    <col min="4610" max="4610" width="48.140625" style="284" customWidth="1"/>
    <col min="4611" max="4611" width="16.28515625" style="284" customWidth="1"/>
    <col min="4612" max="4612" width="0" style="284" hidden="1" customWidth="1"/>
    <col min="4613" max="4864" width="9.140625" style="284"/>
    <col min="4865" max="4865" width="32.28515625" style="284" customWidth="1"/>
    <col min="4866" max="4866" width="48.140625" style="284" customWidth="1"/>
    <col min="4867" max="4867" width="16.28515625" style="284" customWidth="1"/>
    <col min="4868" max="4868" width="0" style="284" hidden="1" customWidth="1"/>
    <col min="4869" max="5120" width="9.140625" style="284"/>
    <col min="5121" max="5121" width="32.28515625" style="284" customWidth="1"/>
    <col min="5122" max="5122" width="48.140625" style="284" customWidth="1"/>
    <col min="5123" max="5123" width="16.28515625" style="284" customWidth="1"/>
    <col min="5124" max="5124" width="0" style="284" hidden="1" customWidth="1"/>
    <col min="5125" max="5376" width="9.140625" style="284"/>
    <col min="5377" max="5377" width="32.28515625" style="284" customWidth="1"/>
    <col min="5378" max="5378" width="48.140625" style="284" customWidth="1"/>
    <col min="5379" max="5379" width="16.28515625" style="284" customWidth="1"/>
    <col min="5380" max="5380" width="0" style="284" hidden="1" customWidth="1"/>
    <col min="5381" max="5632" width="9.140625" style="284"/>
    <col min="5633" max="5633" width="32.28515625" style="284" customWidth="1"/>
    <col min="5634" max="5634" width="48.140625" style="284" customWidth="1"/>
    <col min="5635" max="5635" width="16.28515625" style="284" customWidth="1"/>
    <col min="5636" max="5636" width="0" style="284" hidden="1" customWidth="1"/>
    <col min="5637" max="5888" width="9.140625" style="284"/>
    <col min="5889" max="5889" width="32.28515625" style="284" customWidth="1"/>
    <col min="5890" max="5890" width="48.140625" style="284" customWidth="1"/>
    <col min="5891" max="5891" width="16.28515625" style="284" customWidth="1"/>
    <col min="5892" max="5892" width="0" style="284" hidden="1" customWidth="1"/>
    <col min="5893" max="6144" width="9.140625" style="284"/>
    <col min="6145" max="6145" width="32.28515625" style="284" customWidth="1"/>
    <col min="6146" max="6146" width="48.140625" style="284" customWidth="1"/>
    <col min="6147" max="6147" width="16.28515625" style="284" customWidth="1"/>
    <col min="6148" max="6148" width="0" style="284" hidden="1" customWidth="1"/>
    <col min="6149" max="6400" width="9.140625" style="284"/>
    <col min="6401" max="6401" width="32.28515625" style="284" customWidth="1"/>
    <col min="6402" max="6402" width="48.140625" style="284" customWidth="1"/>
    <col min="6403" max="6403" width="16.28515625" style="284" customWidth="1"/>
    <col min="6404" max="6404" width="0" style="284" hidden="1" customWidth="1"/>
    <col min="6405" max="6656" width="9.140625" style="284"/>
    <col min="6657" max="6657" width="32.28515625" style="284" customWidth="1"/>
    <col min="6658" max="6658" width="48.140625" style="284" customWidth="1"/>
    <col min="6659" max="6659" width="16.28515625" style="284" customWidth="1"/>
    <col min="6660" max="6660" width="0" style="284" hidden="1" customWidth="1"/>
    <col min="6661" max="6912" width="9.140625" style="284"/>
    <col min="6913" max="6913" width="32.28515625" style="284" customWidth="1"/>
    <col min="6914" max="6914" width="48.140625" style="284" customWidth="1"/>
    <col min="6915" max="6915" width="16.28515625" style="284" customWidth="1"/>
    <col min="6916" max="6916" width="0" style="284" hidden="1" customWidth="1"/>
    <col min="6917" max="7168" width="9.140625" style="284"/>
    <col min="7169" max="7169" width="32.28515625" style="284" customWidth="1"/>
    <col min="7170" max="7170" width="48.140625" style="284" customWidth="1"/>
    <col min="7171" max="7171" width="16.28515625" style="284" customWidth="1"/>
    <col min="7172" max="7172" width="0" style="284" hidden="1" customWidth="1"/>
    <col min="7173" max="7424" width="9.140625" style="284"/>
    <col min="7425" max="7425" width="32.28515625" style="284" customWidth="1"/>
    <col min="7426" max="7426" width="48.140625" style="284" customWidth="1"/>
    <col min="7427" max="7427" width="16.28515625" style="284" customWidth="1"/>
    <col min="7428" max="7428" width="0" style="284" hidden="1" customWidth="1"/>
    <col min="7429" max="7680" width="9.140625" style="284"/>
    <col min="7681" max="7681" width="32.28515625" style="284" customWidth="1"/>
    <col min="7682" max="7682" width="48.140625" style="284" customWidth="1"/>
    <col min="7683" max="7683" width="16.28515625" style="284" customWidth="1"/>
    <col min="7684" max="7684" width="0" style="284" hidden="1" customWidth="1"/>
    <col min="7685" max="7936" width="9.140625" style="284"/>
    <col min="7937" max="7937" width="32.28515625" style="284" customWidth="1"/>
    <col min="7938" max="7938" width="48.140625" style="284" customWidth="1"/>
    <col min="7939" max="7939" width="16.28515625" style="284" customWidth="1"/>
    <col min="7940" max="7940" width="0" style="284" hidden="1" customWidth="1"/>
    <col min="7941" max="8192" width="9.140625" style="284"/>
    <col min="8193" max="8193" width="32.28515625" style="284" customWidth="1"/>
    <col min="8194" max="8194" width="48.140625" style="284" customWidth="1"/>
    <col min="8195" max="8195" width="16.28515625" style="284" customWidth="1"/>
    <col min="8196" max="8196" width="0" style="284" hidden="1" customWidth="1"/>
    <col min="8197" max="8448" width="9.140625" style="284"/>
    <col min="8449" max="8449" width="32.28515625" style="284" customWidth="1"/>
    <col min="8450" max="8450" width="48.140625" style="284" customWidth="1"/>
    <col min="8451" max="8451" width="16.28515625" style="284" customWidth="1"/>
    <col min="8452" max="8452" width="0" style="284" hidden="1" customWidth="1"/>
    <col min="8453" max="8704" width="9.140625" style="284"/>
    <col min="8705" max="8705" width="32.28515625" style="284" customWidth="1"/>
    <col min="8706" max="8706" width="48.140625" style="284" customWidth="1"/>
    <col min="8707" max="8707" width="16.28515625" style="284" customWidth="1"/>
    <col min="8708" max="8708" width="0" style="284" hidden="1" customWidth="1"/>
    <col min="8709" max="8960" width="9.140625" style="284"/>
    <col min="8961" max="8961" width="32.28515625" style="284" customWidth="1"/>
    <col min="8962" max="8962" width="48.140625" style="284" customWidth="1"/>
    <col min="8963" max="8963" width="16.28515625" style="284" customWidth="1"/>
    <col min="8964" max="8964" width="0" style="284" hidden="1" customWidth="1"/>
    <col min="8965" max="9216" width="9.140625" style="284"/>
    <col min="9217" max="9217" width="32.28515625" style="284" customWidth="1"/>
    <col min="9218" max="9218" width="48.140625" style="284" customWidth="1"/>
    <col min="9219" max="9219" width="16.28515625" style="284" customWidth="1"/>
    <col min="9220" max="9220" width="0" style="284" hidden="1" customWidth="1"/>
    <col min="9221" max="9472" width="9.140625" style="284"/>
    <col min="9473" max="9473" width="32.28515625" style="284" customWidth="1"/>
    <col min="9474" max="9474" width="48.140625" style="284" customWidth="1"/>
    <col min="9475" max="9475" width="16.28515625" style="284" customWidth="1"/>
    <col min="9476" max="9476" width="0" style="284" hidden="1" customWidth="1"/>
    <col min="9477" max="9728" width="9.140625" style="284"/>
    <col min="9729" max="9729" width="32.28515625" style="284" customWidth="1"/>
    <col min="9730" max="9730" width="48.140625" style="284" customWidth="1"/>
    <col min="9731" max="9731" width="16.28515625" style="284" customWidth="1"/>
    <col min="9732" max="9732" width="0" style="284" hidden="1" customWidth="1"/>
    <col min="9733" max="9984" width="9.140625" style="284"/>
    <col min="9985" max="9985" width="32.28515625" style="284" customWidth="1"/>
    <col min="9986" max="9986" width="48.140625" style="284" customWidth="1"/>
    <col min="9987" max="9987" width="16.28515625" style="284" customWidth="1"/>
    <col min="9988" max="9988" width="0" style="284" hidden="1" customWidth="1"/>
    <col min="9989" max="10240" width="9.140625" style="284"/>
    <col min="10241" max="10241" width="32.28515625" style="284" customWidth="1"/>
    <col min="10242" max="10242" width="48.140625" style="284" customWidth="1"/>
    <col min="10243" max="10243" width="16.28515625" style="284" customWidth="1"/>
    <col min="10244" max="10244" width="0" style="284" hidden="1" customWidth="1"/>
    <col min="10245" max="10496" width="9.140625" style="284"/>
    <col min="10497" max="10497" width="32.28515625" style="284" customWidth="1"/>
    <col min="10498" max="10498" width="48.140625" style="284" customWidth="1"/>
    <col min="10499" max="10499" width="16.28515625" style="284" customWidth="1"/>
    <col min="10500" max="10500" width="0" style="284" hidden="1" customWidth="1"/>
    <col min="10501" max="10752" width="9.140625" style="284"/>
    <col min="10753" max="10753" width="32.28515625" style="284" customWidth="1"/>
    <col min="10754" max="10754" width="48.140625" style="284" customWidth="1"/>
    <col min="10755" max="10755" width="16.28515625" style="284" customWidth="1"/>
    <col min="10756" max="10756" width="0" style="284" hidden="1" customWidth="1"/>
    <col min="10757" max="11008" width="9.140625" style="284"/>
    <col min="11009" max="11009" width="32.28515625" style="284" customWidth="1"/>
    <col min="11010" max="11010" width="48.140625" style="284" customWidth="1"/>
    <col min="11011" max="11011" width="16.28515625" style="284" customWidth="1"/>
    <col min="11012" max="11012" width="0" style="284" hidden="1" customWidth="1"/>
    <col min="11013" max="11264" width="9.140625" style="284"/>
    <col min="11265" max="11265" width="32.28515625" style="284" customWidth="1"/>
    <col min="11266" max="11266" width="48.140625" style="284" customWidth="1"/>
    <col min="11267" max="11267" width="16.28515625" style="284" customWidth="1"/>
    <col min="11268" max="11268" width="0" style="284" hidden="1" customWidth="1"/>
    <col min="11269" max="11520" width="9.140625" style="284"/>
    <col min="11521" max="11521" width="32.28515625" style="284" customWidth="1"/>
    <col min="11522" max="11522" width="48.140625" style="284" customWidth="1"/>
    <col min="11523" max="11523" width="16.28515625" style="284" customWidth="1"/>
    <col min="11524" max="11524" width="0" style="284" hidden="1" customWidth="1"/>
    <col min="11525" max="11776" width="9.140625" style="284"/>
    <col min="11777" max="11777" width="32.28515625" style="284" customWidth="1"/>
    <col min="11778" max="11778" width="48.140625" style="284" customWidth="1"/>
    <col min="11779" max="11779" width="16.28515625" style="284" customWidth="1"/>
    <col min="11780" max="11780" width="0" style="284" hidden="1" customWidth="1"/>
    <col min="11781" max="12032" width="9.140625" style="284"/>
    <col min="12033" max="12033" width="32.28515625" style="284" customWidth="1"/>
    <col min="12034" max="12034" width="48.140625" style="284" customWidth="1"/>
    <col min="12035" max="12035" width="16.28515625" style="284" customWidth="1"/>
    <col min="12036" max="12036" width="0" style="284" hidden="1" customWidth="1"/>
    <col min="12037" max="12288" width="9.140625" style="284"/>
    <col min="12289" max="12289" width="32.28515625" style="284" customWidth="1"/>
    <col min="12290" max="12290" width="48.140625" style="284" customWidth="1"/>
    <col min="12291" max="12291" width="16.28515625" style="284" customWidth="1"/>
    <col min="12292" max="12292" width="0" style="284" hidden="1" customWidth="1"/>
    <col min="12293" max="12544" width="9.140625" style="284"/>
    <col min="12545" max="12545" width="32.28515625" style="284" customWidth="1"/>
    <col min="12546" max="12546" width="48.140625" style="284" customWidth="1"/>
    <col min="12547" max="12547" width="16.28515625" style="284" customWidth="1"/>
    <col min="12548" max="12548" width="0" style="284" hidden="1" customWidth="1"/>
    <col min="12549" max="12800" width="9.140625" style="284"/>
    <col min="12801" max="12801" width="32.28515625" style="284" customWidth="1"/>
    <col min="12802" max="12802" width="48.140625" style="284" customWidth="1"/>
    <col min="12803" max="12803" width="16.28515625" style="284" customWidth="1"/>
    <col min="12804" max="12804" width="0" style="284" hidden="1" customWidth="1"/>
    <col min="12805" max="13056" width="9.140625" style="284"/>
    <col min="13057" max="13057" width="32.28515625" style="284" customWidth="1"/>
    <col min="13058" max="13058" width="48.140625" style="284" customWidth="1"/>
    <col min="13059" max="13059" width="16.28515625" style="284" customWidth="1"/>
    <col min="13060" max="13060" width="0" style="284" hidden="1" customWidth="1"/>
    <col min="13061" max="13312" width="9.140625" style="284"/>
    <col min="13313" max="13313" width="32.28515625" style="284" customWidth="1"/>
    <col min="13314" max="13314" width="48.140625" style="284" customWidth="1"/>
    <col min="13315" max="13315" width="16.28515625" style="284" customWidth="1"/>
    <col min="13316" max="13316" width="0" style="284" hidden="1" customWidth="1"/>
    <col min="13317" max="13568" width="9.140625" style="284"/>
    <col min="13569" max="13569" width="32.28515625" style="284" customWidth="1"/>
    <col min="13570" max="13570" width="48.140625" style="284" customWidth="1"/>
    <col min="13571" max="13571" width="16.28515625" style="284" customWidth="1"/>
    <col min="13572" max="13572" width="0" style="284" hidden="1" customWidth="1"/>
    <col min="13573" max="13824" width="9.140625" style="284"/>
    <col min="13825" max="13825" width="32.28515625" style="284" customWidth="1"/>
    <col min="13826" max="13826" width="48.140625" style="284" customWidth="1"/>
    <col min="13827" max="13827" width="16.28515625" style="284" customWidth="1"/>
    <col min="13828" max="13828" width="0" style="284" hidden="1" customWidth="1"/>
    <col min="13829" max="14080" width="9.140625" style="284"/>
    <col min="14081" max="14081" width="32.28515625" style="284" customWidth="1"/>
    <col min="14082" max="14082" width="48.140625" style="284" customWidth="1"/>
    <col min="14083" max="14083" width="16.28515625" style="284" customWidth="1"/>
    <col min="14084" max="14084" width="0" style="284" hidden="1" customWidth="1"/>
    <col min="14085" max="14336" width="9.140625" style="284"/>
    <col min="14337" max="14337" width="32.28515625" style="284" customWidth="1"/>
    <col min="14338" max="14338" width="48.140625" style="284" customWidth="1"/>
    <col min="14339" max="14339" width="16.28515625" style="284" customWidth="1"/>
    <col min="14340" max="14340" width="0" style="284" hidden="1" customWidth="1"/>
    <col min="14341" max="14592" width="9.140625" style="284"/>
    <col min="14593" max="14593" width="32.28515625" style="284" customWidth="1"/>
    <col min="14594" max="14594" width="48.140625" style="284" customWidth="1"/>
    <col min="14595" max="14595" width="16.28515625" style="284" customWidth="1"/>
    <col min="14596" max="14596" width="0" style="284" hidden="1" customWidth="1"/>
    <col min="14597" max="14848" width="9.140625" style="284"/>
    <col min="14849" max="14849" width="32.28515625" style="284" customWidth="1"/>
    <col min="14850" max="14850" width="48.140625" style="284" customWidth="1"/>
    <col min="14851" max="14851" width="16.28515625" style="284" customWidth="1"/>
    <col min="14852" max="14852" width="0" style="284" hidden="1" customWidth="1"/>
    <col min="14853" max="15104" width="9.140625" style="284"/>
    <col min="15105" max="15105" width="32.28515625" style="284" customWidth="1"/>
    <col min="15106" max="15106" width="48.140625" style="284" customWidth="1"/>
    <col min="15107" max="15107" width="16.28515625" style="284" customWidth="1"/>
    <col min="15108" max="15108" width="0" style="284" hidden="1" customWidth="1"/>
    <col min="15109" max="15360" width="9.140625" style="284"/>
    <col min="15361" max="15361" width="32.28515625" style="284" customWidth="1"/>
    <col min="15362" max="15362" width="48.140625" style="284" customWidth="1"/>
    <col min="15363" max="15363" width="16.28515625" style="284" customWidth="1"/>
    <col min="15364" max="15364" width="0" style="284" hidden="1" customWidth="1"/>
    <col min="15365" max="15616" width="9.140625" style="284"/>
    <col min="15617" max="15617" width="32.28515625" style="284" customWidth="1"/>
    <col min="15618" max="15618" width="48.140625" style="284" customWidth="1"/>
    <col min="15619" max="15619" width="16.28515625" style="284" customWidth="1"/>
    <col min="15620" max="15620" width="0" style="284" hidden="1" customWidth="1"/>
    <col min="15621" max="15872" width="9.140625" style="284"/>
    <col min="15873" max="15873" width="32.28515625" style="284" customWidth="1"/>
    <col min="15874" max="15874" width="48.140625" style="284" customWidth="1"/>
    <col min="15875" max="15875" width="16.28515625" style="284" customWidth="1"/>
    <col min="15876" max="15876" width="0" style="284" hidden="1" customWidth="1"/>
    <col min="15877" max="16128" width="9.140625" style="284"/>
    <col min="16129" max="16129" width="32.28515625" style="284" customWidth="1"/>
    <col min="16130" max="16130" width="48.140625" style="284" customWidth="1"/>
    <col min="16131" max="16131" width="16.28515625" style="284" customWidth="1"/>
    <col min="16132" max="16132" width="0" style="284" hidden="1" customWidth="1"/>
    <col min="16133" max="16384" width="9.140625" style="284"/>
  </cols>
  <sheetData>
    <row r="1" spans="1:5" ht="12.75">
      <c r="B1" s="282"/>
      <c r="C1" s="283"/>
      <c r="D1" s="283" t="s">
        <v>1491</v>
      </c>
    </row>
    <row r="2" spans="1:5" ht="12" customHeight="1">
      <c r="B2" s="285"/>
      <c r="C2" s="286"/>
      <c r="D2" s="286" t="s">
        <v>1487</v>
      </c>
    </row>
    <row r="3" spans="1:5" ht="15.75" customHeight="1">
      <c r="A3" s="287"/>
      <c r="B3" s="285"/>
      <c r="C3" s="286"/>
    </row>
    <row r="4" spans="1:5">
      <c r="C4" s="286"/>
    </row>
    <row r="5" spans="1:5" ht="19.5" customHeight="1">
      <c r="B5" s="395"/>
      <c r="C5" s="396"/>
      <c r="D5" s="396"/>
    </row>
    <row r="6" spans="1:5" ht="72" customHeight="1">
      <c r="A6" s="397" t="s">
        <v>1116</v>
      </c>
      <c r="B6" s="398"/>
      <c r="C6" s="398"/>
    </row>
    <row r="7" spans="1:5" s="289" customFormat="1">
      <c r="A7" s="281"/>
      <c r="B7" s="288"/>
    </row>
    <row r="8" spans="1:5" s="289" customFormat="1" ht="12.75" customHeight="1">
      <c r="A8" s="399" t="s">
        <v>1081</v>
      </c>
      <c r="B8" s="402" t="s">
        <v>1082</v>
      </c>
      <c r="C8" s="394" t="s">
        <v>1083</v>
      </c>
      <c r="D8" s="394" t="s">
        <v>1377</v>
      </c>
      <c r="E8" s="394" t="s">
        <v>1490</v>
      </c>
    </row>
    <row r="9" spans="1:5" s="289" customFormat="1" ht="11.25" customHeight="1">
      <c r="A9" s="400"/>
      <c r="B9" s="402"/>
      <c r="C9" s="394"/>
      <c r="D9" s="394"/>
      <c r="E9" s="394"/>
    </row>
    <row r="10" spans="1:5" s="290" customFormat="1" ht="19.5" customHeight="1">
      <c r="A10" s="401"/>
      <c r="B10" s="402"/>
      <c r="C10" s="394"/>
      <c r="D10" s="394"/>
      <c r="E10" s="394"/>
    </row>
    <row r="11" spans="1:5" s="294" customFormat="1" ht="51.75" customHeight="1">
      <c r="A11" s="291" t="s">
        <v>1084</v>
      </c>
      <c r="B11" s="292" t="s">
        <v>1085</v>
      </c>
      <c r="C11" s="293">
        <f>C12+C17+C23</f>
        <v>141162.79999999999</v>
      </c>
      <c r="D11" s="293">
        <f>D12+D17+D23</f>
        <v>110072.2</v>
      </c>
      <c r="E11" s="293">
        <f>SUM(D11/C11)*100</f>
        <v>77.975358947258073</v>
      </c>
    </row>
    <row r="12" spans="1:5" s="294" customFormat="1" ht="35.25" customHeight="1">
      <c r="A12" s="295" t="s">
        <v>1086</v>
      </c>
      <c r="B12" s="296" t="s">
        <v>1087</v>
      </c>
      <c r="C12" s="293">
        <f>SUM(C13-C15)</f>
        <v>108895.69999999998</v>
      </c>
      <c r="D12" s="293">
        <f>SUM(D13-D15)</f>
        <v>117618.5</v>
      </c>
      <c r="E12" s="293">
        <f>SUM(D12/C12)*100</f>
        <v>108.01023364558932</v>
      </c>
    </row>
    <row r="13" spans="1:5" s="294" customFormat="1" ht="45.75" customHeight="1">
      <c r="A13" s="295" t="s">
        <v>1088</v>
      </c>
      <c r="B13" s="296" t="s">
        <v>1089</v>
      </c>
      <c r="C13" s="297">
        <f>259071.6-43.7</f>
        <v>259027.9</v>
      </c>
      <c r="D13" s="297">
        <f>SUM(D14)</f>
        <v>217618.5</v>
      </c>
      <c r="E13" s="297">
        <f>SUM(D13/C13)*100</f>
        <v>84.013536765730649</v>
      </c>
    </row>
    <row r="14" spans="1:5" s="294" customFormat="1" ht="50.25" customHeight="1">
      <c r="A14" s="295" t="s">
        <v>1090</v>
      </c>
      <c r="B14" s="298" t="s">
        <v>1091</v>
      </c>
      <c r="C14" s="297">
        <f>259071.6-43.7</f>
        <v>259027.9</v>
      </c>
      <c r="D14" s="297">
        <v>217618.5</v>
      </c>
      <c r="E14" s="297">
        <f t="shared" ref="E14:E22" si="0">SUM(D14/C14)*100</f>
        <v>84.013536765730649</v>
      </c>
    </row>
    <row r="15" spans="1:5" s="294" customFormat="1" ht="54" customHeight="1">
      <c r="A15" s="295" t="s">
        <v>1092</v>
      </c>
      <c r="B15" s="299" t="s">
        <v>1093</v>
      </c>
      <c r="C15" s="297">
        <f>SUM(C16)</f>
        <v>150132.20000000001</v>
      </c>
      <c r="D15" s="297">
        <f>SUM(D16)</f>
        <v>100000</v>
      </c>
      <c r="E15" s="297">
        <f t="shared" si="0"/>
        <v>66.607962848742645</v>
      </c>
    </row>
    <row r="16" spans="1:5" s="294" customFormat="1" ht="46.5" customHeight="1">
      <c r="A16" s="295" t="s">
        <v>1094</v>
      </c>
      <c r="B16" s="298" t="s">
        <v>1095</v>
      </c>
      <c r="C16" s="297">
        <f>160132.2-10000</f>
        <v>150132.20000000001</v>
      </c>
      <c r="D16" s="297">
        <v>100000</v>
      </c>
      <c r="E16" s="297">
        <f t="shared" si="0"/>
        <v>66.607962848742645</v>
      </c>
    </row>
    <row r="17" spans="1:5" s="294" customFormat="1" ht="36.75" customHeight="1">
      <c r="A17" s="295" t="s">
        <v>1096</v>
      </c>
      <c r="B17" s="300" t="s">
        <v>308</v>
      </c>
      <c r="C17" s="293">
        <f>SUM(C19)-C21</f>
        <v>11400</v>
      </c>
      <c r="D17" s="293">
        <f>SUM(D19)-D21</f>
        <v>11400</v>
      </c>
      <c r="E17" s="293">
        <f>SUM(D17/C17)*100</f>
        <v>100</v>
      </c>
    </row>
    <row r="18" spans="1:5" s="294" customFormat="1" ht="69.75" customHeight="1">
      <c r="A18" s="295" t="s">
        <v>1097</v>
      </c>
      <c r="B18" s="301" t="s">
        <v>1098</v>
      </c>
      <c r="C18" s="297">
        <v>21400</v>
      </c>
      <c r="D18" s="297">
        <v>21400</v>
      </c>
      <c r="E18" s="297">
        <f t="shared" si="0"/>
        <v>100</v>
      </c>
    </row>
    <row r="19" spans="1:5" s="294" customFormat="1" ht="63.75" customHeight="1">
      <c r="A19" s="295" t="s">
        <v>1099</v>
      </c>
      <c r="B19" s="300" t="s">
        <v>1100</v>
      </c>
      <c r="C19" s="297">
        <v>21400</v>
      </c>
      <c r="D19" s="297">
        <v>21400</v>
      </c>
      <c r="E19" s="297">
        <f t="shared" si="0"/>
        <v>100</v>
      </c>
    </row>
    <row r="20" spans="1:5" s="302" customFormat="1" ht="33" customHeight="1">
      <c r="A20" s="295" t="s">
        <v>1101</v>
      </c>
      <c r="B20" s="300" t="s">
        <v>309</v>
      </c>
      <c r="C20" s="297">
        <v>21400</v>
      </c>
      <c r="D20" s="297">
        <v>21400</v>
      </c>
      <c r="E20" s="297">
        <f t="shared" si="0"/>
        <v>100</v>
      </c>
    </row>
    <row r="21" spans="1:5" s="302" customFormat="1" ht="69.75" customHeight="1">
      <c r="A21" s="295" t="s">
        <v>1102</v>
      </c>
      <c r="B21" s="303" t="s">
        <v>1103</v>
      </c>
      <c r="C21" s="297">
        <v>10000</v>
      </c>
      <c r="D21" s="297">
        <v>10000</v>
      </c>
      <c r="E21" s="297">
        <f t="shared" si="0"/>
        <v>100</v>
      </c>
    </row>
    <row r="22" spans="1:5" s="302" customFormat="1" ht="50.25" customHeight="1">
      <c r="A22" s="295" t="s">
        <v>1104</v>
      </c>
      <c r="B22" s="298" t="s">
        <v>1105</v>
      </c>
      <c r="C22" s="297">
        <v>10000</v>
      </c>
      <c r="D22" s="297">
        <v>10000</v>
      </c>
      <c r="E22" s="297">
        <f t="shared" si="0"/>
        <v>100</v>
      </c>
    </row>
    <row r="23" spans="1:5" s="294" customFormat="1" ht="35.25" customHeight="1">
      <c r="A23" s="291" t="s">
        <v>1106</v>
      </c>
      <c r="B23" s="292" t="s">
        <v>1107</v>
      </c>
      <c r="C23" s="293">
        <f>SUM(C28-C24)</f>
        <v>20867.100000000002</v>
      </c>
      <c r="D23" s="293">
        <f>SUM(D28-D24)</f>
        <v>-18946.3</v>
      </c>
      <c r="E23" s="293"/>
    </row>
    <row r="24" spans="1:5" s="310" customFormat="1" ht="30">
      <c r="A24" s="155" t="s">
        <v>1378</v>
      </c>
      <c r="B24" s="301" t="s">
        <v>1379</v>
      </c>
      <c r="C24" s="309">
        <f t="shared" ref="C24:D26" si="1">SUM(C25)</f>
        <v>0</v>
      </c>
      <c r="D24" s="309">
        <f t="shared" si="1"/>
        <v>43133</v>
      </c>
      <c r="E24" s="297"/>
    </row>
    <row r="25" spans="1:5" s="310" customFormat="1" ht="30">
      <c r="A25" s="155" t="s">
        <v>1380</v>
      </c>
      <c r="B25" s="301" t="s">
        <v>1381</v>
      </c>
      <c r="C25" s="309">
        <f t="shared" si="1"/>
        <v>0</v>
      </c>
      <c r="D25" s="309">
        <f t="shared" si="1"/>
        <v>43133</v>
      </c>
      <c r="E25" s="297"/>
    </row>
    <row r="26" spans="1:5" s="310" customFormat="1" ht="30">
      <c r="A26" s="155" t="s">
        <v>1382</v>
      </c>
      <c r="B26" s="301" t="s">
        <v>1381</v>
      </c>
      <c r="C26" s="309">
        <f t="shared" si="1"/>
        <v>0</v>
      </c>
      <c r="D26" s="309">
        <f t="shared" si="1"/>
        <v>43133</v>
      </c>
      <c r="E26" s="297"/>
    </row>
    <row r="27" spans="1:5" s="310" customFormat="1" ht="30">
      <c r="A27" s="155" t="s">
        <v>1383</v>
      </c>
      <c r="B27" s="301" t="s">
        <v>1384</v>
      </c>
      <c r="C27" s="309">
        <v>0</v>
      </c>
      <c r="D27" s="309">
        <v>43133</v>
      </c>
      <c r="E27" s="297"/>
    </row>
    <row r="28" spans="1:5" s="294" customFormat="1" ht="28.5" customHeight="1">
      <c r="A28" s="295" t="s">
        <v>1108</v>
      </c>
      <c r="B28" s="304" t="s">
        <v>1109</v>
      </c>
      <c r="C28" s="297">
        <f t="shared" ref="C28:D30" si="2">SUM(C29)</f>
        <v>20867.100000000002</v>
      </c>
      <c r="D28" s="297">
        <f t="shared" si="2"/>
        <v>24186.7</v>
      </c>
      <c r="E28" s="297"/>
    </row>
    <row r="29" spans="1:5" s="294" customFormat="1" ht="33.75" customHeight="1">
      <c r="A29" s="295" t="s">
        <v>1110</v>
      </c>
      <c r="B29" s="304" t="s">
        <v>1111</v>
      </c>
      <c r="C29" s="297">
        <f t="shared" si="2"/>
        <v>20867.100000000002</v>
      </c>
      <c r="D29" s="297">
        <f t="shared" si="2"/>
        <v>24186.7</v>
      </c>
      <c r="E29" s="297"/>
    </row>
    <row r="30" spans="1:5" s="294" customFormat="1" ht="41.25" customHeight="1">
      <c r="A30" s="295" t="s">
        <v>1112</v>
      </c>
      <c r="B30" s="304" t="s">
        <v>1113</v>
      </c>
      <c r="C30" s="297">
        <f t="shared" si="2"/>
        <v>20867.100000000002</v>
      </c>
      <c r="D30" s="297">
        <f t="shared" si="2"/>
        <v>24186.7</v>
      </c>
      <c r="E30" s="297"/>
    </row>
    <row r="31" spans="1:5" s="302" customFormat="1" ht="39.75" customHeight="1">
      <c r="A31" s="295" t="s">
        <v>1114</v>
      </c>
      <c r="B31" s="304" t="s">
        <v>1115</v>
      </c>
      <c r="C31" s="297">
        <f>17937.3+19.4+2720.2+190.2</f>
        <v>20867.100000000002</v>
      </c>
      <c r="D31" s="297">
        <v>24186.7</v>
      </c>
      <c r="E31" s="297"/>
    </row>
    <row r="32" spans="1:5">
      <c r="A32" s="305"/>
      <c r="C32" s="306"/>
      <c r="D32" s="302"/>
    </row>
  </sheetData>
  <mergeCells count="7">
    <mergeCell ref="E8:E10"/>
    <mergeCell ref="B5:D5"/>
    <mergeCell ref="A6:C6"/>
    <mergeCell ref="A8:A10"/>
    <mergeCell ref="B8:B10"/>
    <mergeCell ref="C8:C10"/>
    <mergeCell ref="D8:D10"/>
  </mergeCells>
  <pageMargins left="1.1023622047244095" right="0.11811023622047245" top="0.74803149606299213" bottom="0.55118110236220474" header="0" footer="0"/>
  <pageSetup paperSize="9" scale="6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5" sqref="Q2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Нормативы</vt:lpstr>
      <vt:lpstr>ГАДы</vt:lpstr>
      <vt:lpstr>ГАИ</vt:lpstr>
      <vt:lpstr>функцион.2013</vt:lpstr>
      <vt:lpstr>ведомствен.2013</vt:lpstr>
      <vt:lpstr>Прогр.заимств.2013</vt:lpstr>
      <vt:lpstr>Источники 2013</vt:lpstr>
      <vt:lpstr>Лист2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k66-3</dc:creator>
  <cp:lastModifiedBy>k66-3</cp:lastModifiedBy>
  <cp:lastPrinted>2014-02-27T09:33:52Z</cp:lastPrinted>
  <dcterms:created xsi:type="dcterms:W3CDTF">2010-10-13T06:28:56Z</dcterms:created>
  <dcterms:modified xsi:type="dcterms:W3CDTF">2014-02-27T11:49:09Z</dcterms:modified>
</cp:coreProperties>
</file>