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1760"/>
  </bookViews>
  <sheets>
    <sheet name="к проекту" sheetId="1" r:id="rId1"/>
  </sheets>
  <definedNames>
    <definedName name="_xlnm.Print_Titles" localSheetId="0">'к проекту'!$5:$10</definedName>
    <definedName name="_xlnm.Print_Area" localSheetId="0">'к проекту'!$A$1:$N$135</definedName>
  </definedNames>
  <calcPr calcId="145621"/>
</workbook>
</file>

<file path=xl/calcChain.xml><?xml version="1.0" encoding="utf-8"?>
<calcChain xmlns="http://schemas.openxmlformats.org/spreadsheetml/2006/main">
  <c r="N57" i="1" l="1"/>
  <c r="M57" i="1"/>
  <c r="L57" i="1"/>
  <c r="L77" i="1" l="1"/>
  <c r="N92" i="1"/>
  <c r="M92" i="1"/>
  <c r="L92" i="1"/>
  <c r="N110" i="1"/>
  <c r="N115" i="1"/>
  <c r="M115" i="1"/>
  <c r="M110" i="1"/>
  <c r="L110" i="1"/>
  <c r="L115" i="1"/>
  <c r="M77" i="1"/>
  <c r="M40" i="1" l="1"/>
  <c r="N32" i="1"/>
  <c r="M32" i="1"/>
  <c r="L32" i="1"/>
  <c r="L33" i="1" l="1"/>
  <c r="M33" i="1"/>
  <c r="N33" i="1"/>
  <c r="N77" i="1"/>
  <c r="M72" i="1"/>
  <c r="L72" i="1"/>
  <c r="N72" i="1"/>
  <c r="L119" i="1"/>
  <c r="M119" i="1"/>
  <c r="N119" i="1"/>
  <c r="N34" i="1" l="1"/>
  <c r="M34" i="1"/>
  <c r="L34" i="1"/>
  <c r="N43" i="1"/>
  <c r="M43" i="1"/>
  <c r="N44" i="1"/>
  <c r="M44" i="1"/>
  <c r="L44" i="1"/>
  <c r="N31" i="1"/>
  <c r="M31" i="1"/>
  <c r="L31" i="1"/>
  <c r="N28" i="1"/>
  <c r="M28" i="1"/>
  <c r="L28" i="1"/>
  <c r="L50" i="1"/>
  <c r="L40" i="1"/>
  <c r="M19" i="1"/>
  <c r="L19" i="1"/>
  <c r="N18" i="1" l="1"/>
  <c r="M18" i="1"/>
  <c r="L18" i="1"/>
  <c r="N62" i="1"/>
  <c r="M62" i="1"/>
  <c r="L62" i="1"/>
  <c r="N59" i="1"/>
  <c r="M59" i="1"/>
  <c r="L59" i="1"/>
  <c r="L26" i="1"/>
  <c r="N25" i="1"/>
  <c r="M25" i="1"/>
  <c r="L25" i="1"/>
  <c r="N14" i="1" l="1"/>
  <c r="M14" i="1"/>
  <c r="L14" i="1"/>
  <c r="M69" i="1"/>
  <c r="L69" i="1"/>
  <c r="L43" i="1"/>
  <c r="N45" i="1"/>
  <c r="M45" i="1"/>
  <c r="N40" i="1" l="1"/>
  <c r="N39" i="1"/>
  <c r="M39" i="1"/>
  <c r="L39" i="1"/>
  <c r="N108" i="1"/>
  <c r="M108" i="1"/>
  <c r="L108" i="1"/>
  <c r="N106" i="1"/>
  <c r="M106" i="1"/>
  <c r="L106" i="1"/>
  <c r="N74" i="1" l="1"/>
  <c r="M74" i="1"/>
  <c r="L74" i="1"/>
  <c r="N38" i="1"/>
  <c r="M38" i="1"/>
  <c r="L38" i="1"/>
  <c r="N130" i="1"/>
  <c r="M130" i="1"/>
  <c r="L130" i="1"/>
  <c r="N129" i="1"/>
  <c r="M129" i="1"/>
  <c r="L129" i="1"/>
  <c r="N94" i="1" l="1"/>
  <c r="M94" i="1"/>
  <c r="L76" i="1" l="1"/>
  <c r="N75" i="1"/>
  <c r="M75" i="1"/>
  <c r="L75" i="1"/>
  <c r="N63" i="1" l="1"/>
  <c r="M63" i="1"/>
  <c r="L63" i="1"/>
  <c r="L73" i="1" l="1"/>
  <c r="N116" i="1" l="1"/>
  <c r="M116" i="1"/>
  <c r="L116" i="1"/>
  <c r="M104" i="1" l="1"/>
  <c r="N118" i="1"/>
  <c r="N104" i="1" s="1"/>
  <c r="M118" i="1"/>
  <c r="L118" i="1"/>
  <c r="L104" i="1" s="1"/>
  <c r="N127" i="1"/>
  <c r="N36" i="1" s="1"/>
  <c r="M127" i="1"/>
  <c r="M36" i="1" s="1"/>
  <c r="L127" i="1"/>
  <c r="L36" i="1" s="1"/>
  <c r="M89" i="1" l="1"/>
  <c r="N89" i="1"/>
  <c r="L89" i="1"/>
  <c r="N128" i="1" l="1"/>
  <c r="M128" i="1"/>
  <c r="L128" i="1"/>
  <c r="M290" i="1"/>
  <c r="M292" i="1" s="1"/>
  <c r="N97" i="1"/>
  <c r="M97" i="1"/>
  <c r="L97" i="1"/>
  <c r="N279" i="1"/>
  <c r="N283" i="1" s="1"/>
  <c r="N86" i="1"/>
  <c r="M86" i="1"/>
  <c r="L86" i="1"/>
  <c r="L290" i="1"/>
  <c r="L292" i="1" s="1"/>
  <c r="M66" i="1"/>
  <c r="L66" i="1"/>
  <c r="M279" i="1"/>
  <c r="M283" i="1" s="1"/>
  <c r="L279" i="1"/>
  <c r="L283" i="1" s="1"/>
  <c r="N12" i="1"/>
  <c r="L12" i="1"/>
  <c r="L96" i="1" l="1"/>
  <c r="L11" i="1" s="1"/>
  <c r="L134" i="1" s="1"/>
  <c r="M96" i="1"/>
  <c r="M12" i="1"/>
  <c r="N66" i="1"/>
  <c r="L285" i="1"/>
  <c r="L288" i="1" s="1"/>
  <c r="N290" i="1"/>
  <c r="N292" i="1" s="1"/>
  <c r="N96" i="1"/>
  <c r="M285" i="1"/>
  <c r="M288" i="1" s="1"/>
  <c r="N285" i="1"/>
  <c r="N288" i="1" s="1"/>
  <c r="M11" i="1" l="1"/>
  <c r="M134" i="1" s="1"/>
  <c r="N11" i="1"/>
  <c r="N134" i="1" s="1"/>
</calcChain>
</file>

<file path=xl/sharedStrings.xml><?xml version="1.0" encoding="utf-8"?>
<sst xmlns="http://schemas.openxmlformats.org/spreadsheetml/2006/main" count="767" uniqueCount="334">
  <si>
    <t>Приложение 6</t>
  </si>
  <si>
    <t>к письму</t>
  </si>
  <si>
    <t>(тыс.рублей)</t>
  </si>
  <si>
    <t>Код стро-ки</t>
  </si>
  <si>
    <t>Правовое основание финансового обеспечения и расходования
средств (нормативные правовые акты, договоры, соглашения)</t>
  </si>
  <si>
    <t>Код расхода по БК</t>
  </si>
  <si>
    <t>РФ</t>
  </si>
  <si>
    <t>субъекта РФ</t>
  </si>
  <si>
    <t>Нормативные правовые акты, договоры, соглашения муниципальных образований</t>
  </si>
  <si>
    <t>очередной</t>
  </si>
  <si>
    <t>плановый период</t>
  </si>
  <si>
    <t>наименование,
номер
и дата</t>
  </si>
  <si>
    <t>номер статьи (подстатьи), пункта (подпункта)</t>
  </si>
  <si>
    <t>дата вступления в силу, срок действия</t>
  </si>
  <si>
    <t>наименование, номер и дата</t>
  </si>
  <si>
    <t>раздел</t>
  </si>
  <si>
    <t>подраздел</t>
  </si>
  <si>
    <t>2. Расходные обязательства, возникшие в результате принятия нормативных правовых актов городского округа, заключения договоров (соглашений), всего
из них:</t>
  </si>
  <si>
    <t>2500</t>
  </si>
  <si>
    <t>х</t>
  </si>
  <si>
    <t>2.1.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вопросов местного значения городского округа, всего</t>
  </si>
  <si>
    <t>2501</t>
  </si>
  <si>
    <t>в том числе:</t>
  </si>
  <si>
    <t>2.1.3.       владение, пользование и распоряжение имуществом, находящимся в муниципальной собственности городского округа</t>
  </si>
  <si>
    <t>ФЗ от 06.10.2003 №131-ФЗ"Об общих принципах организации местного самоуправления в РФ"</t>
  </si>
  <si>
    <t>ст.16 п.1 п.п.3</t>
  </si>
  <si>
    <t>01.01.2006
не установлен</t>
  </si>
  <si>
    <t>Закон Чел. области от 18.12.2003 №207-ЗО"О порядке управления государственной собственностью Чел. области и приватизации имущества, находящегося в государственной собственности Чел. области"</t>
  </si>
  <si>
    <t>в целом</t>
  </si>
  <si>
    <t>13.01.2004
не установлен</t>
  </si>
  <si>
    <t>01</t>
  </si>
  <si>
    <t>13</t>
  </si>
  <si>
    <t>04</t>
  </si>
  <si>
    <t>12</t>
  </si>
  <si>
    <t>05</t>
  </si>
  <si>
    <t>02</t>
  </si>
  <si>
    <t>03</t>
  </si>
  <si>
    <t>2.1.4.       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РФ</t>
  </si>
  <si>
    <t>ст.16 п.1 п.п.4</t>
  </si>
  <si>
    <t>ГП Чел. обл. "Обеспечение доступным и комфортным жильем граждан Российской Федерации в Челябинской области"</t>
  </si>
  <si>
    <t>2.1.6.       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городского округа,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РФ</t>
  </si>
  <si>
    <t>ст.16 п.1 п.п.5</t>
  </si>
  <si>
    <t>ГП Чел.обл "Развитие дорожного хозяйства и транспортной доступности в Челябинской области"</t>
  </si>
  <si>
    <t>09</t>
  </si>
  <si>
    <t>2.1.7. 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</si>
  <si>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ст.16 п.1 п.п.6</t>
  </si>
  <si>
    <t>10</t>
  </si>
  <si>
    <t>2.1.10 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автомобильного транспорта)</t>
  </si>
  <si>
    <t>ст.16 п.1 п.п.7</t>
  </si>
  <si>
    <t>Закон Чел. области от 30.12.2015 №293-ЗО "Об организации регулярных перевозок пассажиров и багажа в Чел. области"</t>
  </si>
  <si>
    <t>01.01.2016 не установлен</t>
  </si>
  <si>
    <t>08</t>
  </si>
  <si>
    <t>2.1.12 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городского электрического транспорта)</t>
  </si>
  <si>
    <t>ФЗ от 06.10.1999 №184-ФЗ "Об общих принципах организации законодательных (представительных) и исполнительных органов государственной власти субъектов РФ"</t>
  </si>
  <si>
    <t>18.10.1999 - не установлена</t>
  </si>
  <si>
    <t xml:space="preserve">2.1.14. участие в профилактике терроризма и экстремизма, а также в минимизации и (или) ликвидации последствий проявлений терроризма и экстремизма в границах городского округа </t>
  </si>
  <si>
    <t>ФЗ от 06.10.2003 № 35-ФЗ"О противодействии терроризму"</t>
  </si>
  <si>
    <t>ст 5.2</t>
  </si>
  <si>
    <t xml:space="preserve">Постановление Правительства Челябинской области от 30.12.2019 №628-П "О государственной программе Челябинской области "Обеспечение общественной безопасности в Челябинской области" </t>
  </si>
  <si>
    <t>01.01.2020 - 31.12.2025</t>
  </si>
  <si>
    <t>2.1.16. участие в предупреждении и ликвидации последствий чрезвычайных ситуаций в границах городского округа</t>
  </si>
  <si>
    <t>ст.16 п.1 п.п.8</t>
  </si>
  <si>
    <t>Закон Чел. области от 16.12.2004 №345-ЗО"О защите населения и территории от чрезвычайных ситуаций межмуниципального и регионального характера"</t>
  </si>
  <si>
    <t>2.1.19. обеспечение первичных мер пожарной безопасности в границах городского округа</t>
  </si>
  <si>
    <t>ст.16 п.1 п.п.10</t>
  </si>
  <si>
    <t xml:space="preserve">Закон Чел. области от 20.12.2012 N 442-ЗО
"О пожарной безопасности в Чел. области"
</t>
  </si>
  <si>
    <t>12.01.2013 не установлен</t>
  </si>
  <si>
    <t>2.1.20. организация мероприятий по охране окружающей среды в границах городского округа</t>
  </si>
  <si>
    <t>ст.16 п.1 п.п.11</t>
  </si>
  <si>
    <t>ГП  Чел обл "Охрана окружающей среды Челябинской области"</t>
  </si>
  <si>
    <t>06</t>
  </si>
  <si>
    <t>2.1.21 организация предоставления общедоступного и бесплатного дошкольного образования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</si>
  <si>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ст.16 п.1 п.п.13</t>
  </si>
  <si>
    <t>Закон Чел. области от 29.08.2013 №515-ЗО "Об образовании в Чел. области"</t>
  </si>
  <si>
    <t>ст.2</t>
  </si>
  <si>
    <t>31.08.2013г. не установлен</t>
  </si>
  <si>
    <t>07</t>
  </si>
  <si>
    <t>ФЗ от 29.12.2012 №273-ФЗ"Об Образовании в РФ"</t>
  </si>
  <si>
    <t>ст.9 п.1</t>
  </si>
  <si>
    <t>31.12.2012 не установлен</t>
  </si>
  <si>
    <t>2.1.22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городской местности</t>
  </si>
  <si>
    <t>2.1.24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РФ</t>
  </si>
  <si>
    <t>2.1.25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</si>
  <si>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2.1.26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РФ),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</si>
  <si>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2.1.29. организация библиотечного обслуживания населения, комплектование и обеспечение сохранности библиотечных фондов библиотек городского округа</t>
  </si>
  <si>
    <t>ст.16 п.1 п.п.16</t>
  </si>
  <si>
    <t>Решение СД № 6 от 03.11.2023 "Об установлении расходных обязательств Миасского городского округа в сфере культуры"</t>
  </si>
  <si>
    <t>2.1.30. создание условий для организации досуга и обеспечения жителей городского округа услугами организаций культуры</t>
  </si>
  <si>
    <t>ст.16 п.1 п.п.17</t>
  </si>
  <si>
    <t>с</t>
  </si>
  <si>
    <t>Закон Чел. области от 28.10.2004 №296-ЗО"О деятельности в сфере культуры на территории Чел. области"</t>
  </si>
  <si>
    <t>23.11.2004
не установлен</t>
  </si>
  <si>
    <t>2.1.32. сохранение, использование и популяризация объектов культурного наследия (памятников истории и культуры), находящихся в собственности городского округа, охрана объектов культурного наследия (памятников истории и культуры) местного (муниципального) значения, расположенных на территории городского округа</t>
  </si>
  <si>
    <t>ст.16 п.1 п.п.18</t>
  </si>
  <si>
    <t>23.11.2004 не установлен</t>
  </si>
  <si>
    <t>2.1.33. обеспечение условий для развития на территории городского округа физической культуры, школьного спорта и массового спорта, организация проведения официальных физкультурно-оздоровительных и спортивных мероприятий городского округа</t>
  </si>
  <si>
    <t>ст.16 п.1 п.п.19</t>
  </si>
  <si>
    <t>Закон Чел. области от 30.10.2008 №320-ЗО"О физической культуре и спорте в Чел. области"</t>
  </si>
  <si>
    <t>18.11.2008
не установлен</t>
  </si>
  <si>
    <t>11</t>
  </si>
  <si>
    <t>ФЗ от 04.12.2007 №329-ФЗ "О физической культуре и спорте в РФ"</t>
  </si>
  <si>
    <t>ст.19 п.4</t>
  </si>
  <si>
    <t>30.03.2008
не установлен</t>
  </si>
  <si>
    <t xml:space="preserve">2.1.36 формирование и содержание муниципального архива </t>
  </si>
  <si>
    <t>ст.16 п.1 п.п.22</t>
  </si>
  <si>
    <t>ГП Чел.обл "Развитие архивного дела в Челябинской области"</t>
  </si>
  <si>
    <t>2.1.37. организация ритуальных услуг и содержание мест захоронения</t>
  </si>
  <si>
    <t>Указ Президента РФ от 29.06.1996 №1001"О гарантиях прав граждан на предоставление услуг по погребению умерших"</t>
  </si>
  <si>
    <t>п.2</t>
  </si>
  <si>
    <t>14.07.1996
не установлен</t>
  </si>
  <si>
    <t>ст.16 п.1 п.п.23</t>
  </si>
  <si>
    <t>Решение СД от 29.11.2019  №15 "Об установлении расходных обязательств МГО в сфере жилищно-коммунального и дорожно-транспортного хозяйства"</t>
  </si>
  <si>
    <t>2.1.38. 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t>
  </si>
  <si>
    <t>ФЗ от 10.01.2002 №7-ФЗ"Об охране окружающей среды"</t>
  </si>
  <si>
    <t>ст.7 п.3 абз.3</t>
  </si>
  <si>
    <t>12.01.2002
не установлен</t>
  </si>
  <si>
    <t xml:space="preserve">Закон Чел. области от 29.11.2012 № 421-ЗО"Об отходах производства и потребления"
</t>
  </si>
  <si>
    <t>15.12.2012 не установлен</t>
  </si>
  <si>
    <t>Решение Собрания депутатов от 29.11.2019  №15 "Об установлении расходных обязательств МГО в сфере жилищно-коммунального и дорожно-транспортного хозяйства"</t>
  </si>
  <si>
    <t>ст.16 п.1 п.п.24</t>
  </si>
  <si>
    <t>Муниципальная программа "Благоустройство на территории Миасского городского округа "</t>
  </si>
  <si>
    <t>2.1.40 организация благоустройства территории городского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</si>
  <si>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ст.16 п.1 п.п.25</t>
  </si>
  <si>
    <t xml:space="preserve">ГП Чел. обл "Благоустройство населенных пунктов Челябинской области" </t>
  </si>
  <si>
    <t>2.1.43. 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разрешений на строительство (за исключением случаев, предусмотренных Градостроительным кодексом РФ,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РФ, осмотров зданий, сооружений и выдача рекомендаций об устранении выявленных в ходе таких осмотров нарушений</t>
  </si>
  <si>
    <t>ст.16 п.1 п.п.26</t>
  </si>
  <si>
    <t>2.1.46. организация и осуществление мероприятий по территориальной обороне и гражданской обороне, защите населения и территории городского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</si>
  <si>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ст.16 п.1 п.п.28</t>
  </si>
  <si>
    <t>ПГЧО от 10.01.2000 №6"О создании поисково - спасательной службы Чел. области"</t>
  </si>
  <si>
    <t>10.01.2000
не установлен</t>
  </si>
  <si>
    <t xml:space="preserve">Муниципальная программа "Обеспечение безопасности жизнедеятельности населения Миасского городского округа "                                                                    </t>
  </si>
  <si>
    <t>ФЗ от 12.02.1998 №28-ФЗ"О гражданской обороне"</t>
  </si>
  <si>
    <t>ст.8 п.2</t>
  </si>
  <si>
    <t>19.02.1998
не установлен</t>
  </si>
  <si>
    <t>Решение от 29.12.2005 №19 "Об установлении расходных обязательств МГО в области гражданской обороны, предупреждение и ликвидации чрезвычайных ситуаций, первичных мер пожарной безопасности людей на водных объектах"</t>
  </si>
  <si>
    <t>2.1.52 содействие развитию малого и среднего предпринимательства</t>
  </si>
  <si>
    <t>ст.16 п.1 п.п.33</t>
  </si>
  <si>
    <t>06.10.2003
не установлен</t>
  </si>
  <si>
    <t xml:space="preserve">Закон Чел. области от 27.03.2008 N 250-ЗО "О развитии малого и среднего предпринимательства в Чел. области"
</t>
  </si>
  <si>
    <t>ст.9</t>
  </si>
  <si>
    <t>15.04.2008 не установлен</t>
  </si>
  <si>
    <t>2.1.53 оказание поддержки социально ориентированным некоммерческим организациям, благотворительной деятельности и добровольчеству</t>
  </si>
  <si>
    <t>Федеральный закон от 06.10.2003 №131-ФЗ "Об общих принципах организации местного самоуправления в Российской федерации"</t>
  </si>
  <si>
    <t>01.01.2009 - не установлена</t>
  </si>
  <si>
    <t>ГП Чел.обл. "Развитие социальной защиты населения в Челябинской области"</t>
  </si>
  <si>
    <t>2.1.54. организация и осуществление мероприятий по работе с детьми и молодежью в городском округе</t>
  </si>
  <si>
    <t>ст.16 п.1 п.п.34</t>
  </si>
  <si>
    <t>Закон Чел. области от 24.08.2006 №45-ЗО"О молодежи"</t>
  </si>
  <si>
    <t>19.09.2006
не установлен</t>
  </si>
  <si>
    <t>2.2.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t>
  </si>
  <si>
    <t>2600</t>
  </si>
  <si>
    <t xml:space="preserve">2.2.1 материально-техническое и финансовое обеспечение деятельности органов местного самоуправления </t>
  </si>
  <si>
    <t>2601, 2602</t>
  </si>
  <si>
    <t>ст.17 п.1 п.п.6, ст.34</t>
  </si>
  <si>
    <t>Законом Челябинской области от 27.03.2008 № 245-ЗО "О гарантиях осуществления полномочий депутата, члена выборного органа местного самоуправления, выборного должностного лица местного самоуправления"</t>
  </si>
  <si>
    <t>Решение СД МГО  от 20.10.2023 № 3 "Об установлении расходных обязательств по Администрации Миасского городского округа"</t>
  </si>
  <si>
    <t>ФЗ от 02.03.2007 №25-ФЗ"О муниципальной службе в РФ"</t>
  </si>
  <si>
    <t>ст.34</t>
  </si>
  <si>
    <t>01.06.2007
не установлен</t>
  </si>
  <si>
    <t>Решение СД МГО № 13 от 23.08.2019
"Об установлении расходных обязательств Финансового управления Администрации Миасского городского округа"</t>
  </si>
  <si>
    <t>Решение СД от 30.03.2012 № 4 "Об установлении расходных обязательств МГО по УСЗН в части предоставления дополнительных мер социальной поддержки населения"</t>
  </si>
  <si>
    <t>2.2.6. принятие устава муниципального образования и внесение в него изменений и дополнений, издание муниципальных правовых актов</t>
  </si>
  <si>
    <t>Федеральный закон от 06.10.2003 №131-ФЗ"Об общих принципах организации местного самоуправления в Российской Федерации"</t>
  </si>
  <si>
    <t>ст.4</t>
  </si>
  <si>
    <t xml:space="preserve"> Закон Челяб. области от 26 августа 2004 года № 261-ЗО "О статусе и границах Миасского городского округа".
</t>
  </si>
  <si>
    <t>Решение Собрания депутатов МГО от 27.05.2011 №14 "Об установлении расходных обязательств Миасского городского округа по Собранию депутатов Миасского городского округа"</t>
  </si>
  <si>
    <t>Устав МГО</t>
  </si>
  <si>
    <t>2.2.8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</si>
  <si>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ст.17 п.1 п.п.3</t>
  </si>
  <si>
    <t>Зарезервированные средства, УСЗН</t>
  </si>
  <si>
    <t>2.2.23.  предоставление доплаты за выслугу лет к трудовой пенсии муниципальным служащим за счет средств местного бюджета</t>
  </si>
  <si>
    <t>20</t>
  </si>
  <si>
    <t>2.2.24. 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</si>
  <si>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2624</t>
  </si>
  <si>
    <t>ФЗ от 06.10.2003 №131-ФЗ «Об общих принципах организации местного самоуправления в РФ»</t>
  </si>
  <si>
    <t>2.3 Расходные обязательства, возникшие в результате принятия нормативных правовых актов муниципального образования, заключения договоров (соглашений) в рамках реализации органами местного самоуправления муниципального образования прав на решение вопросов, не отнесенных к вопросам местного значения муниципального образования, всего</t>
  </si>
  <si>
    <t>2700</t>
  </si>
  <si>
    <t>2.3.1.13.осуществление мероприятий по отлову и содержанию безнадзорных животных, обитающих на территории городского округа</t>
  </si>
  <si>
    <t>2714</t>
  </si>
  <si>
    <t>16.1</t>
  </si>
  <si>
    <t>ГП Чел. обл. "Развитие сельского хозяйства в Челябинской области"</t>
  </si>
  <si>
    <t>МП "Благоустройство на территории Миасского городского округа"</t>
  </si>
  <si>
    <t>2.3.3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</si>
  <si>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2900</t>
  </si>
  <si>
    <t>2902 - 2905</t>
  </si>
  <si>
    <t>Решение СД от 30.03.2012 № 4 "Об установлении расходных обязательств МГО по УСЗН в части предоставления дополнительных мер социальной поддержки населения"; Решение СД МГО от 21.12.2007 № 14 "Об утверждении положения "О муниципальной службе в Миасском городском округе"</t>
  </si>
  <si>
    <t>Решение СД № 8 от 03.11.2023 "Об утверждении положения "О предоставлении единовременной социальной выплаты педагогическим работникам муниципальных общеобразовательных учреждений, расположенных на территории Миасского городского округа"</t>
  </si>
  <si>
    <t>2.4.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РФ и (или) органами государственной власти субъекта РФ, всего</t>
  </si>
  <si>
    <t>3100</t>
  </si>
  <si>
    <t>2.4.1 за счет субвенций, предоставленных из федерального бюджета, всего</t>
  </si>
  <si>
    <t>3101</t>
  </si>
  <si>
    <t>2.4.1.1. на государственную регистрацию актов гражданского состояния</t>
  </si>
  <si>
    <t>ФЗ от 15.11.1997 №143-ФЗ"Об актах гражданского состояния"</t>
  </si>
  <si>
    <t>ст.4 п.1</t>
  </si>
  <si>
    <t>15.11.1997 не установлен
не установлен</t>
  </si>
  <si>
    <t>ЗЧО от 22.09.2005 №402-ЗО"О наделении органов местного самоуправления государственными полномочиями на государственную регистрацию актов гражданского состояния"</t>
  </si>
  <si>
    <t>ст.3 п.1</t>
  </si>
  <si>
    <t>Х</t>
  </si>
  <si>
    <t>2.4.1.2. по составлению списков кандидатов в присяжные заседатели</t>
  </si>
  <si>
    <t xml:space="preserve">ФЗ от 20.08.2004 №113-ФЗ
"О присяжных заседателях федеральных судов общей юрисдикции в РФ"
</t>
  </si>
  <si>
    <t>23.08.2004 не установлен</t>
  </si>
  <si>
    <t>ППЧО от 23.03.2007 № 65-П
"Об утверждении Порядка составления списков кандидатов в присяжные заседатели федеральных судов общей юрисдикции в Чел. области"</t>
  </si>
  <si>
    <t>п.4</t>
  </si>
  <si>
    <t>04.04.2007 не установлен</t>
  </si>
  <si>
    <t>2.4.1.7 на оплату жилищно-коммунальных услуг отдельным категориям граждан</t>
  </si>
  <si>
    <t>1) Федеральный закон от 12.01.1995 №5-ФЗ "О ветеранах"
2) Федеральный закон от 24.11.1995 №181-ФЗ "О социальной защите инвалидов в Российской Федерации"</t>
  </si>
  <si>
    <t>1) п.1, 2, ст.23.2
2) ст.28.2</t>
  </si>
  <si>
    <t>1) 16.01.1995 - не установлена                     2) 27.11.1995 - не установлена</t>
  </si>
  <si>
    <t>Закон Чел. области от 24.11.2005 №430-ЗО"О наделении органов местного самоуправления государственными полномочиями по социальной поддержке отдельных категорий граждан"</t>
  </si>
  <si>
    <t>ч.1 ст.6</t>
  </si>
  <si>
    <t>2.4.1.8 на осуществление переданного полномочия РФ по осуществлению ежегодной денежной выплаты лицам, награжденным нагрудным знаком "Почетный донор России"</t>
  </si>
  <si>
    <t xml:space="preserve">ФЗ от 20.07.2012 N 125-ФЗ
"О донорстве крови и ее компонентов"
</t>
  </si>
  <si>
    <t xml:space="preserve">23.07.2012 не установлен </t>
  </si>
  <si>
    <t>2.4.2 за счет субвенций, предоставленных из бюджета субъекта РФ, всего</t>
  </si>
  <si>
    <t>Решение СД "Об установлении расходных обязательств Миасского городского округа на очередной год и на плановый период по исполнению государственных полномочий"</t>
  </si>
  <si>
    <t>2.4.2.2.3. Формирование и содержание архивных фондов субъекта Российской Федерации</t>
  </si>
  <si>
    <t>3202.3</t>
  </si>
  <si>
    <t>1) Федеральный закон от 22.10.2004 №125-ФЗ"Об архивном деле в Российской Федерации"</t>
  </si>
  <si>
    <t>1) в целом</t>
  </si>
  <si>
    <t>1) 22.10.2004 - не указан</t>
  </si>
  <si>
    <t>2.4.2.21 на организацию предоставления общего образования в государственных образовательных организациях субъектов РФ, создание условий для осуществления присмотра и ухода за детьми, содержания детей в государственных образовательных организациях субъектов РФ</t>
  </si>
  <si>
    <t>3221</t>
  </si>
  <si>
    <t>ФЗ от 24.11.95г № 181-ФЗ "О социальной защите инвалидов в Российской Федерации"</t>
  </si>
  <si>
    <t>27.11.1995</t>
  </si>
  <si>
    <t xml:space="preserve">Закон Чел. области от 25.01.2007 № 98-ЗО
"О наделении органов местного самоуправления государственными полномочиями по компенсации части платы, взимаемой с родителей (законных представителей) за присмотр и уход за детьми в образовательных организациях, реализующих образовательную программу дошкольного образования, расположенных на территории Чел. области"
</t>
  </si>
  <si>
    <t xml:space="preserve">ФЗ от 29.12.2012 N 273-ФЗ
"Об образовании в Российской Федерации"
</t>
  </si>
  <si>
    <t>ст.8 п.1. пп.6</t>
  </si>
  <si>
    <t>2.4.2.28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</si>
  <si>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1) Федеральный закон от 29.12.2004 №188-ФЗ "Жилищный Кодекс Российской Федерации"
</t>
  </si>
  <si>
    <t xml:space="preserve">1) 01.03.2005 - не установлена
</t>
  </si>
  <si>
    <t xml:space="preserve">Закон Чел. области от 25.10.2007 № 212-ЗО"О мерах социальной поддержки детей-сирот и детей, оставшихся без попечения родителей, вознаграждении, причитающемся приемному родителю, и социальных гарантиях приемной семье"
</t>
  </si>
  <si>
    <t>15.11.2007 не установлен</t>
  </si>
  <si>
    <t>2.4.2.36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РФ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</si>
  <si>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 xml:space="preserve">Федеральный закон от 12.01.1995 № 5-ФЗ"О ветеранах"
</t>
  </si>
  <si>
    <t>ст.22,23.1</t>
  </si>
  <si>
    <t>16.01.1995 не установлен</t>
  </si>
  <si>
    <t>Закон Челябинской области от 18.12.2014 №88-ЗО "О компенсации расходов на оплату жилых помещений, отопления и освещения отдельным категориям граждан, работающих и проживающих в сельских населенных пунктах и рабочих поселках (поселках городского типа) Челябинской области"</t>
  </si>
  <si>
    <t>8) 01.07.2015 - не установлена</t>
  </si>
  <si>
    <t xml:space="preserve">1) Закон Челябинской области от 27.10.2005 №410-ЗО "О возмещении стоимости услуг по погребению и выплате социального пособия  на погребение"
2) Закон Челябинской области от 02.07.2020 №187-ЗО "О государственной социальной помощи в Челябинской области"
</t>
  </si>
  <si>
    <t>1) 01.01.2006 - не установлена
2) 13.07.2020 - не установлена</t>
  </si>
  <si>
    <t>2) Федеральный закон от 12.01.1996 №8-ФЗ "О погребении и похоронном деле"</t>
  </si>
  <si>
    <t>2) 15.01.1996 - не установлена</t>
  </si>
  <si>
    <t>3) Закон Челябинской области от 14.02.1996 №16-ОЗ "О дополнительных мерах социальной защиты ветеранов в Челябинской области"
4) Закон Челябинской области от 24.08.2016 №396-ЗО "О дополнительных мерах социальной поддержки детей погибших участников Великой Отечественной войны и приравненных к ним лиц"
5) Закон Челябинской области от 14.02.1996 №16-ОЗ "О дополнительных мерах социальной поддержки отдельных категорий граждан в Челябинской области"</t>
  </si>
  <si>
    <t>3) 29.02.1996 - не установлена
4) 01.09.2016 - не установлена
5) 29.02.1996 - не установлена</t>
  </si>
  <si>
    <t>2.4.2.37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РФ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</si>
  <si>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Закон ЧО от 30.08.2012г. № 371-ЗО "О ежемесячной денежной выплате, назначаемой в случае рождения третьего ребенка и (или) последующих детей</t>
  </si>
  <si>
    <t>2.4.2.38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t>
  </si>
  <si>
    <t>2.4.2.39 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РФ,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РФ</t>
  </si>
  <si>
    <t>Федеральный закон от 06.10.1999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</si>
  <si>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пп.24.1, п.2, ст.26.3</t>
  </si>
  <si>
    <t>Закон Чел. области от 27.05.2010 №583-ЗО "Об административных комиссиях и о наделении органов местного самоуправления государственными полномочиями по созданию адм-х комиссий и определению перечня должностных лиц, уполномоченных составлять протоколы об административных правонарушениях"</t>
  </si>
  <si>
    <t>27.05.2010
не установлен</t>
  </si>
  <si>
    <t>2.4.2.40 на организацию и осуществление деятельности по опеке и попечительству</t>
  </si>
  <si>
    <t xml:space="preserve">Федеральный закон от 24.04.2008 №48-ФЗ"Об опеке и попечительстве"
</t>
  </si>
  <si>
    <t>28.04.2008 не установлен</t>
  </si>
  <si>
    <t>Закон Чел. области от 23.08.2007 №191-ЗО"Об организации и осуществлении деятельности по опеке и попечительству в Чел. области"</t>
  </si>
  <si>
    <t>01.01.2008
не установлен</t>
  </si>
  <si>
    <t>2.4.2.48 на предоставление материальной и иной помощи для погребения</t>
  </si>
  <si>
    <t>Федеральный закон от 12.01.1996 №8-ФЗ"О погребении и похоронном деле"</t>
  </si>
  <si>
    <t>15.01.1996
не установлен</t>
  </si>
  <si>
    <t>Закон Чел. области от 27.10.2005 №410-ЗО"О возмещении стоимости услуг по погребению и выплате социального пособия на погребение"</t>
  </si>
  <si>
    <t>2.4.2.51 на участие в урегулировании коллективных трудовых споров, на осуществление мероприятий в области охраны труда, предусмотренных трудовым законодательством, на осуществление уведомительной регистрации региональных соглашений, территориальных соглашений и коллективных договоров</t>
  </si>
  <si>
    <t xml:space="preserve">Закон Чел. области от 11.09.2001 № 29-ЗО
"Об охране труда в Чел. области"
</t>
  </si>
  <si>
    <t>ст.10</t>
  </si>
  <si>
    <t>04.10.2001 не установлен</t>
  </si>
  <si>
    <t>2.4.2.65 на осуществление регионального государственного жилищного надзора, регулирования отношений в сфере обеспечения проведения капитального ремонта общего имущества в многоквартирных домах, осуществление лицензирования предпринимательской деятельности по управлению многоквартирными домами</t>
  </si>
  <si>
    <t>3265</t>
  </si>
  <si>
    <t>1) пп.61</t>
  </si>
  <si>
    <t>ст.3</t>
  </si>
  <si>
    <t>3270</t>
  </si>
  <si>
    <t>ФЗ"О защите населения и территорий от чрезвычайных ситуаций природного и техногенного характера"</t>
  </si>
  <si>
    <t>24.12.1994</t>
  </si>
  <si>
    <t xml:space="preserve">Закон Челябинской области от 01.03.2022 N 530-ЗО
"О наделении органов местного самоуправления государственными полномочиями по организации тушения ландшафтных (природных) пожаров 
</t>
  </si>
  <si>
    <t>2.4.2.85.1. Осуществление полномочий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осуществление регионального государственного контроля (надзора) в области обращения с животными</t>
  </si>
  <si>
    <t>3285.1</t>
  </si>
  <si>
    <t>1) Федеральный закон от 14.05.1993 №4979-1"О ветеринарии"</t>
  </si>
  <si>
    <t>1) 14.05.1993 - не указан</t>
  </si>
  <si>
    <t xml:space="preserve">Закон Чел.области от 30.12.2019 № 72-ЗО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
</t>
  </si>
  <si>
    <t>2.5. Расходы на осуществление отдельных государственных полномочий, не переданных, но осуществляемых органами местного самоуправления за счет субвенций из бюджета субъекта РФ</t>
  </si>
  <si>
    <t>3400</t>
  </si>
  <si>
    <t>2.5.1.обеспечение государственных гарантий реализации прав на получение общедоступного и бесплатного дошкольного образования в муниципальных дошкольных 1.5.1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РФ (в части начального общего, основного общего, общего образования в муниципальных общеобразовательных организациях в городской местности)</t>
  </si>
  <si>
    <t>3401</t>
  </si>
  <si>
    <t>ст.8 п.1</t>
  </si>
  <si>
    <t>Закон Челябинской области от 29.08.2013 №515-ЗО "Об образовании в Челябинской области"</t>
  </si>
  <si>
    <t>ст. в целом</t>
  </si>
  <si>
    <t>01.09.2013 - не установлена</t>
  </si>
  <si>
    <t>2.5.3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РФ (в части дошкольного образования в  муниципальных дошкольных образовательных организациях и муниципальных общеобразовательных организациях)</t>
  </si>
  <si>
    <t>3403</t>
  </si>
  <si>
    <t>Условно утверждаемые расходы</t>
  </si>
  <si>
    <t>Итого расходных обязательств муниципальных образований</t>
  </si>
  <si>
    <t>8000</t>
  </si>
  <si>
    <t>Реестр расходных обязательств  Миасского городского округа на 2026 год и на плановый период 2027 и 2028 годов</t>
  </si>
  <si>
    <t>2.3.3.2. Единовременная денежная выплата на погребение членам семьи (родственникам) погибшего (умершего) участника специальной военной операции на территориях Донецкой Народной Республики, Луганской Народной Республики, Запорожской области, Херсонской области и Украины</t>
  </si>
  <si>
    <t>2.3.3.3. Ежемесячная денежная выплата Почетным гражданам города</t>
  </si>
  <si>
    <t>2.3.3.5. Дополнительные меры социальной поддержки и социальной помощи для отдельных категорий граждан, установленные муниципальными правовыми актами</t>
  </si>
  <si>
    <t>2.3.3.6. Единовременная выплата гражданам, заключившим контракт с Министерством обороны Российской Федерации о прохождении военной службы в вооруженных силах Российской Федерации для участия в специальной военной операции</t>
  </si>
  <si>
    <t>2.4.2.99.111. Полномочия в рамках реализации мероприятий, связанных с влиянием ухудшения геополитической и экономической ситуации на развитие отраслей экономики, а также связанных с проведением специальной военной операции</t>
  </si>
  <si>
    <t>Решение СД МГО № 57 от 17.10.2025 "О внесении изменений в решение Собрания депутатов Миасского городского округа от 24.07.2024г. № 1 "О дополнительной мере социальной поддержки гражданам, заключившим контракт с Министерством обороны Российской Федерации о прохождении военной службы в Вооруженных силах Российской Федерации"</t>
  </si>
  <si>
    <t>Решение СД № 11 от 22.10.2021 "Об утверждении Положения "О предоставлении единовременной социальной выплаты медицинским работникам дефицитных специальностей государственных учреждений здравоохранения, расположенных на территории Миасского городского округа"</t>
  </si>
  <si>
    <t>Решение СД МГО от 26.05.2017г. № 2 "Об утверждении Положения о звании „Почётный гражданин города Миасса"</t>
  </si>
  <si>
    <t xml:space="preserve">Закон Чел. области от 1 ноября 2022 г. №686-ЗО
«О наделении органов местного самоуправления гос. полномочиями по обеспечению бесплатным двухразовым горячим питанием обучающихся в муниципальных образовательных организациях, расположенных на территории Чел области, по образовательным программам основного общего, среднего общего образования, один из родителей которых призван на военную службу по мобилизации в Вооруженные Силы РФ или является иным участником специальной военной операции на территориях ДНР, ЛНР, Запорожской области, Херсонской области и Украины» </t>
  </si>
  <si>
    <t>Муниципальная программа "Повышение эффективности использования муниципального имущества в Миасском городском округе Чел.обл"</t>
  </si>
  <si>
    <t>МП "Организация транспортного и дорожного обслуживания на территории Миасского городского округа Челябинской области"</t>
  </si>
  <si>
    <t>МП "Формирование и использование  жилищного фонда Миасского городского округа Челябинской области"</t>
  </si>
  <si>
    <t>МП "Осуществление дополнительных мер социальной поддержки населения Миасского городского округа Челябинской области в части проезда в городском и пригородном транспорте общего пользования"</t>
  </si>
  <si>
    <t>МП "Обеспечение безопасности жизнедеятельности населения Миасского городского округа Чел.обл",  Решение СД от 29.12.2005 № 19""Об установлении расходных обязательств МГО  в области гражданской обороны, предупреждение и ликвидации чрезвычайных ситуаций, первичных мер пожарной безопасности людей на водных объектах"</t>
  </si>
  <si>
    <t>МП "Обеспечение безопасности жизнедеятельности населения Миасского городского округа Челябинской области"</t>
  </si>
  <si>
    <t>МП "Развитие системы образования в Миасском городском округе Челябинской области"</t>
  </si>
  <si>
    <t>МП "Развитие системы образования в Миасском городском округе Челябинской области"; МП "Развитие культуры в Миасском городском округе Челябинской области"</t>
  </si>
  <si>
    <t>МП "Развитие системы образования в Миасском городском округе  Челябинской области"</t>
  </si>
  <si>
    <t>МП "Развитие культуры в Миасском городском округе Челябинской области "</t>
  </si>
  <si>
    <t>МП "Развитие культуры в Миасском городском округе Челябинской области", Решение СД № 6 от 03.11.2023 "Об установлении расходных обязательств Миасского городского округа в сфере культуры"</t>
  </si>
  <si>
    <t>МП "Развитие физической культуры и спорта в Миасском городском округе Челябинской области"</t>
  </si>
  <si>
    <t>МП "Обеспечение деятельности муниципального бюджетного учреждения "Миасский окружной архив"</t>
  </si>
  <si>
    <t>МП "Организация ритуальных услуг и содержание мест захоронений на территории Миасского городского округа Челябинской области"</t>
  </si>
  <si>
    <t>МП "Поддержка и развитие малого и среднего предпринимательства в Миасском городском округе Чел.обл.", МП "Формирование благоприятного инвестиционного климата", МП "Поддержка садоводческих, огороднических и дачных некоммерческих объединений граждан, расположенных на территории Миасского городского округа Чел.обл."</t>
  </si>
  <si>
    <t>МП "Социальная защита населения Миасского городского округа Челябинской области"</t>
  </si>
  <si>
    <t>МП "Охрана окружающей среды на территории Миасского городского округа Челябинской области"</t>
  </si>
  <si>
    <t>Решение СД "Об установлении расходных обязательств Миасского городского округа Челябинской области на отчетный год и плановый период годов по исполнению государственных полномочий"</t>
  </si>
  <si>
    <t>Решение СД МГО от 28.10.2022 № 11 "Об установлении расходных обязательств Миасского городского округа в области экологии и охраны окружающей среды",  МП "Охрана окружающей среды на территории Миасского городского округа Челябинской области"</t>
  </si>
  <si>
    <t>МП "Организация и проведение работ по управлению, владению, пользованию и распоряжению земельными участками на территории Миасского городского округа Чел.обл."; МП "Реализация отдельных полномочий Администрации Миасского городского округа Челябинской области в области архитектуры, градостроительства и земельных отношений"</t>
  </si>
  <si>
    <t>Наименование расходного обязательства, вопроса местного значения, полномочия, права муниципального образования в соответствии с методическими рекомендациями</t>
  </si>
  <si>
    <t>Решение СД от 25.12.2017 № 4 Об установлении расходных обязательств МГО по реализации полномочий в области физической культуры и спорта и в области реализации программ спортивной подготовки"</t>
  </si>
  <si>
    <t>МП "Благоустройство и озеленение на территории Миасского городского округа Чел.обл.",   МП "Чистый город", МП "Организация функционирования объектов инженерной инфраструктуры Миасского городского округа Чел.обл."; "Формирование современной городской среды на территории Миасского городского округа Челябинской области"</t>
  </si>
  <si>
    <t>2.4.2.70 Организация тушения ландшафтных (природных) пожаров (за исключением тушения лесных пожаров и других ландшафтных (природных) пожаров на землях лесного фонда, землях обороны и безопасности, землях особо охраняемых природных территорий, осуществляемого в соответствии с частью 5 статьи 51 Лесного кодекса Российской Федерации)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 установленными Федеральным законом "О защите населения и территорий от чрезвычайных ситуаций природного и техногенного характера"</t>
  </si>
  <si>
    <t xml:space="preserve">2.2.3. обслуживание муниципального долга без учета обслуживания долговых обязательств в части процентов, пеней и штрафных санкций по бюджетным кредитам, полученным из региональных бюджетов </t>
  </si>
  <si>
    <t>Закон Челябинской области от 28.08.2008 №296-ЗО "Об управлении государственным долгом Челябинской области"</t>
  </si>
  <si>
    <t>ст.5</t>
  </si>
  <si>
    <t>11.09.2008 - не установлена</t>
  </si>
  <si>
    <t>Решение СД МГО № 13 от 23.08.2019 "Об установлении расходных обязательств Финансового управления Администрации Миасского городского округа"</t>
  </si>
  <si>
    <t>МП "Профилактика терроризма и иных правонарушений в Миасском городском округе Челябинской области"; МП "Профилактика безнадзорности и правонарушений несовершеннолетних Миасского городского округа Челябинской области";  МП "Профилактика и противодействие проявлениям экстремизма в Миасском городском округе Челябинской области"</t>
  </si>
  <si>
    <t>МП "Организация функционирования объектов инженерной инфраструктуры Миасского городского округа Чел.обл.", МП "Организация эксплуатации и текущего ремонта гидротехнических сооружений МГО ЧО"</t>
  </si>
  <si>
    <t>14</t>
  </si>
  <si>
    <t>Решение СД от 27.02.2025 № 4 "Об утверждении стоимости услуг, предоставляемых согласно гарантированному перечню услуг по погребению на территории Миасского городского округа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</si>
</sst>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x14ac:knownFonts="1">
    <font>
      <sz val="10"/>
      <name val="Arial Cyr"/>
      <charset val="204"/>
    </font>
    <font>
      <sz val="11"/>
      <color theme="1"/>
      <name val="Calibri"/>
      <family val="2"/>
      <charset val="204"/>
      <scheme val="minor"/>
    </font>
    <font>
      <sz val="10"/>
      <name val="Arial Cyr"/>
      <charset val="204"/>
    </font>
    <font>
      <sz val="8"/>
      <name val="Times New Roman"/>
      <family val="1"/>
      <charset val="204"/>
    </font>
    <font>
      <sz val="6"/>
      <name val="Times New Roman"/>
      <family val="1"/>
      <charset val="204"/>
    </font>
    <font>
      <sz val="9"/>
      <name val="Times New Roman"/>
      <family val="1"/>
      <charset val="204"/>
    </font>
    <font>
      <b/>
      <sz val="11"/>
      <name val="Times New Roman"/>
      <family val="1"/>
      <charset val="204"/>
    </font>
    <font>
      <sz val="10"/>
      <name val="Times New Roman"/>
      <family val="1"/>
      <charset val="204"/>
    </font>
    <font>
      <b/>
      <sz val="9"/>
      <name val="Times New Roman"/>
      <family val="1"/>
      <charset val="204"/>
    </font>
    <font>
      <b/>
      <sz val="8"/>
      <name val="Times New Roman"/>
      <family val="1"/>
      <charset val="204"/>
    </font>
    <font>
      <b/>
      <sz val="6"/>
      <name val="Times New Roman"/>
      <family val="1"/>
      <charset val="204"/>
    </font>
    <font>
      <sz val="10"/>
      <name val="Arial"/>
      <family val="2"/>
      <charset val="204"/>
    </font>
    <font>
      <sz val="11"/>
      <color rgb="FF000000"/>
      <name val="Calibri"/>
      <family val="2"/>
      <charset val="204"/>
      <scheme val="minor"/>
    </font>
    <font>
      <sz val="8"/>
      <name val="Arial Cyr"/>
      <charset val="204"/>
    </font>
    <font>
      <b/>
      <u/>
      <sz val="8"/>
      <name val="Times New Roman"/>
      <family val="1"/>
      <charset val="204"/>
    </font>
    <font>
      <sz val="8"/>
      <color rgb="FF000000"/>
      <name val="Times New Roman"/>
      <family val="1"/>
      <charset val="204"/>
    </font>
    <font>
      <sz val="11"/>
      <color rgb="FF000000"/>
      <name val="Calibri"/>
      <family val="2"/>
      <scheme val="minor"/>
    </font>
    <font>
      <sz val="8"/>
      <color theme="1"/>
      <name val="Calibri"/>
      <family val="2"/>
      <charset val="20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indexed="64"/>
      </left>
      <right/>
      <top/>
      <bottom style="thin">
        <color indexed="64"/>
      </bottom>
      <diagonal/>
    </border>
    <border>
      <left style="thin">
        <color rgb="FF000000"/>
      </left>
      <right/>
      <top style="thin">
        <color rgb="FF000000"/>
      </top>
      <bottom/>
      <diagonal/>
    </border>
  </borders>
  <cellStyleXfs count="14">
    <xf numFmtId="0" fontId="0" fillId="0" borderId="0"/>
    <xf numFmtId="0" fontId="11" fillId="0" borderId="0"/>
    <xf numFmtId="0" fontId="12" fillId="0" borderId="0"/>
    <xf numFmtId="0" fontId="11" fillId="0" borderId="0"/>
    <xf numFmtId="0" fontId="16" fillId="0" borderId="0"/>
    <xf numFmtId="0" fontId="17" fillId="0" borderId="0"/>
    <xf numFmtId="0" fontId="11" fillId="0" borderId="0"/>
    <xf numFmtId="0" fontId="1" fillId="0" borderId="0"/>
    <xf numFmtId="0" fontId="1" fillId="0" borderId="0"/>
    <xf numFmtId="0" fontId="1" fillId="0" borderId="0"/>
    <xf numFmtId="0" fontId="11" fillId="0" borderId="0"/>
    <xf numFmtId="0" fontId="1" fillId="0" borderId="0"/>
    <xf numFmtId="0" fontId="1" fillId="0" borderId="0"/>
    <xf numFmtId="0" fontId="2" fillId="0" borderId="0" applyFont="0" applyFill="0" applyBorder="0" applyAlignment="0" applyProtection="0"/>
  </cellStyleXfs>
  <cellXfs count="157">
    <xf numFmtId="0" fontId="0" fillId="0" borderId="0" xfId="0"/>
    <xf numFmtId="0" fontId="3" fillId="0" borderId="0" xfId="0" applyFont="1" applyFill="1" applyAlignment="1">
      <alignment horizontal="justify"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3" fillId="0" borderId="0" xfId="0" applyFont="1" applyFill="1"/>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3" fillId="0" borderId="0" xfId="0" applyFont="1" applyFill="1" applyAlignment="1">
      <alignment horizontal="center"/>
    </xf>
    <xf numFmtId="0" fontId="9" fillId="0" borderId="1" xfId="0" applyFont="1" applyFill="1" applyBorder="1" applyAlignment="1">
      <alignment horizontal="justify" vertical="center" wrapText="1"/>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3" fillId="0" borderId="1" xfId="0" applyNumberFormat="1" applyFont="1" applyFill="1" applyBorder="1" applyAlignment="1">
      <alignment horizontal="justify" vertical="center"/>
    </xf>
    <xf numFmtId="164" fontId="8"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49" fontId="9" fillId="0" borderId="1" xfId="0" applyNumberFormat="1" applyFont="1" applyFill="1" applyBorder="1" applyAlignment="1">
      <alignment horizontal="justify" vertical="center"/>
    </xf>
    <xf numFmtId="164" fontId="5" fillId="0" borderId="1" xfId="0" applyNumberFormat="1" applyFont="1" applyFill="1" applyBorder="1" applyAlignment="1">
      <alignment horizontal="center" vertical="center"/>
    </xf>
    <xf numFmtId="164" fontId="5" fillId="0" borderId="1" xfId="1" applyNumberFormat="1" applyFont="1" applyFill="1" applyBorder="1" applyAlignment="1">
      <alignment horizontal="center" vertical="center" wrapText="1"/>
    </xf>
    <xf numFmtId="0" fontId="3" fillId="0" borderId="1" xfId="0" applyFont="1" applyFill="1" applyBorder="1" applyAlignment="1">
      <alignment horizontal="justify" vertical="center"/>
    </xf>
    <xf numFmtId="49" fontId="3" fillId="0" borderId="1" xfId="0" applyNumberFormat="1" applyFont="1" applyFill="1" applyBorder="1" applyAlignment="1">
      <alignment horizontal="justify" vertical="center" wrapText="1"/>
    </xf>
    <xf numFmtId="0" fontId="3" fillId="0" borderId="1" xfId="2" applyNumberFormat="1" applyFont="1" applyFill="1" applyBorder="1" applyAlignment="1">
      <alignment horizontal="justify"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165" fontId="5" fillId="0" borderId="1" xfId="0" applyNumberFormat="1" applyFont="1" applyFill="1" applyBorder="1" applyAlignment="1">
      <alignment horizontal="center" vertical="center"/>
    </xf>
    <xf numFmtId="0" fontId="3" fillId="0" borderId="2" xfId="0" applyFont="1" applyFill="1" applyBorder="1" applyAlignment="1">
      <alignment horizontal="justify"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justify" vertical="center" wrapText="1"/>
    </xf>
    <xf numFmtId="0" fontId="4" fillId="0" borderId="1" xfId="0" applyFont="1" applyFill="1" applyBorder="1" applyAlignment="1" applyProtection="1">
      <alignment horizontal="center" vertical="center" wrapText="1"/>
      <protection locked="0"/>
    </xf>
    <xf numFmtId="164" fontId="5"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justify" vertical="center" wrapText="1"/>
      <protection locked="0"/>
    </xf>
    <xf numFmtId="164" fontId="5" fillId="0" borderId="1" xfId="3"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readingOrder="1"/>
      <protection locked="0"/>
    </xf>
    <xf numFmtId="0" fontId="4" fillId="0" borderId="1" xfId="0" applyFont="1" applyFill="1" applyBorder="1" applyAlignment="1" applyProtection="1">
      <alignment horizontal="center" vertical="top" wrapText="1" readingOrder="1"/>
      <protection locked="0"/>
    </xf>
    <xf numFmtId="49" fontId="14"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9" fillId="0" borderId="1" xfId="2" applyNumberFormat="1" applyFont="1" applyFill="1" applyBorder="1" applyAlignment="1">
      <alignment horizontal="justify" vertical="center" wrapText="1"/>
    </xf>
    <xf numFmtId="0" fontId="15" fillId="0" borderId="1" xfId="2" applyFont="1" applyFill="1" applyBorder="1" applyAlignment="1">
      <alignment horizontal="left" vertical="center" wrapText="1"/>
    </xf>
    <xf numFmtId="0" fontId="15" fillId="2" borderId="1" xfId="2"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0" xfId="0" applyFont="1" applyFill="1" applyAlignment="1">
      <alignment vertical="center"/>
    </xf>
    <xf numFmtId="14" fontId="4" fillId="0" borderId="1" xfId="0" applyNumberFormat="1" applyFont="1" applyFill="1" applyBorder="1" applyAlignment="1" applyProtection="1">
      <alignment horizontal="center" vertical="center" wrapText="1" readingOrder="1"/>
      <protection locked="0"/>
    </xf>
    <xf numFmtId="164" fontId="5" fillId="0" borderId="1" xfId="0" applyNumberFormat="1" applyFont="1" applyFill="1" applyBorder="1" applyAlignment="1" applyProtection="1">
      <alignment horizontal="center" vertical="center" wrapText="1"/>
    </xf>
    <xf numFmtId="14" fontId="4" fillId="0" borderId="1" xfId="0" applyNumberFormat="1" applyFont="1" applyFill="1" applyBorder="1" applyAlignment="1" applyProtection="1">
      <alignment horizontal="center" vertical="center" wrapText="1"/>
      <protection locked="0"/>
    </xf>
    <xf numFmtId="49" fontId="3" fillId="0" borderId="1" xfId="2" applyNumberFormat="1" applyFont="1" applyFill="1" applyBorder="1" applyAlignment="1">
      <alignment horizontal="center" vertical="center"/>
    </xf>
    <xf numFmtId="49" fontId="3" fillId="0" borderId="3" xfId="2" applyNumberFormat="1" applyFont="1" applyFill="1" applyBorder="1" applyAlignment="1">
      <alignment horizontal="center" vertical="center"/>
    </xf>
    <xf numFmtId="49" fontId="9" fillId="0" borderId="1" xfId="2" applyNumberFormat="1" applyFont="1" applyFill="1" applyBorder="1" applyAlignment="1">
      <alignment horizontal="center" vertical="center"/>
    </xf>
    <xf numFmtId="0" fontId="10"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3" fillId="0" borderId="0" xfId="0" applyFont="1" applyFill="1" applyBorder="1"/>
    <xf numFmtId="49" fontId="3" fillId="0" borderId="1" xfId="0" applyNumberFormat="1" applyFont="1" applyFill="1" applyBorder="1" applyAlignment="1">
      <alignment horizontal="center" vertical="center" wrapText="1"/>
    </xf>
    <xf numFmtId="164" fontId="3" fillId="0" borderId="0" xfId="0" applyNumberFormat="1" applyFont="1" applyFill="1" applyBorder="1"/>
    <xf numFmtId="0" fontId="9" fillId="0" borderId="1" xfId="0" applyFont="1" applyFill="1" applyBorder="1" applyAlignment="1">
      <alignment horizontal="justify" vertical="center"/>
    </xf>
    <xf numFmtId="0" fontId="9"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justify" vertical="center" wrapText="1"/>
    </xf>
    <xf numFmtId="164" fontId="8" fillId="0" borderId="1" xfId="0" applyNumberFormat="1" applyFont="1" applyFill="1" applyBorder="1" applyAlignment="1" applyProtection="1">
      <alignment horizontal="center" vertical="center" wrapText="1"/>
    </xf>
    <xf numFmtId="0" fontId="9" fillId="0" borderId="0" xfId="0" applyFont="1" applyFill="1"/>
    <xf numFmtId="0" fontId="5" fillId="0" borderId="0" xfId="0" applyFont="1" applyFill="1" applyAlignment="1">
      <alignment horizontal="center"/>
    </xf>
    <xf numFmtId="0" fontId="3" fillId="0" borderId="0" xfId="0" applyFont="1" applyFill="1" applyAlignment="1">
      <alignment horizontal="justify"/>
    </xf>
    <xf numFmtId="0" fontId="5" fillId="0" borderId="0" xfId="0" applyFont="1" applyFill="1"/>
    <xf numFmtId="164" fontId="5" fillId="0" borderId="0" xfId="0" applyNumberFormat="1" applyFont="1" applyFill="1" applyAlignment="1">
      <alignment horizontal="center" vertical="center"/>
    </xf>
    <xf numFmtId="0" fontId="0" fillId="0" borderId="3" xfId="0" applyBorder="1" applyAlignment="1">
      <alignment horizontal="center" vertical="center"/>
    </xf>
    <xf numFmtId="0" fontId="3" fillId="0" borderId="7" xfId="2" applyNumberFormat="1" applyFont="1" applyFill="1" applyBorder="1" applyAlignment="1">
      <alignment horizontal="justify" vertical="center" wrapText="1"/>
    </xf>
    <xf numFmtId="49" fontId="4"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4" fillId="0" borderId="2" xfId="0" applyFont="1" applyFill="1" applyBorder="1" applyAlignment="1">
      <alignment horizontal="center" vertical="center" wrapText="1"/>
    </xf>
    <xf numFmtId="14" fontId="3" fillId="0" borderId="2" xfId="0" applyNumberFormat="1" applyFont="1" applyFill="1" applyBorder="1" applyAlignment="1">
      <alignment horizontal="justify" vertical="center" wrapText="1"/>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0" fontId="4" fillId="0" borderId="1" xfId="0" applyFont="1" applyFill="1" applyBorder="1" applyAlignment="1" applyProtection="1">
      <alignment horizontal="center" vertical="top" wrapText="1" readingOrder="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3" fillId="0" borderId="8" xfId="0" applyFont="1" applyFill="1" applyBorder="1" applyAlignment="1">
      <alignment horizontal="justify" vertical="center" wrapText="1"/>
    </xf>
    <xf numFmtId="0" fontId="3" fillId="0" borderId="6"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3" fillId="0" borderId="2" xfId="0" applyFont="1" applyFill="1" applyBorder="1" applyAlignment="1">
      <alignment horizontal="justify" vertical="center" wrapText="1"/>
    </xf>
    <xf numFmtId="0" fontId="0" fillId="0" borderId="3" xfId="0" applyBorder="1" applyAlignment="1">
      <alignment horizontal="justify" vertical="center" wrapText="1"/>
    </xf>
    <xf numFmtId="0" fontId="3" fillId="0" borderId="2" xfId="0" applyFont="1" applyFill="1" applyBorder="1" applyAlignment="1">
      <alignment horizontal="center" vertical="center" wrapText="1"/>
    </xf>
    <xf numFmtId="0" fontId="0" fillId="0" borderId="3" xfId="0" applyBorder="1" applyAlignment="1">
      <alignment horizontal="center" vertical="center" wrapText="1"/>
    </xf>
    <xf numFmtId="0" fontId="3" fillId="0" borderId="2" xfId="0" applyFont="1" applyFill="1" applyBorder="1" applyAlignment="1">
      <alignment horizontal="justify" vertical="center"/>
    </xf>
    <xf numFmtId="0" fontId="0" fillId="0" borderId="3" xfId="0" applyBorder="1" applyAlignment="1">
      <alignment horizontal="justify" vertical="center"/>
    </xf>
    <xf numFmtId="0" fontId="4" fillId="0" borderId="2" xfId="0" applyFont="1" applyFill="1" applyBorder="1" applyAlignment="1">
      <alignment horizontal="center" vertical="center" wrapText="1"/>
    </xf>
    <xf numFmtId="0" fontId="3" fillId="0" borderId="2" xfId="2" applyNumberFormat="1" applyFont="1" applyFill="1" applyBorder="1" applyAlignment="1">
      <alignment horizontal="justify" vertical="center" wrapText="1"/>
    </xf>
    <xf numFmtId="0" fontId="4"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top" wrapText="1" readingOrder="1"/>
      <protection locked="0"/>
    </xf>
    <xf numFmtId="0" fontId="0" fillId="0" borderId="3" xfId="0" applyBorder="1" applyAlignment="1">
      <alignment horizontal="center" vertical="top" wrapText="1" readingOrder="1"/>
    </xf>
    <xf numFmtId="0" fontId="0" fillId="0" borderId="4" xfId="0" applyBorder="1" applyAlignment="1">
      <alignment horizontal="center" vertical="center" wrapText="1"/>
    </xf>
    <xf numFmtId="49" fontId="4" fillId="0" borderId="2" xfId="0" applyNumberFormat="1" applyFont="1" applyFill="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49" fontId="4" fillId="0" borderId="2" xfId="0" applyNumberFormat="1" applyFont="1" applyFill="1" applyBorder="1" applyAlignment="1">
      <alignment horizontal="center" vertical="center" wrapText="1"/>
    </xf>
    <xf numFmtId="0" fontId="3" fillId="0" borderId="1" xfId="2" applyNumberFormat="1" applyFont="1" applyFill="1" applyBorder="1" applyAlignment="1">
      <alignment horizontal="justify" vertical="center" wrapText="1"/>
    </xf>
    <xf numFmtId="0" fontId="7" fillId="0" borderId="1" xfId="0" applyFont="1" applyFill="1" applyBorder="1" applyAlignment="1">
      <alignment horizontal="justify" vertical="center" wrapText="1"/>
    </xf>
    <xf numFmtId="49" fontId="3" fillId="0" borderId="1" xfId="2" applyNumberFormat="1" applyFont="1" applyFill="1" applyBorder="1" applyAlignment="1">
      <alignment horizontal="center" vertical="center"/>
    </xf>
    <xf numFmtId="0" fontId="3" fillId="0" borderId="1" xfId="0" applyFont="1" applyFill="1" applyBorder="1" applyAlignment="1">
      <alignment horizontal="center" vertical="center"/>
    </xf>
    <xf numFmtId="49" fontId="3" fillId="0" borderId="2"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0" fillId="0" borderId="1" xfId="0" applyFont="1" applyBorder="1" applyAlignment="1">
      <alignment horizontal="justify" vertical="center" wrapText="1"/>
    </xf>
    <xf numFmtId="0" fontId="0" fillId="0" borderId="4" xfId="0" applyBorder="1" applyAlignment="1">
      <alignment horizontal="center" vertical="top" wrapText="1" readingOrder="1"/>
    </xf>
    <xf numFmtId="0" fontId="4" fillId="0" borderId="2" xfId="0" applyFont="1" applyFill="1" applyBorder="1" applyAlignment="1" applyProtection="1">
      <alignment horizontal="center" vertical="center" wrapText="1" readingOrder="1"/>
      <protection locked="0"/>
    </xf>
    <xf numFmtId="0" fontId="0" fillId="0" borderId="4" xfId="0" applyBorder="1" applyAlignment="1">
      <alignment horizontal="center" vertical="center" wrapText="1" readingOrder="1"/>
    </xf>
    <xf numFmtId="0" fontId="0" fillId="0" borderId="3" xfId="0" applyBorder="1" applyAlignment="1">
      <alignment horizontal="center" vertical="center" wrapText="1" readingOrder="1"/>
    </xf>
    <xf numFmtId="0" fontId="3" fillId="0" borderId="2" xfId="0"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3" fillId="0" borderId="2" xfId="0" applyFont="1" applyFill="1" applyBorder="1" applyAlignment="1" applyProtection="1">
      <alignment horizontal="justify" vertical="center" wrapText="1"/>
      <protection locked="0"/>
    </xf>
    <xf numFmtId="0" fontId="0" fillId="0" borderId="3" xfId="0" applyFont="1" applyBorder="1" applyAlignment="1">
      <alignment horizontal="justify" vertical="center" wrapText="1"/>
    </xf>
    <xf numFmtId="0" fontId="4" fillId="0" borderId="1" xfId="0" applyFont="1" applyFill="1" applyBorder="1" applyAlignment="1" applyProtection="1">
      <alignment horizontal="center" vertical="top" wrapText="1" readingOrder="1"/>
      <protection locked="0"/>
    </xf>
    <xf numFmtId="0" fontId="7" fillId="0" borderId="1" xfId="0" applyFont="1" applyFill="1" applyBorder="1" applyAlignment="1">
      <alignment horizontal="center" wrapText="1" readingOrder="1"/>
    </xf>
    <xf numFmtId="0" fontId="7" fillId="0" borderId="1" xfId="0" applyFont="1" applyFill="1" applyBorder="1" applyAlignment="1">
      <alignmen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4" xfId="0" applyFont="1" applyFill="1" applyBorder="1" applyAlignment="1" applyProtection="1">
      <alignment horizontal="center" vertical="center" wrapText="1" readingOrder="1"/>
      <protection locked="0"/>
    </xf>
    <xf numFmtId="0" fontId="0" fillId="0" borderId="4" xfId="0" applyFont="1" applyFill="1" applyBorder="1" applyAlignment="1">
      <alignment horizontal="center" vertical="center" wrapText="1" readingOrder="1"/>
    </xf>
    <xf numFmtId="14" fontId="3" fillId="0" borderId="2" xfId="0" applyNumberFormat="1" applyFont="1" applyFill="1" applyBorder="1" applyAlignment="1">
      <alignment horizontal="justify" vertical="center" wrapText="1"/>
    </xf>
    <xf numFmtId="14" fontId="3" fillId="0" borderId="4" xfId="0" applyNumberFormat="1" applyFont="1" applyFill="1" applyBorder="1" applyAlignment="1">
      <alignment horizontal="justify" vertical="center" wrapText="1"/>
    </xf>
    <xf numFmtId="0" fontId="13" fillId="0" borderId="4" xfId="0" applyFont="1" applyBorder="1" applyAlignment="1">
      <alignment horizontal="center" vertical="center" wrapText="1"/>
    </xf>
    <xf numFmtId="0" fontId="4" fillId="0" borderId="2" xfId="0" applyFont="1" applyFill="1" applyBorder="1" applyAlignment="1" applyProtection="1">
      <alignment horizontal="center" vertical="top" wrapText="1"/>
      <protection locked="0"/>
    </xf>
    <xf numFmtId="0" fontId="4" fillId="0" borderId="4" xfId="0" applyFont="1" applyFill="1" applyBorder="1" applyAlignment="1" applyProtection="1">
      <alignment horizontal="center" vertical="top" wrapText="1"/>
      <protection locked="0"/>
    </xf>
    <xf numFmtId="0" fontId="4" fillId="0" borderId="4" xfId="0" applyFont="1" applyFill="1" applyBorder="1" applyAlignment="1" applyProtection="1">
      <alignment horizontal="center" vertical="center" wrapText="1"/>
      <protection locked="0"/>
    </xf>
    <xf numFmtId="49" fontId="4" fillId="0" borderId="4" xfId="0" applyNumberFormat="1" applyFont="1" applyFill="1" applyBorder="1" applyAlignment="1">
      <alignment horizontal="center" vertical="center" wrapText="1"/>
    </xf>
    <xf numFmtId="49" fontId="3" fillId="0" borderId="2" xfId="0" applyNumberFormat="1" applyFont="1" applyFill="1" applyBorder="1" applyAlignment="1">
      <alignment horizontal="justify" vertical="center" wrapText="1"/>
    </xf>
    <xf numFmtId="49" fontId="3" fillId="0" borderId="2" xfId="0" applyNumberFormat="1" applyFont="1" applyFill="1" applyBorder="1" applyAlignment="1">
      <alignment horizontal="justify" vertical="center"/>
    </xf>
    <xf numFmtId="0" fontId="4"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justify" vertical="center"/>
    </xf>
    <xf numFmtId="49" fontId="4" fillId="0" borderId="1" xfId="0" applyNumberFormat="1" applyFont="1" applyFill="1" applyBorder="1" applyAlignment="1">
      <alignment horizontal="center" vertical="center"/>
    </xf>
    <xf numFmtId="0" fontId="7" fillId="0" borderId="3"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3" fillId="0" borderId="4" xfId="0" applyFont="1" applyFill="1" applyBorder="1" applyAlignment="1" applyProtection="1">
      <alignment horizontal="justify" vertical="center" wrapText="1"/>
      <protection locked="0"/>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0" fillId="0" borderId="4" xfId="0" applyFont="1" applyBorder="1" applyAlignment="1">
      <alignment horizontal="justify" vertical="center"/>
    </xf>
    <xf numFmtId="0" fontId="0" fillId="0" borderId="3" xfId="0" applyFont="1" applyBorder="1" applyAlignment="1">
      <alignment horizontal="justify" vertical="center"/>
    </xf>
    <xf numFmtId="0" fontId="6" fillId="0" borderId="0" xfId="0" applyFont="1" applyFill="1" applyAlignment="1">
      <alignment horizontal="center" wrapText="1"/>
    </xf>
    <xf numFmtId="0" fontId="6" fillId="0" borderId="0" xfId="0" applyFont="1" applyFill="1" applyAlignment="1">
      <alignment horizont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0" fillId="0" borderId="3" xfId="0" applyFill="1" applyBorder="1" applyAlignment="1">
      <alignment horizontal="center" vertical="center"/>
    </xf>
    <xf numFmtId="0" fontId="5"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cellXfs>
  <cellStyles count="14">
    <cellStyle name="Normal" xfId="4"/>
    <cellStyle name="Обычный" xfId="0" builtinId="0"/>
    <cellStyle name="Обычный 2" xfId="2"/>
    <cellStyle name="Обычный 3" xfId="3"/>
    <cellStyle name="Обычный 4" xfId="5"/>
    <cellStyle name="Обычный 5" xfId="1"/>
    <cellStyle name="Обычный 5 2" xfId="6"/>
    <cellStyle name="Обычный 5 3" xfId="7"/>
    <cellStyle name="Обычный 6" xfId="8"/>
    <cellStyle name="Обычный 6 2" xfId="9"/>
    <cellStyle name="Обычный 7" xfId="10"/>
    <cellStyle name="Обычный 7 2" xfId="11"/>
    <cellStyle name="Обычный 7 3" xfId="12"/>
    <cellStyle name="Финансовый 2 2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P292"/>
  <sheetViews>
    <sheetView tabSelected="1" topLeftCell="A54" zoomScale="110" zoomScaleNormal="110" zoomScaleSheetLayoutView="100" workbookViewId="0">
      <selection activeCell="N58" sqref="N58"/>
    </sheetView>
  </sheetViews>
  <sheetFormatPr defaultColWidth="5.140625" defaultRowHeight="12" outlineLevelRow="1" outlineLevelCol="1" x14ac:dyDescent="0.2"/>
  <cols>
    <col min="1" max="1" width="32.85546875" style="1" customWidth="1"/>
    <col min="2" max="2" width="5.5703125" style="2" customWidth="1"/>
    <col min="3" max="3" width="11.28515625" style="3" customWidth="1" outlineLevel="1"/>
    <col min="4" max="4" width="9.140625" style="3" customWidth="1" outlineLevel="1"/>
    <col min="5" max="5" width="9.7109375" style="3" customWidth="1" outlineLevel="1"/>
    <col min="6" max="6" width="13.28515625" style="3" customWidth="1" outlineLevel="1"/>
    <col min="7" max="7" width="9.140625" style="3" customWidth="1" outlineLevel="1"/>
    <col min="8" max="8" width="9.7109375" style="3" customWidth="1" outlineLevel="1"/>
    <col min="9" max="9" width="35" style="1" customWidth="1" outlineLevel="1"/>
    <col min="10" max="10" width="4.85546875" style="2" customWidth="1"/>
    <col min="11" max="11" width="5.7109375" style="2" customWidth="1"/>
    <col min="12" max="13" width="12" style="4" customWidth="1" outlineLevel="1"/>
    <col min="14" max="14" width="12.140625" style="4" customWidth="1" outlineLevel="1"/>
    <col min="15" max="15" width="5.140625" style="5"/>
    <col min="16" max="18" width="8" style="5" customWidth="1"/>
    <col min="19" max="21" width="8.140625" style="5" customWidth="1"/>
    <col min="22" max="16384" width="5.140625" style="5"/>
  </cols>
  <sheetData>
    <row r="1" spans="1:14" x14ac:dyDescent="0.2">
      <c r="N1" s="4" t="s">
        <v>0</v>
      </c>
    </row>
    <row r="2" spans="1:14" x14ac:dyDescent="0.2">
      <c r="N2" s="4" t="s">
        <v>1</v>
      </c>
    </row>
    <row r="3" spans="1:14" ht="14.25" x14ac:dyDescent="0.2">
      <c r="A3" s="148" t="s">
        <v>291</v>
      </c>
      <c r="B3" s="149"/>
      <c r="C3" s="149"/>
      <c r="D3" s="149"/>
      <c r="E3" s="149"/>
      <c r="F3" s="149"/>
      <c r="G3" s="149"/>
      <c r="H3" s="149"/>
      <c r="I3" s="149"/>
      <c r="J3" s="149"/>
      <c r="K3" s="149"/>
      <c r="L3" s="149"/>
      <c r="M3" s="149"/>
      <c r="N3" s="149"/>
    </row>
    <row r="4" spans="1:14" x14ac:dyDescent="0.2">
      <c r="N4" s="4" t="s">
        <v>2</v>
      </c>
    </row>
    <row r="5" spans="1:14" ht="26.25" customHeight="1" x14ac:dyDescent="0.2">
      <c r="A5" s="107" t="s">
        <v>321</v>
      </c>
      <c r="B5" s="121" t="s">
        <v>3</v>
      </c>
      <c r="C5" s="121" t="s">
        <v>4</v>
      </c>
      <c r="D5" s="121"/>
      <c r="E5" s="121"/>
      <c r="F5" s="121"/>
      <c r="G5" s="121"/>
      <c r="H5" s="121"/>
      <c r="I5" s="136"/>
      <c r="J5" s="121" t="s">
        <v>5</v>
      </c>
      <c r="K5" s="121"/>
      <c r="L5" s="150"/>
      <c r="M5" s="150"/>
      <c r="N5" s="150"/>
    </row>
    <row r="6" spans="1:14" ht="22.5" x14ac:dyDescent="0.2">
      <c r="A6" s="107"/>
      <c r="B6" s="121"/>
      <c r="C6" s="105" t="s">
        <v>6</v>
      </c>
      <c r="D6" s="105"/>
      <c r="E6" s="105"/>
      <c r="F6" s="105" t="s">
        <v>7</v>
      </c>
      <c r="G6" s="105"/>
      <c r="H6" s="105"/>
      <c r="I6" s="6" t="s">
        <v>8</v>
      </c>
      <c r="J6" s="121"/>
      <c r="K6" s="121"/>
      <c r="L6" s="151" t="s">
        <v>9</v>
      </c>
      <c r="M6" s="153" t="s">
        <v>10</v>
      </c>
      <c r="N6" s="153"/>
    </row>
    <row r="7" spans="1:14" ht="11.25" customHeight="1" x14ac:dyDescent="0.2">
      <c r="A7" s="107"/>
      <c r="B7" s="121"/>
      <c r="C7" s="121" t="s">
        <v>11</v>
      </c>
      <c r="D7" s="121" t="s">
        <v>12</v>
      </c>
      <c r="E7" s="121" t="s">
        <v>13</v>
      </c>
      <c r="F7" s="121" t="s">
        <v>11</v>
      </c>
      <c r="G7" s="121" t="s">
        <v>12</v>
      </c>
      <c r="H7" s="121" t="s">
        <v>13</v>
      </c>
      <c r="I7" s="121" t="s">
        <v>14</v>
      </c>
      <c r="J7" s="121" t="s">
        <v>15</v>
      </c>
      <c r="K7" s="121" t="s">
        <v>16</v>
      </c>
      <c r="L7" s="152"/>
      <c r="M7" s="153"/>
      <c r="N7" s="153"/>
    </row>
    <row r="8" spans="1:14" ht="11.25" customHeight="1" x14ac:dyDescent="0.2">
      <c r="A8" s="107"/>
      <c r="B8" s="121"/>
      <c r="C8" s="121"/>
      <c r="D8" s="121"/>
      <c r="E8" s="121"/>
      <c r="F8" s="121"/>
      <c r="G8" s="121"/>
      <c r="H8" s="121"/>
      <c r="I8" s="121"/>
      <c r="J8" s="121"/>
      <c r="K8" s="121"/>
      <c r="L8" s="154">
        <v>2026</v>
      </c>
      <c r="M8" s="154">
        <v>2027</v>
      </c>
      <c r="N8" s="156">
        <v>2028</v>
      </c>
    </row>
    <row r="9" spans="1:14" ht="36" customHeight="1" x14ac:dyDescent="0.2">
      <c r="A9" s="107"/>
      <c r="B9" s="121"/>
      <c r="C9" s="121"/>
      <c r="D9" s="121"/>
      <c r="E9" s="121"/>
      <c r="F9" s="121"/>
      <c r="G9" s="121"/>
      <c r="H9" s="121"/>
      <c r="I9" s="121"/>
      <c r="J9" s="121"/>
      <c r="K9" s="121"/>
      <c r="L9" s="155"/>
      <c r="M9" s="155"/>
      <c r="N9" s="156"/>
    </row>
    <row r="10" spans="1:14" s="9" customFormat="1" x14ac:dyDescent="0.2">
      <c r="A10" s="7">
        <v>1</v>
      </c>
      <c r="B10" s="7">
        <v>2</v>
      </c>
      <c r="C10" s="7">
        <v>3</v>
      </c>
      <c r="D10" s="7">
        <v>4</v>
      </c>
      <c r="E10" s="7">
        <v>5</v>
      </c>
      <c r="F10" s="7">
        <v>6</v>
      </c>
      <c r="G10" s="7">
        <v>7</v>
      </c>
      <c r="H10" s="7">
        <v>8</v>
      </c>
      <c r="I10" s="7">
        <v>9</v>
      </c>
      <c r="J10" s="7">
        <v>10</v>
      </c>
      <c r="K10" s="7">
        <v>11</v>
      </c>
      <c r="L10" s="8">
        <v>12</v>
      </c>
      <c r="M10" s="8">
        <v>13</v>
      </c>
      <c r="N10" s="8">
        <v>14</v>
      </c>
    </row>
    <row r="11" spans="1:14" ht="63" x14ac:dyDescent="0.2">
      <c r="A11" s="10" t="s">
        <v>17</v>
      </c>
      <c r="B11" s="11" t="s">
        <v>18</v>
      </c>
      <c r="C11" s="12" t="s">
        <v>19</v>
      </c>
      <c r="D11" s="13" t="s">
        <v>19</v>
      </c>
      <c r="E11" s="13" t="s">
        <v>19</v>
      </c>
      <c r="F11" s="12" t="s">
        <v>19</v>
      </c>
      <c r="G11" s="13" t="s">
        <v>19</v>
      </c>
      <c r="H11" s="13" t="s">
        <v>19</v>
      </c>
      <c r="I11" s="14"/>
      <c r="J11" s="11" t="s">
        <v>19</v>
      </c>
      <c r="K11" s="11" t="s">
        <v>19</v>
      </c>
      <c r="L11" s="15">
        <f>SUM(L12+L66+L86+L96)+L89+L128+L133</f>
        <v>8783544.4000000022</v>
      </c>
      <c r="M11" s="15">
        <f>SUM(M12+M66+M86+M96)+M89+M128+M133</f>
        <v>9183369.5</v>
      </c>
      <c r="N11" s="15">
        <f>SUM(N12+N66+N86+N96)+N89+N128+N133</f>
        <v>10285001.1</v>
      </c>
    </row>
    <row r="12" spans="1:14" ht="73.5" x14ac:dyDescent="0.2">
      <c r="A12" s="10" t="s">
        <v>20</v>
      </c>
      <c r="B12" s="16" t="s">
        <v>21</v>
      </c>
      <c r="C12" s="17" t="s">
        <v>19</v>
      </c>
      <c r="D12" s="18" t="s">
        <v>19</v>
      </c>
      <c r="E12" s="18" t="s">
        <v>19</v>
      </c>
      <c r="F12" s="17" t="s">
        <v>19</v>
      </c>
      <c r="G12" s="18" t="s">
        <v>19</v>
      </c>
      <c r="H12" s="18" t="s">
        <v>19</v>
      </c>
      <c r="I12" s="19"/>
      <c r="J12" s="16" t="s">
        <v>19</v>
      </c>
      <c r="K12" s="16" t="s">
        <v>19</v>
      </c>
      <c r="L12" s="15">
        <f>SUM(L13:L65)</f>
        <v>4184521.2000000011</v>
      </c>
      <c r="M12" s="15">
        <f>SUM(M13:M65)</f>
        <v>4633296.5999999987</v>
      </c>
      <c r="N12" s="15">
        <f>SUM(N13:N65)</f>
        <v>5531686.7999999989</v>
      </c>
    </row>
    <row r="13" spans="1:14" x14ac:dyDescent="0.2">
      <c r="A13" s="6" t="s">
        <v>22</v>
      </c>
      <c r="B13" s="11"/>
      <c r="C13" s="12"/>
      <c r="D13" s="13"/>
      <c r="E13" s="13"/>
      <c r="F13" s="12"/>
      <c r="G13" s="13"/>
      <c r="H13" s="13"/>
      <c r="I13" s="14"/>
      <c r="J13" s="11"/>
      <c r="K13" s="11"/>
      <c r="L13" s="20"/>
      <c r="M13" s="20"/>
      <c r="N13" s="20"/>
    </row>
    <row r="14" spans="1:14" x14ac:dyDescent="0.2">
      <c r="A14" s="107" t="s">
        <v>23</v>
      </c>
      <c r="B14" s="121">
        <v>2504</v>
      </c>
      <c r="C14" s="138" t="s">
        <v>24</v>
      </c>
      <c r="D14" s="140" t="s">
        <v>25</v>
      </c>
      <c r="E14" s="145" t="s">
        <v>26</v>
      </c>
      <c r="F14" s="135" t="s">
        <v>27</v>
      </c>
      <c r="G14" s="135" t="s">
        <v>28</v>
      </c>
      <c r="H14" s="135" t="s">
        <v>29</v>
      </c>
      <c r="I14" s="116" t="s">
        <v>301</v>
      </c>
      <c r="J14" s="11" t="s">
        <v>30</v>
      </c>
      <c r="K14" s="11" t="s">
        <v>31</v>
      </c>
      <c r="L14" s="21">
        <f>10759.3</f>
        <v>10759.3</v>
      </c>
      <c r="M14" s="21">
        <f>10759.3</f>
        <v>10759.3</v>
      </c>
      <c r="N14" s="21">
        <f>26631.9</f>
        <v>26631.9</v>
      </c>
    </row>
    <row r="15" spans="1:14" x14ac:dyDescent="0.2">
      <c r="A15" s="107"/>
      <c r="B15" s="121"/>
      <c r="C15" s="138"/>
      <c r="D15" s="140"/>
      <c r="E15" s="145"/>
      <c r="F15" s="135"/>
      <c r="G15" s="135"/>
      <c r="H15" s="135"/>
      <c r="I15" s="143"/>
      <c r="J15" s="11" t="s">
        <v>34</v>
      </c>
      <c r="K15" s="11" t="s">
        <v>35</v>
      </c>
      <c r="L15" s="21">
        <v>6243.6</v>
      </c>
      <c r="M15" s="21">
        <v>6243.6</v>
      </c>
      <c r="N15" s="21">
        <v>11561.6</v>
      </c>
    </row>
    <row r="16" spans="1:14" ht="21" customHeight="1" x14ac:dyDescent="0.2">
      <c r="A16" s="107"/>
      <c r="B16" s="121"/>
      <c r="C16" s="138"/>
      <c r="D16" s="144"/>
      <c r="E16" s="144"/>
      <c r="F16" s="136"/>
      <c r="G16" s="137"/>
      <c r="H16" s="137"/>
      <c r="I16" s="117"/>
      <c r="J16" s="11" t="s">
        <v>34</v>
      </c>
      <c r="K16" s="11" t="s">
        <v>36</v>
      </c>
      <c r="L16" s="21">
        <v>435</v>
      </c>
      <c r="M16" s="21">
        <v>435</v>
      </c>
      <c r="N16" s="21">
        <v>435</v>
      </c>
    </row>
    <row r="17" spans="1:14" ht="30.75" customHeight="1" x14ac:dyDescent="0.2">
      <c r="A17" s="107" t="s">
        <v>37</v>
      </c>
      <c r="B17" s="121">
        <v>2505</v>
      </c>
      <c r="C17" s="138" t="s">
        <v>24</v>
      </c>
      <c r="D17" s="140" t="s">
        <v>38</v>
      </c>
      <c r="E17" s="145" t="s">
        <v>26</v>
      </c>
      <c r="F17" s="138" t="s">
        <v>39</v>
      </c>
      <c r="G17" s="140" t="s">
        <v>28</v>
      </c>
      <c r="H17" s="145"/>
      <c r="I17" s="90" t="s">
        <v>331</v>
      </c>
      <c r="J17" s="11" t="s">
        <v>36</v>
      </c>
      <c r="K17" s="11" t="s">
        <v>46</v>
      </c>
      <c r="L17" s="21">
        <v>15790.5</v>
      </c>
      <c r="M17" s="21">
        <v>30105.9</v>
      </c>
      <c r="N17" s="21">
        <v>30799</v>
      </c>
    </row>
    <row r="18" spans="1:14" ht="15" customHeight="1" x14ac:dyDescent="0.2">
      <c r="A18" s="107"/>
      <c r="B18" s="121"/>
      <c r="C18" s="138"/>
      <c r="D18" s="140"/>
      <c r="E18" s="145"/>
      <c r="F18" s="138"/>
      <c r="G18" s="140"/>
      <c r="H18" s="145"/>
      <c r="I18" s="146"/>
      <c r="J18" s="11" t="s">
        <v>34</v>
      </c>
      <c r="K18" s="11" t="s">
        <v>35</v>
      </c>
      <c r="L18" s="21">
        <f>2635+30044</f>
        <v>32679</v>
      </c>
      <c r="M18" s="21">
        <f>553.1+97146.5</f>
        <v>97699.6</v>
      </c>
      <c r="N18" s="21">
        <f>553.1+855883.2</f>
        <v>856436.29999999993</v>
      </c>
    </row>
    <row r="19" spans="1:14" ht="18" customHeight="1" x14ac:dyDescent="0.2">
      <c r="A19" s="107"/>
      <c r="B19" s="121"/>
      <c r="C19" s="138"/>
      <c r="D19" s="144"/>
      <c r="E19" s="144"/>
      <c r="F19" s="138"/>
      <c r="G19" s="140"/>
      <c r="H19" s="137"/>
      <c r="I19" s="147"/>
      <c r="J19" s="11" t="s">
        <v>34</v>
      </c>
      <c r="K19" s="11" t="s">
        <v>34</v>
      </c>
      <c r="L19" s="21">
        <f>48420.4</f>
        <v>48420.4</v>
      </c>
      <c r="M19" s="21">
        <f>32026.9</f>
        <v>32026.9</v>
      </c>
      <c r="N19" s="21">
        <v>0</v>
      </c>
    </row>
    <row r="20" spans="1:14" ht="170.25" customHeight="1" x14ac:dyDescent="0.2">
      <c r="A20" s="24" t="s">
        <v>40</v>
      </c>
      <c r="B20" s="25">
        <v>2507</v>
      </c>
      <c r="C20" s="12" t="s">
        <v>24</v>
      </c>
      <c r="D20" s="13" t="s">
        <v>41</v>
      </c>
      <c r="E20" s="26" t="s">
        <v>26</v>
      </c>
      <c r="F20" s="12" t="s">
        <v>42</v>
      </c>
      <c r="G20" s="13" t="s">
        <v>28</v>
      </c>
      <c r="H20" s="26"/>
      <c r="I20" s="23" t="s">
        <v>302</v>
      </c>
      <c r="J20" s="11" t="s">
        <v>32</v>
      </c>
      <c r="K20" s="11" t="s">
        <v>43</v>
      </c>
      <c r="L20" s="21">
        <v>462441.2</v>
      </c>
      <c r="M20" s="21">
        <v>245382.5</v>
      </c>
      <c r="N20" s="21">
        <v>245104.4</v>
      </c>
    </row>
    <row r="21" spans="1:14" ht="90" customHeight="1" x14ac:dyDescent="0.2">
      <c r="A21" s="107" t="s">
        <v>44</v>
      </c>
      <c r="B21" s="121">
        <v>2508</v>
      </c>
      <c r="C21" s="12" t="s">
        <v>24</v>
      </c>
      <c r="D21" s="13" t="s">
        <v>45</v>
      </c>
      <c r="E21" s="26" t="s">
        <v>26</v>
      </c>
      <c r="F21" s="12" t="s">
        <v>39</v>
      </c>
      <c r="G21" s="13" t="s">
        <v>28</v>
      </c>
      <c r="H21" s="13"/>
      <c r="I21" s="14" t="s">
        <v>303</v>
      </c>
      <c r="J21" s="11" t="s">
        <v>34</v>
      </c>
      <c r="K21" s="11" t="s">
        <v>30</v>
      </c>
      <c r="L21" s="21">
        <v>0</v>
      </c>
      <c r="M21" s="21">
        <v>39976.400000000001</v>
      </c>
      <c r="N21" s="21">
        <v>31231.200000000001</v>
      </c>
    </row>
    <row r="22" spans="1:14" x14ac:dyDescent="0.2">
      <c r="A22" s="107"/>
      <c r="B22" s="121"/>
      <c r="C22" s="79"/>
      <c r="D22" s="80"/>
      <c r="E22" s="82"/>
      <c r="F22" s="79"/>
      <c r="G22" s="80"/>
      <c r="H22" s="80"/>
      <c r="I22" s="14"/>
      <c r="J22" s="11" t="s">
        <v>34</v>
      </c>
      <c r="K22" s="11" t="s">
        <v>34</v>
      </c>
      <c r="L22" s="21">
        <v>3500</v>
      </c>
      <c r="M22" s="21">
        <v>3500</v>
      </c>
      <c r="N22" s="21">
        <v>42200</v>
      </c>
    </row>
    <row r="23" spans="1:14" x14ac:dyDescent="0.2">
      <c r="A23" s="107"/>
      <c r="B23" s="121"/>
      <c r="C23" s="79"/>
      <c r="D23" s="80"/>
      <c r="E23" s="82"/>
      <c r="F23" s="79"/>
      <c r="G23" s="80"/>
      <c r="H23" s="80"/>
      <c r="I23" s="14"/>
      <c r="J23" s="11" t="s">
        <v>46</v>
      </c>
      <c r="K23" s="11" t="s">
        <v>70</v>
      </c>
      <c r="L23" s="21">
        <v>2850</v>
      </c>
      <c r="M23" s="21">
        <v>2850</v>
      </c>
      <c r="N23" s="21">
        <v>5700</v>
      </c>
    </row>
    <row r="24" spans="1:14" ht="36.75" customHeight="1" x14ac:dyDescent="0.2">
      <c r="A24" s="107"/>
      <c r="B24" s="121"/>
      <c r="C24" s="12"/>
      <c r="D24" s="13"/>
      <c r="E24" s="26"/>
      <c r="F24" s="12"/>
      <c r="G24" s="13"/>
      <c r="H24" s="13"/>
      <c r="I24" s="23"/>
      <c r="J24" s="11" t="s">
        <v>46</v>
      </c>
      <c r="K24" s="11" t="s">
        <v>32</v>
      </c>
      <c r="L24" s="21">
        <v>10791.8</v>
      </c>
      <c r="M24" s="21">
        <v>11222.7</v>
      </c>
      <c r="N24" s="21">
        <v>11170.7</v>
      </c>
    </row>
    <row r="25" spans="1:14" ht="73.5" customHeight="1" x14ac:dyDescent="0.2">
      <c r="A25" s="6" t="s">
        <v>47</v>
      </c>
      <c r="B25" s="25">
        <v>2511</v>
      </c>
      <c r="C25" s="12" t="s">
        <v>24</v>
      </c>
      <c r="D25" s="13" t="s">
        <v>48</v>
      </c>
      <c r="E25" s="26" t="s">
        <v>26</v>
      </c>
      <c r="F25" s="12" t="s">
        <v>49</v>
      </c>
      <c r="G25" s="13" t="s">
        <v>28</v>
      </c>
      <c r="H25" s="26" t="s">
        <v>50</v>
      </c>
      <c r="I25" s="23" t="s">
        <v>302</v>
      </c>
      <c r="J25" s="11" t="s">
        <v>32</v>
      </c>
      <c r="K25" s="11" t="s">
        <v>51</v>
      </c>
      <c r="L25" s="21">
        <f>144975.6+133164.7</f>
        <v>278140.30000000005</v>
      </c>
      <c r="M25" s="21">
        <f>144975.6+163164.7</f>
        <v>308140.30000000005</v>
      </c>
      <c r="N25" s="21">
        <f>144975.6+163164.7</f>
        <v>308140.30000000005</v>
      </c>
    </row>
    <row r="26" spans="1:14" ht="71.25" customHeight="1" x14ac:dyDescent="0.2">
      <c r="A26" s="107" t="s">
        <v>52</v>
      </c>
      <c r="B26" s="121">
        <v>2513</v>
      </c>
      <c r="C26" s="12" t="s">
        <v>24</v>
      </c>
      <c r="D26" s="13" t="s">
        <v>48</v>
      </c>
      <c r="E26" s="26" t="s">
        <v>26</v>
      </c>
      <c r="F26" s="12" t="s">
        <v>49</v>
      </c>
      <c r="G26" s="13" t="s">
        <v>28</v>
      </c>
      <c r="H26" s="27"/>
      <c r="I26" s="23" t="s">
        <v>302</v>
      </c>
      <c r="J26" s="11" t="s">
        <v>32</v>
      </c>
      <c r="K26" s="11" t="s">
        <v>51</v>
      </c>
      <c r="L26" s="20">
        <f>105271.2+1788.5+600</f>
        <v>107659.7</v>
      </c>
      <c r="M26" s="20">
        <v>176035.7</v>
      </c>
      <c r="N26" s="20">
        <v>176035.7</v>
      </c>
    </row>
    <row r="27" spans="1:14" ht="90.75" x14ac:dyDescent="0.2">
      <c r="A27" s="107"/>
      <c r="B27" s="121"/>
      <c r="C27" s="26" t="s">
        <v>53</v>
      </c>
      <c r="D27" s="26" t="s">
        <v>28</v>
      </c>
      <c r="E27" s="26" t="s">
        <v>54</v>
      </c>
      <c r="F27" s="12"/>
      <c r="G27" s="13"/>
      <c r="H27" s="27"/>
      <c r="I27" s="22" t="s">
        <v>304</v>
      </c>
      <c r="J27" s="11" t="s">
        <v>46</v>
      </c>
      <c r="K27" s="11" t="s">
        <v>36</v>
      </c>
      <c r="L27" s="21">
        <v>4327.6000000000004</v>
      </c>
      <c r="M27" s="21">
        <v>4327.6000000000004</v>
      </c>
      <c r="N27" s="21">
        <v>4327.6000000000004</v>
      </c>
    </row>
    <row r="28" spans="1:14" ht="109.5" customHeight="1" x14ac:dyDescent="0.2">
      <c r="A28" s="86" t="s">
        <v>55</v>
      </c>
      <c r="B28" s="88">
        <v>2515</v>
      </c>
      <c r="C28" s="92" t="s">
        <v>56</v>
      </c>
      <c r="D28" s="27" t="s">
        <v>57</v>
      </c>
      <c r="E28" s="28">
        <v>38786</v>
      </c>
      <c r="F28" s="92" t="s">
        <v>58</v>
      </c>
      <c r="G28" s="13" t="s">
        <v>28</v>
      </c>
      <c r="H28" s="12" t="s">
        <v>59</v>
      </c>
      <c r="I28" s="90" t="s">
        <v>330</v>
      </c>
      <c r="J28" s="11" t="s">
        <v>30</v>
      </c>
      <c r="K28" s="11" t="s">
        <v>31</v>
      </c>
      <c r="L28" s="29">
        <f>180+150</f>
        <v>330</v>
      </c>
      <c r="M28" s="21">
        <f>180+150</f>
        <v>330</v>
      </c>
      <c r="N28" s="21">
        <f>180+150</f>
        <v>330</v>
      </c>
    </row>
    <row r="29" spans="1:14" x14ac:dyDescent="0.2">
      <c r="A29" s="87"/>
      <c r="B29" s="89"/>
      <c r="C29" s="89"/>
      <c r="D29" s="81"/>
      <c r="E29" s="28"/>
      <c r="F29" s="89"/>
      <c r="G29" s="80"/>
      <c r="H29" s="79"/>
      <c r="I29" s="91"/>
      <c r="J29" s="11" t="s">
        <v>36</v>
      </c>
      <c r="K29" s="11" t="s">
        <v>332</v>
      </c>
      <c r="L29" s="29">
        <v>4926.6000000000004</v>
      </c>
      <c r="M29" s="21">
        <v>1217.8</v>
      </c>
      <c r="N29" s="21">
        <v>1217.8</v>
      </c>
    </row>
    <row r="30" spans="1:14" ht="94.5" customHeight="1" x14ac:dyDescent="0.2">
      <c r="A30" s="30" t="s">
        <v>60</v>
      </c>
      <c r="B30" s="31">
        <v>2517</v>
      </c>
      <c r="C30" s="12" t="s">
        <v>24</v>
      </c>
      <c r="D30" s="13" t="s">
        <v>61</v>
      </c>
      <c r="E30" s="26" t="s">
        <v>26</v>
      </c>
      <c r="F30" s="12" t="s">
        <v>62</v>
      </c>
      <c r="G30" s="13" t="s">
        <v>28</v>
      </c>
      <c r="H30" s="26" t="s">
        <v>50</v>
      </c>
      <c r="I30" s="32" t="s">
        <v>305</v>
      </c>
      <c r="J30" s="11" t="s">
        <v>36</v>
      </c>
      <c r="K30" s="11" t="s">
        <v>43</v>
      </c>
      <c r="L30" s="21">
        <v>44084.7</v>
      </c>
      <c r="M30" s="21">
        <v>58804.5</v>
      </c>
      <c r="N30" s="21">
        <v>58804.5</v>
      </c>
    </row>
    <row r="31" spans="1:14" ht="57.75" x14ac:dyDescent="0.2">
      <c r="A31" s="6" t="s">
        <v>63</v>
      </c>
      <c r="B31" s="25">
        <v>2520</v>
      </c>
      <c r="C31" s="12" t="s">
        <v>24</v>
      </c>
      <c r="D31" s="13" t="s">
        <v>64</v>
      </c>
      <c r="E31" s="26" t="s">
        <v>26</v>
      </c>
      <c r="F31" s="12" t="s">
        <v>65</v>
      </c>
      <c r="G31" s="13" t="s">
        <v>28</v>
      </c>
      <c r="H31" s="26" t="s">
        <v>66</v>
      </c>
      <c r="I31" s="23" t="s">
        <v>306</v>
      </c>
      <c r="J31" s="11" t="s">
        <v>36</v>
      </c>
      <c r="K31" s="11" t="s">
        <v>46</v>
      </c>
      <c r="L31" s="21">
        <f>31373.3-15790.5-10.6</f>
        <v>15572.199999999999</v>
      </c>
      <c r="M31" s="21">
        <f>57953-30105.9-10.6</f>
        <v>27836.5</v>
      </c>
      <c r="N31" s="21">
        <f>66653.1-30799-10.6</f>
        <v>35843.500000000007</v>
      </c>
    </row>
    <row r="32" spans="1:14" ht="34.5" customHeight="1" x14ac:dyDescent="0.2">
      <c r="A32" s="86" t="s">
        <v>67</v>
      </c>
      <c r="B32" s="88">
        <v>2521</v>
      </c>
      <c r="C32" s="12" t="s">
        <v>24</v>
      </c>
      <c r="D32" s="13" t="s">
        <v>68</v>
      </c>
      <c r="E32" s="26" t="s">
        <v>26</v>
      </c>
      <c r="F32" s="12" t="s">
        <v>69</v>
      </c>
      <c r="G32" s="13" t="s">
        <v>28</v>
      </c>
      <c r="H32" s="33"/>
      <c r="I32" s="116" t="s">
        <v>319</v>
      </c>
      <c r="J32" s="11" t="s">
        <v>70</v>
      </c>
      <c r="K32" s="11" t="s">
        <v>36</v>
      </c>
      <c r="L32" s="21">
        <f>15742.3-59.7</f>
        <v>15682.599999999999</v>
      </c>
      <c r="M32" s="21">
        <f>17624.1-59.7</f>
        <v>17564.399999999998</v>
      </c>
      <c r="N32" s="21">
        <f>17624.1-59.7</f>
        <v>17564.399999999998</v>
      </c>
    </row>
    <row r="33" spans="1:14" ht="35.25" customHeight="1" x14ac:dyDescent="0.2">
      <c r="A33" s="141"/>
      <c r="B33" s="142"/>
      <c r="C33" s="12"/>
      <c r="D33" s="13"/>
      <c r="E33" s="26"/>
      <c r="F33" s="12"/>
      <c r="G33" s="13"/>
      <c r="H33" s="33"/>
      <c r="I33" s="141"/>
      <c r="J33" s="11" t="s">
        <v>70</v>
      </c>
      <c r="K33" s="11" t="s">
        <v>34</v>
      </c>
      <c r="L33" s="21">
        <f>23321.2+7278.8-421.7</f>
        <v>30178.3</v>
      </c>
      <c r="M33" s="21">
        <f>2973.2+10336.3</f>
        <v>13309.5</v>
      </c>
      <c r="N33" s="21">
        <f>3111.8+19188.6</f>
        <v>22300.399999999998</v>
      </c>
    </row>
    <row r="34" spans="1:14" ht="58.5" customHeight="1" x14ac:dyDescent="0.2">
      <c r="A34" s="107" t="s">
        <v>71</v>
      </c>
      <c r="B34" s="121">
        <v>2522</v>
      </c>
      <c r="C34" s="12" t="s">
        <v>24</v>
      </c>
      <c r="D34" s="13" t="s">
        <v>72</v>
      </c>
      <c r="E34" s="26" t="s">
        <v>26</v>
      </c>
      <c r="F34" s="12" t="s">
        <v>73</v>
      </c>
      <c r="G34" s="13" t="s">
        <v>74</v>
      </c>
      <c r="H34" s="26" t="s">
        <v>75</v>
      </c>
      <c r="I34" s="23" t="s">
        <v>307</v>
      </c>
      <c r="J34" s="11" t="s">
        <v>76</v>
      </c>
      <c r="K34" s="11" t="s">
        <v>30</v>
      </c>
      <c r="L34" s="34">
        <f>1361715.8-L132-1532.3</f>
        <v>530061.69999999995</v>
      </c>
      <c r="M34" s="34">
        <f>1473031.7-M132-1532.3</f>
        <v>640818.59999999986</v>
      </c>
      <c r="N34" s="34">
        <f>1459933.7-N132-1532.3</f>
        <v>627139.09999999986</v>
      </c>
    </row>
    <row r="35" spans="1:14" ht="70.5" customHeight="1" x14ac:dyDescent="0.2">
      <c r="A35" s="107"/>
      <c r="B35" s="121"/>
      <c r="C35" s="12" t="s">
        <v>77</v>
      </c>
      <c r="D35" s="13" t="s">
        <v>78</v>
      </c>
      <c r="E35" s="26" t="s">
        <v>79</v>
      </c>
      <c r="F35" s="12"/>
      <c r="G35" s="13"/>
      <c r="H35" s="26"/>
      <c r="I35" s="23"/>
      <c r="J35" s="11" t="s">
        <v>46</v>
      </c>
      <c r="K35" s="11" t="s">
        <v>32</v>
      </c>
      <c r="L35" s="34">
        <v>1639</v>
      </c>
      <c r="M35" s="34">
        <v>1639</v>
      </c>
      <c r="N35" s="34">
        <v>1639</v>
      </c>
    </row>
    <row r="36" spans="1:14" ht="150.75" customHeight="1" x14ac:dyDescent="0.2">
      <c r="A36" s="86" t="s">
        <v>80</v>
      </c>
      <c r="B36" s="88">
        <v>2523</v>
      </c>
      <c r="C36" s="92" t="s">
        <v>24</v>
      </c>
      <c r="D36" s="98" t="s">
        <v>72</v>
      </c>
      <c r="E36" s="101" t="s">
        <v>26</v>
      </c>
      <c r="F36" s="92" t="s">
        <v>73</v>
      </c>
      <c r="G36" s="98" t="s">
        <v>74</v>
      </c>
      <c r="H36" s="101" t="s">
        <v>75</v>
      </c>
      <c r="I36" s="133" t="s">
        <v>307</v>
      </c>
      <c r="J36" s="11" t="s">
        <v>76</v>
      </c>
      <c r="K36" s="11" t="s">
        <v>35</v>
      </c>
      <c r="L36" s="34">
        <f>2433179.5-L129-L85-L107-L112-L127</f>
        <v>809187.90000000014</v>
      </c>
      <c r="M36" s="34">
        <f>2679535.8-M129-M85-M107-M112-M127</f>
        <v>1059000.9999999998</v>
      </c>
      <c r="N36" s="34">
        <f>2583828.8-N129-N85-N107-N112-N127</f>
        <v>968601.49999999988</v>
      </c>
    </row>
    <row r="37" spans="1:14" x14ac:dyDescent="0.2">
      <c r="A37" s="87"/>
      <c r="B37" s="89"/>
      <c r="C37" s="89"/>
      <c r="D37" s="100"/>
      <c r="E37" s="89"/>
      <c r="F37" s="89"/>
      <c r="G37" s="100"/>
      <c r="H37" s="89"/>
      <c r="I37" s="117"/>
      <c r="J37" s="11" t="s">
        <v>46</v>
      </c>
      <c r="K37" s="11" t="s">
        <v>32</v>
      </c>
      <c r="L37" s="34">
        <v>332.6</v>
      </c>
      <c r="M37" s="34">
        <v>626.29999999999995</v>
      </c>
      <c r="N37" s="34">
        <v>626.29999999999995</v>
      </c>
    </row>
    <row r="38" spans="1:14" ht="104.25" customHeight="1" x14ac:dyDescent="0.2">
      <c r="A38" s="6" t="s">
        <v>81</v>
      </c>
      <c r="B38" s="25">
        <v>2525</v>
      </c>
      <c r="C38" s="12" t="s">
        <v>24</v>
      </c>
      <c r="D38" s="13" t="s">
        <v>72</v>
      </c>
      <c r="E38" s="26" t="s">
        <v>26</v>
      </c>
      <c r="F38" s="12" t="s">
        <v>73</v>
      </c>
      <c r="G38" s="13" t="s">
        <v>74</v>
      </c>
      <c r="H38" s="26" t="s">
        <v>75</v>
      </c>
      <c r="I38" s="23" t="s">
        <v>308</v>
      </c>
      <c r="J38" s="11" t="s">
        <v>76</v>
      </c>
      <c r="K38" s="11" t="s">
        <v>36</v>
      </c>
      <c r="L38" s="34">
        <f>183739.5+232857.3-25347.1-16635.7</f>
        <v>374614</v>
      </c>
      <c r="M38" s="34">
        <f>193650.7+241116.4-25347.1-16635.7</f>
        <v>392784.3</v>
      </c>
      <c r="N38" s="34">
        <f>187592.5+244592.3-25347.1-16635.7</f>
        <v>390202</v>
      </c>
    </row>
    <row r="39" spans="1:14" ht="65.25" customHeight="1" x14ac:dyDescent="0.2">
      <c r="A39" s="6" t="s">
        <v>82</v>
      </c>
      <c r="B39" s="25">
        <v>2526</v>
      </c>
      <c r="C39" s="12" t="s">
        <v>24</v>
      </c>
      <c r="D39" s="13" t="s">
        <v>72</v>
      </c>
      <c r="E39" s="26" t="s">
        <v>26</v>
      </c>
      <c r="F39" s="12" t="s">
        <v>73</v>
      </c>
      <c r="G39" s="13" t="s">
        <v>74</v>
      </c>
      <c r="H39" s="26" t="s">
        <v>75</v>
      </c>
      <c r="I39" s="23" t="s">
        <v>307</v>
      </c>
      <c r="J39" s="11" t="s">
        <v>76</v>
      </c>
      <c r="K39" s="11" t="s">
        <v>43</v>
      </c>
      <c r="L39" s="34">
        <f>1270.5+8000</f>
        <v>9270.5</v>
      </c>
      <c r="M39" s="34">
        <f>1270.5+8000</f>
        <v>9270.5</v>
      </c>
      <c r="N39" s="34">
        <f>1270.5+8000</f>
        <v>9270.5</v>
      </c>
    </row>
    <row r="40" spans="1:14" ht="104.25" customHeight="1" x14ac:dyDescent="0.2">
      <c r="A40" s="6" t="s">
        <v>83</v>
      </c>
      <c r="B40" s="25">
        <v>2527</v>
      </c>
      <c r="C40" s="12" t="s">
        <v>24</v>
      </c>
      <c r="D40" s="13" t="s">
        <v>72</v>
      </c>
      <c r="E40" s="26" t="s">
        <v>26</v>
      </c>
      <c r="F40" s="12" t="s">
        <v>73</v>
      </c>
      <c r="G40" s="13" t="s">
        <v>74</v>
      </c>
      <c r="H40" s="26" t="s">
        <v>75</v>
      </c>
      <c r="I40" s="23" t="s">
        <v>309</v>
      </c>
      <c r="J40" s="11" t="s">
        <v>76</v>
      </c>
      <c r="K40" s="11" t="s">
        <v>43</v>
      </c>
      <c r="L40" s="34">
        <f>12425.3+290+468.1+76450.4+9750</f>
        <v>99383.799999999988</v>
      </c>
      <c r="M40" s="34">
        <f>13255.6+460+468.1+78022.5+211.8</f>
        <v>92418</v>
      </c>
      <c r="N40" s="34">
        <f>13544.3+800+1000+83486.7</f>
        <v>98831</v>
      </c>
    </row>
    <row r="41" spans="1:14" ht="57.75" x14ac:dyDescent="0.2">
      <c r="A41" s="86" t="s">
        <v>84</v>
      </c>
      <c r="B41" s="88">
        <v>2530</v>
      </c>
      <c r="C41" s="12" t="s">
        <v>24</v>
      </c>
      <c r="D41" s="13" t="s">
        <v>85</v>
      </c>
      <c r="E41" s="26" t="s">
        <v>26</v>
      </c>
      <c r="F41" s="12"/>
      <c r="G41" s="13"/>
      <c r="H41" s="26"/>
      <c r="I41" s="116" t="s">
        <v>86</v>
      </c>
      <c r="J41" s="11" t="s">
        <v>51</v>
      </c>
      <c r="K41" s="11" t="s">
        <v>30</v>
      </c>
      <c r="L41" s="34">
        <v>89636.7</v>
      </c>
      <c r="M41" s="34">
        <v>88355.4</v>
      </c>
      <c r="N41" s="34">
        <v>88355.4</v>
      </c>
    </row>
    <row r="42" spans="1:14" x14ac:dyDescent="0.2">
      <c r="A42" s="87"/>
      <c r="B42" s="89"/>
      <c r="C42" s="12"/>
      <c r="D42" s="13"/>
      <c r="E42" s="26"/>
      <c r="F42" s="12"/>
      <c r="G42" s="13"/>
      <c r="H42" s="26"/>
      <c r="I42" s="117"/>
      <c r="J42" s="11" t="s">
        <v>51</v>
      </c>
      <c r="K42" s="11" t="s">
        <v>32</v>
      </c>
      <c r="L42" s="34">
        <v>120</v>
      </c>
      <c r="M42" s="34">
        <v>120</v>
      </c>
      <c r="N42" s="34">
        <v>120</v>
      </c>
    </row>
    <row r="43" spans="1:14" ht="66" customHeight="1" x14ac:dyDescent="0.2">
      <c r="A43" s="107" t="s">
        <v>87</v>
      </c>
      <c r="B43" s="121">
        <v>2531</v>
      </c>
      <c r="C43" s="12" t="s">
        <v>24</v>
      </c>
      <c r="D43" s="13" t="s">
        <v>88</v>
      </c>
      <c r="E43" s="26" t="s">
        <v>89</v>
      </c>
      <c r="F43" s="135" t="s">
        <v>90</v>
      </c>
      <c r="G43" s="140" t="s">
        <v>28</v>
      </c>
      <c r="H43" s="135" t="s">
        <v>91</v>
      </c>
      <c r="I43" s="35" t="s">
        <v>310</v>
      </c>
      <c r="J43" s="11" t="s">
        <v>51</v>
      </c>
      <c r="K43" s="11" t="s">
        <v>30</v>
      </c>
      <c r="L43" s="36">
        <f>232544.3-800-L41</f>
        <v>142107.59999999998</v>
      </c>
      <c r="M43" s="36">
        <f>236580.7-800-3023.5-M41</f>
        <v>144401.80000000002</v>
      </c>
      <c r="N43" s="36">
        <f>239444.1-800-5886.9-N41</f>
        <v>144401.80000000002</v>
      </c>
    </row>
    <row r="44" spans="1:14" ht="45" x14ac:dyDescent="0.2">
      <c r="A44" s="107"/>
      <c r="B44" s="121"/>
      <c r="C44" s="12"/>
      <c r="D44" s="13"/>
      <c r="E44" s="26"/>
      <c r="F44" s="135"/>
      <c r="G44" s="140"/>
      <c r="H44" s="135"/>
      <c r="I44" s="35" t="s">
        <v>86</v>
      </c>
      <c r="J44" s="11" t="s">
        <v>51</v>
      </c>
      <c r="K44" s="11" t="s">
        <v>32</v>
      </c>
      <c r="L44" s="36">
        <f>66238.9-7613.9-120</f>
        <v>58504.999999999993</v>
      </c>
      <c r="M44" s="36">
        <f>81493.9-10102.3-120</f>
        <v>71271.599999999991</v>
      </c>
      <c r="N44" s="36">
        <f>82743.9-10102.3-120</f>
        <v>72521.599999999991</v>
      </c>
    </row>
    <row r="45" spans="1:14" ht="93" customHeight="1" x14ac:dyDescent="0.2">
      <c r="A45" s="86" t="s">
        <v>92</v>
      </c>
      <c r="B45" s="88">
        <v>2533</v>
      </c>
      <c r="C45" s="12" t="s">
        <v>24</v>
      </c>
      <c r="D45" s="13" t="s">
        <v>93</v>
      </c>
      <c r="E45" s="26" t="s">
        <v>26</v>
      </c>
      <c r="F45" s="12" t="s">
        <v>90</v>
      </c>
      <c r="G45" s="13" t="s">
        <v>28</v>
      </c>
      <c r="H45" s="26" t="s">
        <v>94</v>
      </c>
      <c r="I45" s="35" t="s">
        <v>311</v>
      </c>
      <c r="J45" s="11" t="s">
        <v>51</v>
      </c>
      <c r="K45" s="11" t="s">
        <v>30</v>
      </c>
      <c r="L45" s="36">
        <v>0</v>
      </c>
      <c r="M45" s="36">
        <f>28400+3023.5</f>
        <v>31423.5</v>
      </c>
      <c r="N45" s="36">
        <f>38400+5886.9</f>
        <v>44286.9</v>
      </c>
    </row>
    <row r="46" spans="1:14" hidden="1" x14ac:dyDescent="0.2">
      <c r="A46" s="87"/>
      <c r="B46" s="89"/>
      <c r="C46" s="12"/>
      <c r="D46" s="13"/>
      <c r="E46" s="26"/>
      <c r="F46" s="12"/>
      <c r="G46" s="13"/>
      <c r="H46" s="26"/>
      <c r="I46" s="35"/>
      <c r="J46" s="11" t="s">
        <v>51</v>
      </c>
      <c r="K46" s="11" t="s">
        <v>32</v>
      </c>
      <c r="L46" s="36"/>
      <c r="M46" s="36"/>
      <c r="N46" s="36"/>
    </row>
    <row r="47" spans="1:14" ht="57.75" x14ac:dyDescent="0.2">
      <c r="A47" s="107" t="s">
        <v>95</v>
      </c>
      <c r="B47" s="121">
        <v>2534</v>
      </c>
      <c r="C47" s="12" t="s">
        <v>24</v>
      </c>
      <c r="D47" s="13" t="s">
        <v>96</v>
      </c>
      <c r="E47" s="26" t="s">
        <v>26</v>
      </c>
      <c r="F47" s="138" t="s">
        <v>97</v>
      </c>
      <c r="G47" s="140" t="s">
        <v>28</v>
      </c>
      <c r="H47" s="135" t="s">
        <v>98</v>
      </c>
      <c r="I47" s="35" t="s">
        <v>312</v>
      </c>
      <c r="J47" s="11" t="s">
        <v>99</v>
      </c>
      <c r="K47" s="11" t="s">
        <v>30</v>
      </c>
      <c r="L47" s="21">
        <v>413185.6</v>
      </c>
      <c r="M47" s="21">
        <v>418951.5</v>
      </c>
      <c r="N47" s="21">
        <v>438833.7</v>
      </c>
    </row>
    <row r="48" spans="1:14" ht="26.25" customHeight="1" x14ac:dyDescent="0.2">
      <c r="A48" s="107"/>
      <c r="B48" s="121"/>
      <c r="C48" s="138" t="s">
        <v>100</v>
      </c>
      <c r="D48" s="135" t="s">
        <v>101</v>
      </c>
      <c r="E48" s="135" t="s">
        <v>102</v>
      </c>
      <c r="F48" s="138"/>
      <c r="G48" s="140"/>
      <c r="H48" s="137"/>
      <c r="I48" s="139" t="s">
        <v>322</v>
      </c>
      <c r="J48" s="11" t="s">
        <v>99</v>
      </c>
      <c r="K48" s="11" t="s">
        <v>35</v>
      </c>
      <c r="L48" s="21">
        <v>13804.9</v>
      </c>
      <c r="M48" s="21">
        <v>137828.9</v>
      </c>
      <c r="N48" s="21">
        <v>302994.09999999998</v>
      </c>
    </row>
    <row r="49" spans="1:14" ht="26.25" customHeight="1" x14ac:dyDescent="0.2">
      <c r="A49" s="107"/>
      <c r="B49" s="121"/>
      <c r="C49" s="138"/>
      <c r="D49" s="135"/>
      <c r="E49" s="135"/>
      <c r="F49" s="138"/>
      <c r="G49" s="140"/>
      <c r="H49" s="137"/>
      <c r="I49" s="139"/>
      <c r="J49" s="11" t="s">
        <v>99</v>
      </c>
      <c r="K49" s="11" t="s">
        <v>36</v>
      </c>
      <c r="L49" s="21">
        <v>14146.6</v>
      </c>
      <c r="M49" s="21">
        <v>18926.2</v>
      </c>
      <c r="N49" s="21">
        <v>19179.099999999999</v>
      </c>
    </row>
    <row r="50" spans="1:14" ht="13.5" customHeight="1" x14ac:dyDescent="0.2">
      <c r="A50" s="107"/>
      <c r="B50" s="121"/>
      <c r="C50" s="138"/>
      <c r="D50" s="135"/>
      <c r="E50" s="135"/>
      <c r="F50" s="138"/>
      <c r="G50" s="140"/>
      <c r="H50" s="137"/>
      <c r="I50" s="139"/>
      <c r="J50" s="11" t="s">
        <v>99</v>
      </c>
      <c r="K50" s="11" t="s">
        <v>34</v>
      </c>
      <c r="L50" s="21">
        <f>4268.1+9821.1</f>
        <v>14089.2</v>
      </c>
      <c r="M50" s="21">
        <v>4268.1000000000004</v>
      </c>
      <c r="N50" s="21">
        <v>4268.1000000000004</v>
      </c>
    </row>
    <row r="51" spans="1:14" ht="54.75" customHeight="1" x14ac:dyDescent="0.2">
      <c r="A51" s="6" t="s">
        <v>103</v>
      </c>
      <c r="B51" s="25">
        <v>2537</v>
      </c>
      <c r="C51" s="12" t="s">
        <v>24</v>
      </c>
      <c r="D51" s="13" t="s">
        <v>104</v>
      </c>
      <c r="E51" s="26" t="s">
        <v>26</v>
      </c>
      <c r="F51" s="12" t="s">
        <v>105</v>
      </c>
      <c r="G51" s="13" t="s">
        <v>28</v>
      </c>
      <c r="H51" s="37"/>
      <c r="I51" s="22" t="s">
        <v>313</v>
      </c>
      <c r="J51" s="11" t="s">
        <v>30</v>
      </c>
      <c r="K51" s="11" t="s">
        <v>31</v>
      </c>
      <c r="L51" s="21">
        <v>8513.2000000000007</v>
      </c>
      <c r="M51" s="21">
        <v>8513.2000000000007</v>
      </c>
      <c r="N51" s="21">
        <v>8513.2000000000007</v>
      </c>
    </row>
    <row r="52" spans="1:14" ht="60" customHeight="1" x14ac:dyDescent="0.2">
      <c r="A52" s="107" t="s">
        <v>106</v>
      </c>
      <c r="B52" s="121">
        <v>2538</v>
      </c>
      <c r="C52" s="94" t="s">
        <v>107</v>
      </c>
      <c r="D52" s="33" t="s">
        <v>108</v>
      </c>
      <c r="E52" s="33" t="s">
        <v>109</v>
      </c>
      <c r="F52" s="12"/>
      <c r="G52" s="13"/>
      <c r="H52" s="13"/>
      <c r="I52" s="14" t="s">
        <v>314</v>
      </c>
      <c r="J52" s="11" t="s">
        <v>34</v>
      </c>
      <c r="K52" s="11" t="s">
        <v>35</v>
      </c>
      <c r="L52" s="21">
        <v>1900</v>
      </c>
      <c r="M52" s="21">
        <v>1900</v>
      </c>
      <c r="N52" s="21">
        <v>1900</v>
      </c>
    </row>
    <row r="53" spans="1:14" ht="56.25" x14ac:dyDescent="0.2">
      <c r="A53" s="107"/>
      <c r="B53" s="121"/>
      <c r="C53" s="89"/>
      <c r="D53" s="78"/>
      <c r="E53" s="78"/>
      <c r="F53" s="79"/>
      <c r="G53" s="80"/>
      <c r="H53" s="80"/>
      <c r="I53" s="14" t="s">
        <v>333</v>
      </c>
      <c r="J53" s="11" t="s">
        <v>70</v>
      </c>
      <c r="K53" s="11" t="s">
        <v>34</v>
      </c>
      <c r="L53" s="21">
        <v>421.7</v>
      </c>
      <c r="M53" s="21">
        <v>421.7</v>
      </c>
      <c r="N53" s="21">
        <v>421.7</v>
      </c>
    </row>
    <row r="54" spans="1:14" ht="57.75" x14ac:dyDescent="0.2">
      <c r="A54" s="107"/>
      <c r="B54" s="121"/>
      <c r="C54" s="12" t="s">
        <v>24</v>
      </c>
      <c r="D54" s="13" t="s">
        <v>110</v>
      </c>
      <c r="E54" s="26" t="s">
        <v>26</v>
      </c>
      <c r="F54" s="12"/>
      <c r="G54" s="13"/>
      <c r="H54" s="13"/>
      <c r="I54" s="14" t="s">
        <v>111</v>
      </c>
      <c r="J54" s="11" t="s">
        <v>34</v>
      </c>
      <c r="K54" s="11" t="s">
        <v>36</v>
      </c>
      <c r="L54" s="21">
        <v>9323.5</v>
      </c>
      <c r="M54" s="21">
        <v>9323.5</v>
      </c>
      <c r="N54" s="21">
        <v>9323.5</v>
      </c>
    </row>
    <row r="55" spans="1:14" ht="66" hidden="1" customHeight="1" x14ac:dyDescent="0.2">
      <c r="A55" s="107" t="s">
        <v>112</v>
      </c>
      <c r="B55" s="121">
        <v>2539</v>
      </c>
      <c r="C55" s="33" t="s">
        <v>113</v>
      </c>
      <c r="D55" s="33" t="s">
        <v>114</v>
      </c>
      <c r="E55" s="33" t="s">
        <v>115</v>
      </c>
      <c r="F55" s="12" t="s">
        <v>116</v>
      </c>
      <c r="G55" s="13" t="s">
        <v>74</v>
      </c>
      <c r="H55" s="26" t="s">
        <v>117</v>
      </c>
      <c r="I55" s="14" t="s">
        <v>118</v>
      </c>
      <c r="J55" s="11" t="s">
        <v>34</v>
      </c>
      <c r="K55" s="11" t="s">
        <v>36</v>
      </c>
      <c r="L55" s="34"/>
      <c r="M55" s="34"/>
      <c r="N55" s="34"/>
    </row>
    <row r="56" spans="1:14" ht="47.25" hidden="1" customHeight="1" x14ac:dyDescent="0.2">
      <c r="A56" s="107"/>
      <c r="B56" s="121"/>
      <c r="C56" s="33" t="s">
        <v>24</v>
      </c>
      <c r="D56" s="33" t="s">
        <v>119</v>
      </c>
      <c r="E56" s="26" t="s">
        <v>26</v>
      </c>
      <c r="F56" s="12"/>
      <c r="G56" s="13"/>
      <c r="H56" s="13"/>
      <c r="I56" s="14" t="s">
        <v>120</v>
      </c>
      <c r="J56" s="11"/>
      <c r="K56" s="11"/>
      <c r="L56" s="20"/>
      <c r="M56" s="20"/>
      <c r="N56" s="20"/>
    </row>
    <row r="57" spans="1:14" ht="59.25" customHeight="1" x14ac:dyDescent="0.2">
      <c r="A57" s="86" t="s">
        <v>121</v>
      </c>
      <c r="B57" s="88">
        <v>2541</v>
      </c>
      <c r="C57" s="94" t="s">
        <v>24</v>
      </c>
      <c r="D57" s="94" t="s">
        <v>122</v>
      </c>
      <c r="E57" s="101" t="s">
        <v>26</v>
      </c>
      <c r="F57" s="92" t="s">
        <v>123</v>
      </c>
      <c r="G57" s="13"/>
      <c r="H57" s="13"/>
      <c r="I57" s="134" t="s">
        <v>323</v>
      </c>
      <c r="J57" s="11" t="s">
        <v>34</v>
      </c>
      <c r="K57" s="11" t="s">
        <v>36</v>
      </c>
      <c r="L57" s="21">
        <f>487108.5-435-9323.5-1182.7-725.9</f>
        <v>475441.39999999997</v>
      </c>
      <c r="M57" s="21">
        <f>407132.9-435-9323.5-1182.7-725.9</f>
        <v>395465.8</v>
      </c>
      <c r="N57" s="21">
        <f>404542.1-435-9323.5-1182.7-725.9</f>
        <v>392874.99999999994</v>
      </c>
    </row>
    <row r="58" spans="1:14" ht="9.75" customHeight="1" x14ac:dyDescent="0.2">
      <c r="A58" s="87"/>
      <c r="B58" s="89"/>
      <c r="C58" s="89"/>
      <c r="D58" s="89"/>
      <c r="E58" s="89"/>
      <c r="F58" s="89"/>
      <c r="G58" s="80"/>
      <c r="H58" s="80"/>
      <c r="I58" s="91"/>
      <c r="J58" s="11" t="s">
        <v>34</v>
      </c>
      <c r="K58" s="11" t="s">
        <v>34</v>
      </c>
      <c r="L58" s="21"/>
      <c r="M58" s="21"/>
      <c r="N58" s="21"/>
    </row>
    <row r="59" spans="1:14" ht="114.75" customHeight="1" x14ac:dyDescent="0.2">
      <c r="A59" s="6" t="s">
        <v>124</v>
      </c>
      <c r="B59" s="25">
        <v>2544</v>
      </c>
      <c r="C59" s="33" t="s">
        <v>24</v>
      </c>
      <c r="D59" s="33" t="s">
        <v>125</v>
      </c>
      <c r="E59" s="26" t="s">
        <v>26</v>
      </c>
      <c r="F59" s="12"/>
      <c r="G59" s="13"/>
      <c r="H59" s="13"/>
      <c r="I59" s="14" t="s">
        <v>320</v>
      </c>
      <c r="J59" s="11" t="s">
        <v>32</v>
      </c>
      <c r="K59" s="11" t="s">
        <v>33</v>
      </c>
      <c r="L59" s="21">
        <f>3337.2</f>
        <v>3337.2</v>
      </c>
      <c r="M59" s="21">
        <f>3337.2</f>
        <v>3337.2</v>
      </c>
      <c r="N59" s="21">
        <f>3337.2</f>
        <v>3337.2</v>
      </c>
    </row>
    <row r="60" spans="1:14" ht="83.25" hidden="1" customHeight="1" x14ac:dyDescent="0.2">
      <c r="A60" s="107" t="s">
        <v>126</v>
      </c>
      <c r="B60" s="121">
        <v>2547</v>
      </c>
      <c r="C60" s="33" t="s">
        <v>24</v>
      </c>
      <c r="D60" s="33" t="s">
        <v>127</v>
      </c>
      <c r="E60" s="26" t="s">
        <v>26</v>
      </c>
      <c r="F60" s="135" t="s">
        <v>128</v>
      </c>
      <c r="G60" s="135" t="s">
        <v>28</v>
      </c>
      <c r="H60" s="135" t="s">
        <v>129</v>
      </c>
      <c r="I60" s="35" t="s">
        <v>130</v>
      </c>
      <c r="J60" s="11" t="s">
        <v>36</v>
      </c>
      <c r="K60" s="11" t="s">
        <v>43</v>
      </c>
      <c r="L60" s="21"/>
      <c r="M60" s="21"/>
      <c r="N60" s="21"/>
    </row>
    <row r="61" spans="1:14" ht="68.25" hidden="1" customHeight="1" x14ac:dyDescent="0.2">
      <c r="A61" s="107"/>
      <c r="B61" s="121"/>
      <c r="C61" s="33" t="s">
        <v>131</v>
      </c>
      <c r="D61" s="33" t="s">
        <v>132</v>
      </c>
      <c r="E61" s="33" t="s">
        <v>133</v>
      </c>
      <c r="F61" s="136"/>
      <c r="G61" s="137"/>
      <c r="H61" s="137"/>
      <c r="I61" s="22" t="s">
        <v>134</v>
      </c>
      <c r="J61" s="11"/>
      <c r="K61" s="11"/>
      <c r="L61" s="20"/>
      <c r="M61" s="20"/>
      <c r="N61" s="20"/>
    </row>
    <row r="62" spans="1:14" ht="109.5" customHeight="1" x14ac:dyDescent="0.2">
      <c r="A62" s="6" t="s">
        <v>135</v>
      </c>
      <c r="B62" s="25">
        <v>2553</v>
      </c>
      <c r="C62" s="33" t="s">
        <v>24</v>
      </c>
      <c r="D62" s="33" t="s">
        <v>136</v>
      </c>
      <c r="E62" s="33" t="s">
        <v>137</v>
      </c>
      <c r="F62" s="12" t="s">
        <v>138</v>
      </c>
      <c r="G62" s="13" t="s">
        <v>139</v>
      </c>
      <c r="H62" s="26" t="s">
        <v>140</v>
      </c>
      <c r="I62" s="23" t="s">
        <v>315</v>
      </c>
      <c r="J62" s="11" t="s">
        <v>32</v>
      </c>
      <c r="K62" s="11" t="s">
        <v>33</v>
      </c>
      <c r="L62" s="21">
        <f>2224+200+10550</f>
        <v>12974</v>
      </c>
      <c r="M62" s="21">
        <f>200+6550</f>
        <v>6750</v>
      </c>
      <c r="N62" s="21">
        <f>200+6550</f>
        <v>6750</v>
      </c>
    </row>
    <row r="63" spans="1:14" ht="59.25" customHeight="1" x14ac:dyDescent="0.2">
      <c r="A63" s="86" t="s">
        <v>141</v>
      </c>
      <c r="B63" s="88">
        <v>2554</v>
      </c>
      <c r="C63" s="101" t="s">
        <v>142</v>
      </c>
      <c r="D63" s="26" t="s">
        <v>28</v>
      </c>
      <c r="E63" s="26" t="s">
        <v>143</v>
      </c>
      <c r="F63" s="12" t="s">
        <v>144</v>
      </c>
      <c r="G63" s="13" t="s">
        <v>28</v>
      </c>
      <c r="H63" s="13"/>
      <c r="I63" s="133" t="s">
        <v>316</v>
      </c>
      <c r="J63" s="11" t="s">
        <v>46</v>
      </c>
      <c r="K63" s="11" t="s">
        <v>36</v>
      </c>
      <c r="L63" s="21">
        <f>310.8+1700</f>
        <v>2010.8</v>
      </c>
      <c r="M63" s="21">
        <f>310.8+1700</f>
        <v>2010.8</v>
      </c>
      <c r="N63" s="21">
        <f>360+1700</f>
        <v>2060</v>
      </c>
    </row>
    <row r="64" spans="1:14" x14ac:dyDescent="0.2">
      <c r="A64" s="87"/>
      <c r="B64" s="89"/>
      <c r="C64" s="89"/>
      <c r="D64" s="26"/>
      <c r="E64" s="26"/>
      <c r="F64" s="12"/>
      <c r="G64" s="13"/>
      <c r="H64" s="13"/>
      <c r="I64" s="117"/>
      <c r="J64" s="11" t="s">
        <v>46</v>
      </c>
      <c r="K64" s="11" t="s">
        <v>70</v>
      </c>
      <c r="L64" s="21">
        <v>600</v>
      </c>
      <c r="M64" s="21">
        <v>600</v>
      </c>
      <c r="N64" s="21">
        <v>600</v>
      </c>
    </row>
    <row r="65" spans="1:14" ht="57.75" x14ac:dyDescent="0.2">
      <c r="A65" s="30" t="s">
        <v>145</v>
      </c>
      <c r="B65" s="25">
        <v>2555</v>
      </c>
      <c r="C65" s="33" t="s">
        <v>24</v>
      </c>
      <c r="D65" s="33" t="s">
        <v>146</v>
      </c>
      <c r="E65" s="26" t="s">
        <v>26</v>
      </c>
      <c r="F65" s="33" t="s">
        <v>147</v>
      </c>
      <c r="G65" s="33" t="s">
        <v>28</v>
      </c>
      <c r="H65" s="33" t="s">
        <v>148</v>
      </c>
      <c r="I65" s="35" t="s">
        <v>307</v>
      </c>
      <c r="J65" s="11" t="s">
        <v>76</v>
      </c>
      <c r="K65" s="11" t="s">
        <v>76</v>
      </c>
      <c r="L65" s="34">
        <v>5101.5</v>
      </c>
      <c r="M65" s="34">
        <v>5101.5</v>
      </c>
      <c r="N65" s="34">
        <v>8801.7999999999993</v>
      </c>
    </row>
    <row r="66" spans="1:14" ht="84" x14ac:dyDescent="0.2">
      <c r="A66" s="10" t="s">
        <v>149</v>
      </c>
      <c r="B66" s="16" t="s">
        <v>150</v>
      </c>
      <c r="C66" s="17" t="s">
        <v>19</v>
      </c>
      <c r="D66" s="18" t="s">
        <v>19</v>
      </c>
      <c r="E66" s="18" t="s">
        <v>19</v>
      </c>
      <c r="F66" s="17" t="s">
        <v>19</v>
      </c>
      <c r="G66" s="18" t="s">
        <v>19</v>
      </c>
      <c r="H66" s="18" t="s">
        <v>19</v>
      </c>
      <c r="I66" s="19"/>
      <c r="J66" s="16" t="s">
        <v>19</v>
      </c>
      <c r="K66" s="16" t="s">
        <v>19</v>
      </c>
      <c r="L66" s="15">
        <f>SUM(L68:L85)</f>
        <v>1086339</v>
      </c>
      <c r="M66" s="15">
        <f>SUM(M68:M85)</f>
        <v>871359.00000000023</v>
      </c>
      <c r="N66" s="15">
        <f>SUM(N68:N85)</f>
        <v>918191.5</v>
      </c>
    </row>
    <row r="67" spans="1:14" x14ac:dyDescent="0.2">
      <c r="A67" s="6" t="s">
        <v>22</v>
      </c>
      <c r="B67" s="11"/>
      <c r="C67" s="12"/>
      <c r="D67" s="13"/>
      <c r="E67" s="13"/>
      <c r="F67" s="12"/>
      <c r="G67" s="13"/>
      <c r="H67" s="13"/>
      <c r="I67" s="14"/>
      <c r="J67" s="11"/>
      <c r="K67" s="11"/>
      <c r="L67" s="20"/>
      <c r="M67" s="20"/>
      <c r="N67" s="20"/>
    </row>
    <row r="68" spans="1:14" ht="57.75" x14ac:dyDescent="0.2">
      <c r="A68" s="107" t="s">
        <v>151</v>
      </c>
      <c r="B68" s="121" t="s">
        <v>152</v>
      </c>
      <c r="C68" s="33" t="s">
        <v>24</v>
      </c>
      <c r="D68" s="33" t="s">
        <v>153</v>
      </c>
      <c r="E68" s="26" t="s">
        <v>26</v>
      </c>
      <c r="F68" s="94" t="s">
        <v>154</v>
      </c>
      <c r="G68" s="33" t="s">
        <v>28</v>
      </c>
      <c r="H68" s="33"/>
      <c r="I68" s="14" t="s">
        <v>155</v>
      </c>
      <c r="J68" s="11" t="s">
        <v>30</v>
      </c>
      <c r="K68" s="11" t="s">
        <v>35</v>
      </c>
      <c r="L68" s="21">
        <v>7595.6</v>
      </c>
      <c r="M68" s="21">
        <v>7595.6</v>
      </c>
      <c r="N68" s="21">
        <v>7595.6</v>
      </c>
    </row>
    <row r="69" spans="1:14" ht="38.25" customHeight="1" x14ac:dyDescent="0.2">
      <c r="A69" s="107"/>
      <c r="B69" s="121"/>
      <c r="C69" s="33" t="s">
        <v>156</v>
      </c>
      <c r="D69" s="33" t="s">
        <v>157</v>
      </c>
      <c r="E69" s="33" t="s">
        <v>158</v>
      </c>
      <c r="F69" s="97"/>
      <c r="G69" s="13"/>
      <c r="H69" s="26"/>
      <c r="I69" s="14" t="s">
        <v>155</v>
      </c>
      <c r="J69" s="11" t="s">
        <v>30</v>
      </c>
      <c r="K69" s="11" t="s">
        <v>32</v>
      </c>
      <c r="L69" s="21">
        <f>316594.1</f>
        <v>316594.09999999998</v>
      </c>
      <c r="M69" s="21">
        <f>339527.9</f>
        <v>339527.9</v>
      </c>
      <c r="N69" s="21">
        <v>339527.9</v>
      </c>
    </row>
    <row r="70" spans="1:14" ht="45" x14ac:dyDescent="0.2">
      <c r="A70" s="107"/>
      <c r="B70" s="121"/>
      <c r="C70" s="12"/>
      <c r="D70" s="13"/>
      <c r="E70" s="13"/>
      <c r="F70" s="12"/>
      <c r="G70" s="27"/>
      <c r="H70" s="27"/>
      <c r="I70" s="6" t="s">
        <v>159</v>
      </c>
      <c r="J70" s="11" t="s">
        <v>30</v>
      </c>
      <c r="K70" s="11" t="s">
        <v>70</v>
      </c>
      <c r="L70" s="21">
        <v>67242.899999999994</v>
      </c>
      <c r="M70" s="21">
        <v>72128.7</v>
      </c>
      <c r="N70" s="21">
        <v>72128.7</v>
      </c>
    </row>
    <row r="71" spans="1:14" x14ac:dyDescent="0.2">
      <c r="A71" s="107"/>
      <c r="B71" s="121"/>
      <c r="C71" s="12"/>
      <c r="D71" s="13"/>
      <c r="E71" s="13"/>
      <c r="F71" s="12"/>
      <c r="G71" s="27"/>
      <c r="H71" s="27"/>
      <c r="I71" s="22"/>
      <c r="J71" s="11" t="s">
        <v>30</v>
      </c>
      <c r="K71" s="11" t="s">
        <v>99</v>
      </c>
      <c r="L71" s="21">
        <v>5000</v>
      </c>
      <c r="M71" s="21">
        <v>5000</v>
      </c>
      <c r="N71" s="21">
        <v>5000</v>
      </c>
    </row>
    <row r="72" spans="1:14" x14ac:dyDescent="0.2">
      <c r="A72" s="107"/>
      <c r="B72" s="121"/>
      <c r="C72" s="12"/>
      <c r="D72" s="13"/>
      <c r="E72" s="13"/>
      <c r="F72" s="33"/>
      <c r="G72" s="33"/>
      <c r="H72" s="33"/>
      <c r="I72" s="14"/>
      <c r="J72" s="11" t="s">
        <v>30</v>
      </c>
      <c r="K72" s="11" t="s">
        <v>31</v>
      </c>
      <c r="L72" s="21">
        <f>33107.5+40563.5-6000</f>
        <v>67671</v>
      </c>
      <c r="M72" s="21">
        <f>73170.9+23847.1-30026.8</f>
        <v>66991.199999999997</v>
      </c>
      <c r="N72" s="21">
        <f>85032.3+75147.5-41888.2</f>
        <v>118291.59999999999</v>
      </c>
    </row>
    <row r="73" spans="1:14" x14ac:dyDescent="0.2">
      <c r="A73" s="107"/>
      <c r="B73" s="121"/>
      <c r="C73" s="12"/>
      <c r="D73" s="13"/>
      <c r="E73" s="13"/>
      <c r="F73" s="33"/>
      <c r="G73" s="33"/>
      <c r="H73" s="33"/>
      <c r="I73" s="35"/>
      <c r="J73" s="11" t="s">
        <v>76</v>
      </c>
      <c r="K73" s="11" t="s">
        <v>34</v>
      </c>
      <c r="L73" s="21">
        <f>224.2</f>
        <v>224.2</v>
      </c>
      <c r="M73" s="21">
        <v>224.2</v>
      </c>
      <c r="N73" s="21">
        <v>224.2</v>
      </c>
    </row>
    <row r="74" spans="1:14" x14ac:dyDescent="0.2">
      <c r="A74" s="107"/>
      <c r="B74" s="121"/>
      <c r="C74" s="12"/>
      <c r="D74" s="13"/>
      <c r="E74" s="13"/>
      <c r="F74" s="33"/>
      <c r="G74" s="33"/>
      <c r="H74" s="33"/>
      <c r="I74" s="35"/>
      <c r="J74" s="11" t="s">
        <v>76</v>
      </c>
      <c r="K74" s="11" t="s">
        <v>43</v>
      </c>
      <c r="L74" s="21">
        <f>34982.5+344.5+1481.2+1103.8</f>
        <v>37912</v>
      </c>
      <c r="M74" s="21">
        <f>38107.3+494.5+1481.2+900.2</f>
        <v>40983.199999999997</v>
      </c>
      <c r="N74" s="21">
        <f>38107.3+556+1730.5+2390.8</f>
        <v>42784.600000000006</v>
      </c>
    </row>
    <row r="75" spans="1:14" x14ac:dyDescent="0.2">
      <c r="A75" s="107"/>
      <c r="B75" s="121"/>
      <c r="C75" s="12"/>
      <c r="D75" s="13"/>
      <c r="E75" s="13"/>
      <c r="F75" s="33"/>
      <c r="G75" s="33"/>
      <c r="H75" s="33"/>
      <c r="I75" s="35"/>
      <c r="J75" s="11" t="s">
        <v>51</v>
      </c>
      <c r="K75" s="11" t="s">
        <v>32</v>
      </c>
      <c r="L75" s="21">
        <f>7613.9</f>
        <v>7613.9</v>
      </c>
      <c r="M75" s="21">
        <f>10102.3</f>
        <v>10102.299999999999</v>
      </c>
      <c r="N75" s="21">
        <f>10102.3</f>
        <v>10102.299999999999</v>
      </c>
    </row>
    <row r="76" spans="1:14" x14ac:dyDescent="0.2">
      <c r="A76" s="107"/>
      <c r="B76" s="121"/>
      <c r="C76" s="12"/>
      <c r="D76" s="13"/>
      <c r="E76" s="13"/>
      <c r="F76" s="33"/>
      <c r="G76" s="33"/>
      <c r="H76" s="33"/>
      <c r="I76" s="35"/>
      <c r="J76" s="11" t="s">
        <v>99</v>
      </c>
      <c r="K76" s="11" t="s">
        <v>34</v>
      </c>
      <c r="L76" s="21">
        <f>15017.3</f>
        <v>15017.3</v>
      </c>
      <c r="M76" s="21">
        <v>18403.3</v>
      </c>
      <c r="N76" s="21">
        <v>18953.3</v>
      </c>
    </row>
    <row r="77" spans="1:14" ht="45" x14ac:dyDescent="0.2">
      <c r="A77" s="107"/>
      <c r="B77" s="121"/>
      <c r="C77" s="12"/>
      <c r="D77" s="13"/>
      <c r="E77" s="13"/>
      <c r="F77" s="12"/>
      <c r="G77" s="13"/>
      <c r="H77" s="13"/>
      <c r="I77" s="14" t="s">
        <v>160</v>
      </c>
      <c r="J77" s="11" t="s">
        <v>46</v>
      </c>
      <c r="K77" s="11" t="s">
        <v>70</v>
      </c>
      <c r="L77" s="21">
        <f>17896.8+466.3+1128.6+720.1+28.7+28657.3-0.8</f>
        <v>48896.999999999993</v>
      </c>
      <c r="M77" s="21">
        <f>20896+466.3+1128.6+544.6+28.7+28657.3</f>
        <v>51721.5</v>
      </c>
      <c r="N77" s="21">
        <f>20896+466.3+1128.6+544.6+28.7+28657.3</f>
        <v>51721.5</v>
      </c>
    </row>
    <row r="78" spans="1:14" ht="74.25" x14ac:dyDescent="0.2">
      <c r="A78" s="74" t="s">
        <v>325</v>
      </c>
      <c r="B78" s="71">
        <v>2603</v>
      </c>
      <c r="C78" s="73" t="s">
        <v>162</v>
      </c>
      <c r="D78" s="76"/>
      <c r="E78" s="76"/>
      <c r="F78" s="73" t="s">
        <v>326</v>
      </c>
      <c r="G78" s="70" t="s">
        <v>327</v>
      </c>
      <c r="H78" s="75" t="s">
        <v>328</v>
      </c>
      <c r="I78" s="72" t="s">
        <v>329</v>
      </c>
      <c r="J78" s="11" t="s">
        <v>31</v>
      </c>
      <c r="K78" s="11" t="s">
        <v>30</v>
      </c>
      <c r="L78" s="21">
        <v>30000</v>
      </c>
      <c r="M78" s="21">
        <v>12000</v>
      </c>
      <c r="N78" s="21"/>
    </row>
    <row r="79" spans="1:14" ht="56.25" x14ac:dyDescent="0.2">
      <c r="A79" s="126" t="s">
        <v>161</v>
      </c>
      <c r="B79" s="88">
        <v>2606</v>
      </c>
      <c r="C79" s="129" t="s">
        <v>162</v>
      </c>
      <c r="D79" s="94" t="s">
        <v>163</v>
      </c>
      <c r="E79" s="94" t="s">
        <v>26</v>
      </c>
      <c r="F79" s="101" t="s">
        <v>164</v>
      </c>
      <c r="G79" s="122" t="s">
        <v>28</v>
      </c>
      <c r="H79" s="13"/>
      <c r="I79" s="35" t="s">
        <v>165</v>
      </c>
      <c r="J79" s="11" t="s">
        <v>30</v>
      </c>
      <c r="K79" s="11" t="s">
        <v>36</v>
      </c>
      <c r="L79" s="21">
        <v>38157.5</v>
      </c>
      <c r="M79" s="21">
        <v>39743.599999999999</v>
      </c>
      <c r="N79" s="21">
        <v>39743.599999999999</v>
      </c>
    </row>
    <row r="80" spans="1:14" x14ac:dyDescent="0.2">
      <c r="A80" s="127"/>
      <c r="B80" s="128"/>
      <c r="C80" s="130"/>
      <c r="D80" s="131"/>
      <c r="E80" s="131"/>
      <c r="F80" s="132"/>
      <c r="G80" s="123"/>
      <c r="H80" s="13"/>
      <c r="I80" s="35" t="s">
        <v>166</v>
      </c>
      <c r="J80" s="11" t="s">
        <v>30</v>
      </c>
      <c r="K80" s="11" t="s">
        <v>31</v>
      </c>
      <c r="L80" s="21">
        <v>5787.9</v>
      </c>
      <c r="M80" s="21">
        <v>5857.8</v>
      </c>
      <c r="N80" s="21">
        <v>5857.8</v>
      </c>
    </row>
    <row r="81" spans="1:14" ht="69.75" customHeight="1" x14ac:dyDescent="0.2">
      <c r="A81" s="107" t="s">
        <v>167</v>
      </c>
      <c r="B81" s="121">
        <v>2608</v>
      </c>
      <c r="C81" s="110" t="s">
        <v>162</v>
      </c>
      <c r="D81" s="38" t="s">
        <v>168</v>
      </c>
      <c r="E81" s="38" t="s">
        <v>26</v>
      </c>
      <c r="F81" s="12"/>
      <c r="G81" s="13"/>
      <c r="H81" s="13"/>
      <c r="I81" s="14" t="s">
        <v>155</v>
      </c>
      <c r="J81" s="11" t="s">
        <v>30</v>
      </c>
      <c r="K81" s="11" t="s">
        <v>31</v>
      </c>
      <c r="L81" s="21">
        <v>6000</v>
      </c>
      <c r="M81" s="21">
        <v>30026.799999999999</v>
      </c>
      <c r="N81" s="21">
        <v>41888.199999999997</v>
      </c>
    </row>
    <row r="82" spans="1:14" x14ac:dyDescent="0.2">
      <c r="A82" s="107"/>
      <c r="B82" s="121"/>
      <c r="C82" s="124"/>
      <c r="D82" s="38"/>
      <c r="E82" s="38"/>
      <c r="F82" s="12"/>
      <c r="G82" s="13"/>
      <c r="H82" s="13"/>
      <c r="I82" s="14"/>
      <c r="J82" s="11" t="s">
        <v>32</v>
      </c>
      <c r="K82" s="11" t="s">
        <v>33</v>
      </c>
      <c r="L82" s="21">
        <v>14808.2</v>
      </c>
      <c r="M82" s="21">
        <v>16745.599999999999</v>
      </c>
      <c r="N82" s="21">
        <v>16745.599999999999</v>
      </c>
    </row>
    <row r="83" spans="1:14" ht="48.75" customHeight="1" x14ac:dyDescent="0.2">
      <c r="A83" s="107"/>
      <c r="B83" s="121"/>
      <c r="C83" s="125"/>
      <c r="D83" s="33"/>
      <c r="E83" s="26"/>
      <c r="F83" s="12"/>
      <c r="G83" s="13"/>
      <c r="H83" s="13"/>
      <c r="I83" s="22" t="s">
        <v>169</v>
      </c>
      <c r="J83" s="11" t="s">
        <v>46</v>
      </c>
      <c r="K83" s="11" t="s">
        <v>70</v>
      </c>
      <c r="L83" s="21">
        <v>258732.6</v>
      </c>
      <c r="M83" s="21"/>
      <c r="N83" s="21"/>
    </row>
    <row r="84" spans="1:14" ht="74.25" x14ac:dyDescent="0.2">
      <c r="A84" s="6" t="s">
        <v>170</v>
      </c>
      <c r="B84" s="25">
        <v>2623</v>
      </c>
      <c r="C84" s="39" t="s">
        <v>162</v>
      </c>
      <c r="D84" s="13" t="s">
        <v>171</v>
      </c>
      <c r="E84" s="38" t="s">
        <v>26</v>
      </c>
      <c r="F84" s="12"/>
      <c r="G84" s="13"/>
      <c r="H84" s="13"/>
      <c r="I84" s="14" t="s">
        <v>160</v>
      </c>
      <c r="J84" s="11" t="s">
        <v>46</v>
      </c>
      <c r="K84" s="11" t="s">
        <v>30</v>
      </c>
      <c r="L84" s="21">
        <v>32000</v>
      </c>
      <c r="M84" s="21">
        <v>32000</v>
      </c>
      <c r="N84" s="21">
        <v>32000</v>
      </c>
    </row>
    <row r="85" spans="1:14" ht="236.25" x14ac:dyDescent="0.2">
      <c r="A85" s="6" t="s">
        <v>172</v>
      </c>
      <c r="B85" s="11" t="s">
        <v>173</v>
      </c>
      <c r="C85" s="12" t="s">
        <v>174</v>
      </c>
      <c r="D85" s="13" t="s">
        <v>72</v>
      </c>
      <c r="E85" s="26" t="s">
        <v>26</v>
      </c>
      <c r="F85" s="12" t="s">
        <v>73</v>
      </c>
      <c r="G85" s="13" t="s">
        <v>74</v>
      </c>
      <c r="H85" s="26" t="s">
        <v>75</v>
      </c>
      <c r="I85" s="23" t="s">
        <v>307</v>
      </c>
      <c r="J85" s="11" t="s">
        <v>76</v>
      </c>
      <c r="K85" s="11" t="s">
        <v>35</v>
      </c>
      <c r="L85" s="20">
        <v>127084.8</v>
      </c>
      <c r="M85" s="20">
        <v>122307.3</v>
      </c>
      <c r="N85" s="20">
        <v>115626.6</v>
      </c>
    </row>
    <row r="86" spans="1:14" ht="105" x14ac:dyDescent="0.2">
      <c r="A86" s="10" t="s">
        <v>175</v>
      </c>
      <c r="B86" s="16" t="s">
        <v>176</v>
      </c>
      <c r="C86" s="17" t="s">
        <v>19</v>
      </c>
      <c r="D86" s="18" t="s">
        <v>19</v>
      </c>
      <c r="E86" s="18" t="s">
        <v>19</v>
      </c>
      <c r="F86" s="17" t="s">
        <v>19</v>
      </c>
      <c r="G86" s="18" t="s">
        <v>19</v>
      </c>
      <c r="H86" s="18" t="s">
        <v>19</v>
      </c>
      <c r="I86" s="19"/>
      <c r="J86" s="16" t="s">
        <v>19</v>
      </c>
      <c r="K86" s="16" t="s">
        <v>19</v>
      </c>
      <c r="L86" s="15">
        <f>SUM(L88:L88)</f>
        <v>725.9</v>
      </c>
      <c r="M86" s="15">
        <f>SUM(M88:M88)</f>
        <v>725.9</v>
      </c>
      <c r="N86" s="15">
        <f>SUM(N88:N88)</f>
        <v>725.9</v>
      </c>
    </row>
    <row r="87" spans="1:14" x14ac:dyDescent="0.2">
      <c r="A87" s="6" t="s">
        <v>22</v>
      </c>
      <c r="B87" s="11"/>
      <c r="C87" s="12"/>
      <c r="D87" s="13"/>
      <c r="E87" s="13"/>
      <c r="F87" s="12"/>
      <c r="G87" s="13"/>
      <c r="H87" s="13"/>
      <c r="I87" s="14"/>
      <c r="J87" s="11"/>
      <c r="K87" s="11"/>
      <c r="L87" s="20"/>
      <c r="M87" s="20"/>
      <c r="N87" s="20"/>
    </row>
    <row r="88" spans="1:14" ht="57.75" x14ac:dyDescent="0.2">
      <c r="A88" s="6" t="s">
        <v>177</v>
      </c>
      <c r="B88" s="11" t="s">
        <v>178</v>
      </c>
      <c r="C88" s="33" t="s">
        <v>24</v>
      </c>
      <c r="D88" s="13" t="s">
        <v>179</v>
      </c>
      <c r="E88" s="26" t="s">
        <v>26</v>
      </c>
      <c r="F88" s="12" t="s">
        <v>180</v>
      </c>
      <c r="G88" s="13"/>
      <c r="H88" s="13"/>
      <c r="I88" s="14" t="s">
        <v>181</v>
      </c>
      <c r="J88" s="11" t="s">
        <v>34</v>
      </c>
      <c r="K88" s="11" t="s">
        <v>36</v>
      </c>
      <c r="L88" s="21">
        <v>725.9</v>
      </c>
      <c r="M88" s="20">
        <v>725.9</v>
      </c>
      <c r="N88" s="20">
        <v>725.9</v>
      </c>
    </row>
    <row r="89" spans="1:14" ht="104.25" customHeight="1" outlineLevel="1" x14ac:dyDescent="0.2">
      <c r="A89" s="10" t="s">
        <v>182</v>
      </c>
      <c r="B89" s="16" t="s">
        <v>183</v>
      </c>
      <c r="C89" s="17"/>
      <c r="D89" s="18"/>
      <c r="E89" s="18"/>
      <c r="F89" s="17"/>
      <c r="G89" s="18"/>
      <c r="H89" s="18"/>
      <c r="I89" s="19"/>
      <c r="J89" s="16"/>
      <c r="K89" s="16"/>
      <c r="L89" s="15">
        <f>SUM(L90:L95)</f>
        <v>76893.7</v>
      </c>
      <c r="M89" s="15">
        <f t="shared" ref="M89:N89" si="0">SUM(M90:M95)</f>
        <v>79078.899999999994</v>
      </c>
      <c r="N89" s="15">
        <f t="shared" si="0"/>
        <v>83078.899999999994</v>
      </c>
    </row>
    <row r="90" spans="1:14" ht="90" outlineLevel="1" x14ac:dyDescent="0.2">
      <c r="A90" s="85" t="s">
        <v>292</v>
      </c>
      <c r="B90" s="68"/>
      <c r="C90" s="94" t="s">
        <v>24</v>
      </c>
      <c r="D90" s="98" t="s">
        <v>171</v>
      </c>
      <c r="E90" s="101" t="s">
        <v>26</v>
      </c>
      <c r="F90" s="12"/>
      <c r="G90" s="13"/>
      <c r="H90" s="13"/>
      <c r="I90" s="14" t="s">
        <v>160</v>
      </c>
      <c r="J90" s="11" t="s">
        <v>46</v>
      </c>
      <c r="K90" s="11" t="s">
        <v>36</v>
      </c>
      <c r="L90" s="34">
        <v>6200</v>
      </c>
      <c r="M90" s="34">
        <v>6200</v>
      </c>
      <c r="N90" s="34">
        <v>6200</v>
      </c>
    </row>
    <row r="91" spans="1:14" ht="37.5" customHeight="1" outlineLevel="1" x14ac:dyDescent="0.2">
      <c r="A91" s="85" t="s">
        <v>293</v>
      </c>
      <c r="B91" s="106" t="s">
        <v>184</v>
      </c>
      <c r="C91" s="97"/>
      <c r="D91" s="99"/>
      <c r="E91" s="99"/>
      <c r="F91" s="12"/>
      <c r="G91" s="13"/>
      <c r="H91" s="13"/>
      <c r="I91" s="23" t="s">
        <v>299</v>
      </c>
      <c r="J91" s="11" t="s">
        <v>46</v>
      </c>
      <c r="K91" s="11" t="s">
        <v>36</v>
      </c>
      <c r="L91" s="34">
        <v>2466.6</v>
      </c>
      <c r="M91" s="34">
        <v>2723.9</v>
      </c>
      <c r="N91" s="34">
        <v>2997.9</v>
      </c>
    </row>
    <row r="92" spans="1:14" ht="83.25" customHeight="1" outlineLevel="1" x14ac:dyDescent="0.2">
      <c r="A92" s="107" t="s">
        <v>294</v>
      </c>
      <c r="B92" s="99"/>
      <c r="C92" s="97"/>
      <c r="D92" s="99"/>
      <c r="E92" s="99"/>
      <c r="F92" s="12"/>
      <c r="G92" s="13"/>
      <c r="H92" s="13"/>
      <c r="I92" s="23" t="s">
        <v>185</v>
      </c>
      <c r="J92" s="11" t="s">
        <v>46</v>
      </c>
      <c r="K92" s="11" t="s">
        <v>36</v>
      </c>
      <c r="L92" s="34">
        <f>1540+1300+136.2+1450.9+3800</f>
        <v>8227.1</v>
      </c>
      <c r="M92" s="34">
        <f>2058+1300+304+1450.9+4042.1</f>
        <v>9155</v>
      </c>
      <c r="N92" s="34">
        <f>2058+1300+304+1450.9+3768.1</f>
        <v>8881</v>
      </c>
    </row>
    <row r="93" spans="1:14" ht="78.75" outlineLevel="1" x14ac:dyDescent="0.2">
      <c r="A93" s="107"/>
      <c r="B93" s="99"/>
      <c r="C93" s="97"/>
      <c r="D93" s="99"/>
      <c r="E93" s="99"/>
      <c r="F93" s="12"/>
      <c r="G93" s="13"/>
      <c r="H93" s="13"/>
      <c r="I93" s="23" t="s">
        <v>298</v>
      </c>
      <c r="J93" s="11" t="s">
        <v>46</v>
      </c>
      <c r="K93" s="11" t="s">
        <v>36</v>
      </c>
      <c r="L93" s="34">
        <v>6000</v>
      </c>
      <c r="M93" s="34">
        <v>6000</v>
      </c>
      <c r="N93" s="34">
        <v>6000</v>
      </c>
    </row>
    <row r="94" spans="1:14" ht="78.75" outlineLevel="1" x14ac:dyDescent="0.2">
      <c r="A94" s="108"/>
      <c r="B94" s="99"/>
      <c r="C94" s="97"/>
      <c r="D94" s="99"/>
      <c r="E94" s="99"/>
      <c r="F94" s="12"/>
      <c r="G94" s="13"/>
      <c r="H94" s="13"/>
      <c r="I94" s="14" t="s">
        <v>186</v>
      </c>
      <c r="J94" s="11" t="s">
        <v>46</v>
      </c>
      <c r="K94" s="11" t="s">
        <v>36</v>
      </c>
      <c r="L94" s="34">
        <v>4000</v>
      </c>
      <c r="M94" s="34">
        <f>4000+1000</f>
        <v>5000</v>
      </c>
      <c r="N94" s="34">
        <f>6000+3000</f>
        <v>9000</v>
      </c>
    </row>
    <row r="95" spans="1:14" ht="101.25" outlineLevel="1" x14ac:dyDescent="0.2">
      <c r="A95" s="84" t="s">
        <v>295</v>
      </c>
      <c r="B95" s="100"/>
      <c r="C95" s="89"/>
      <c r="D95" s="100"/>
      <c r="E95" s="100"/>
      <c r="F95" s="12"/>
      <c r="G95" s="13"/>
      <c r="H95" s="13"/>
      <c r="I95" s="14" t="s">
        <v>297</v>
      </c>
      <c r="J95" s="11" t="s">
        <v>46</v>
      </c>
      <c r="K95" s="11" t="s">
        <v>36</v>
      </c>
      <c r="L95" s="34">
        <v>50000</v>
      </c>
      <c r="M95" s="34">
        <v>50000</v>
      </c>
      <c r="N95" s="34">
        <v>50000</v>
      </c>
    </row>
    <row r="96" spans="1:14" ht="127.5" customHeight="1" x14ac:dyDescent="0.2">
      <c r="A96" s="10" t="s">
        <v>187</v>
      </c>
      <c r="B96" s="16" t="s">
        <v>188</v>
      </c>
      <c r="C96" s="17" t="s">
        <v>19</v>
      </c>
      <c r="D96" s="18" t="s">
        <v>19</v>
      </c>
      <c r="E96" s="18" t="s">
        <v>19</v>
      </c>
      <c r="F96" s="17" t="s">
        <v>19</v>
      </c>
      <c r="G96" s="18" t="s">
        <v>19</v>
      </c>
      <c r="H96" s="18" t="s">
        <v>19</v>
      </c>
      <c r="I96" s="19"/>
      <c r="J96" s="16" t="s">
        <v>19</v>
      </c>
      <c r="K96" s="16" t="s">
        <v>19</v>
      </c>
      <c r="L96" s="15">
        <f>SUM(L97+L104)</f>
        <v>1078986</v>
      </c>
      <c r="M96" s="15">
        <f>SUM(M97+M104)</f>
        <v>1111283.2</v>
      </c>
      <c r="N96" s="15">
        <f>SUM(N97+N104)</f>
        <v>1142083</v>
      </c>
    </row>
    <row r="97" spans="1:14" ht="58.5" customHeight="1" x14ac:dyDescent="0.2">
      <c r="A97" s="10" t="s">
        <v>189</v>
      </c>
      <c r="B97" s="40" t="s">
        <v>190</v>
      </c>
      <c r="C97" s="12"/>
      <c r="D97" s="13"/>
      <c r="E97" s="13"/>
      <c r="F97" s="12"/>
      <c r="G97" s="13"/>
      <c r="H97" s="13"/>
      <c r="I97" s="35" t="s">
        <v>318</v>
      </c>
      <c r="J97" s="11"/>
      <c r="K97" s="11"/>
      <c r="L97" s="15">
        <f>SUM(L99:L103)</f>
        <v>168078.3</v>
      </c>
      <c r="M97" s="15">
        <f>SUM(M99:M103)</f>
        <v>169142.2</v>
      </c>
      <c r="N97" s="15">
        <f>SUM(N99:N103)</f>
        <v>170335.6</v>
      </c>
    </row>
    <row r="98" spans="1:14" x14ac:dyDescent="0.2">
      <c r="A98" s="6" t="s">
        <v>22</v>
      </c>
      <c r="B98" s="11"/>
      <c r="C98" s="12"/>
      <c r="D98" s="13"/>
      <c r="E98" s="13"/>
      <c r="F98" s="12"/>
      <c r="G98" s="13"/>
      <c r="H98" s="13"/>
      <c r="I98" s="14"/>
      <c r="J98" s="11"/>
      <c r="K98" s="11"/>
      <c r="L98" s="20"/>
      <c r="M98" s="20"/>
      <c r="N98" s="20"/>
    </row>
    <row r="99" spans="1:14" ht="82.5" x14ac:dyDescent="0.2">
      <c r="A99" s="24" t="s">
        <v>191</v>
      </c>
      <c r="B99" s="25">
        <v>3102</v>
      </c>
      <c r="C99" s="33" t="s">
        <v>192</v>
      </c>
      <c r="D99" s="33" t="s">
        <v>193</v>
      </c>
      <c r="E99" s="33" t="s">
        <v>194</v>
      </c>
      <c r="F99" s="33" t="s">
        <v>195</v>
      </c>
      <c r="G99" s="33" t="s">
        <v>196</v>
      </c>
      <c r="H99" s="33" t="s">
        <v>26</v>
      </c>
      <c r="I99" s="41" t="s">
        <v>197</v>
      </c>
      <c r="J99" s="11" t="s">
        <v>36</v>
      </c>
      <c r="K99" s="11" t="s">
        <v>32</v>
      </c>
      <c r="L99" s="20">
        <v>8740.1</v>
      </c>
      <c r="M99" s="20">
        <v>9245.6</v>
      </c>
      <c r="N99" s="20">
        <v>9641.7000000000007</v>
      </c>
    </row>
    <row r="100" spans="1:14" ht="82.5" customHeight="1" x14ac:dyDescent="0.2">
      <c r="A100" s="24" t="s">
        <v>198</v>
      </c>
      <c r="B100" s="25">
        <v>3103</v>
      </c>
      <c r="C100" s="12" t="s">
        <v>199</v>
      </c>
      <c r="D100" s="13" t="s">
        <v>28</v>
      </c>
      <c r="E100" s="26" t="s">
        <v>200</v>
      </c>
      <c r="F100" s="12" t="s">
        <v>201</v>
      </c>
      <c r="G100" s="13" t="s">
        <v>202</v>
      </c>
      <c r="H100" s="26" t="s">
        <v>203</v>
      </c>
      <c r="I100" s="41" t="s">
        <v>197</v>
      </c>
      <c r="J100" s="11" t="s">
        <v>30</v>
      </c>
      <c r="K100" s="11" t="s">
        <v>34</v>
      </c>
      <c r="L100" s="20">
        <v>162.19999999999999</v>
      </c>
      <c r="M100" s="20">
        <v>10.9</v>
      </c>
      <c r="N100" s="20">
        <v>11.8</v>
      </c>
    </row>
    <row r="101" spans="1:14" ht="22.5" customHeight="1" x14ac:dyDescent="0.2">
      <c r="A101" s="93" t="s">
        <v>204</v>
      </c>
      <c r="B101" s="88">
        <v>3108</v>
      </c>
      <c r="C101" s="92" t="s">
        <v>205</v>
      </c>
      <c r="D101" s="26" t="s">
        <v>206</v>
      </c>
      <c r="E101" s="26" t="s">
        <v>207</v>
      </c>
      <c r="F101" s="95" t="s">
        <v>208</v>
      </c>
      <c r="G101" s="38" t="s">
        <v>209</v>
      </c>
      <c r="H101" s="38" t="s">
        <v>26</v>
      </c>
      <c r="I101" s="41" t="s">
        <v>197</v>
      </c>
      <c r="J101" s="11" t="s">
        <v>76</v>
      </c>
      <c r="K101" s="11" t="s">
        <v>34</v>
      </c>
      <c r="L101" s="20"/>
      <c r="M101" s="20"/>
      <c r="N101" s="20"/>
    </row>
    <row r="102" spans="1:14" ht="72" customHeight="1" x14ac:dyDescent="0.2">
      <c r="A102" s="87"/>
      <c r="B102" s="89"/>
      <c r="C102" s="89"/>
      <c r="D102" s="26"/>
      <c r="E102" s="26"/>
      <c r="F102" s="96"/>
      <c r="G102" s="38"/>
      <c r="H102" s="38"/>
      <c r="I102" s="41"/>
      <c r="J102" s="11" t="s">
        <v>46</v>
      </c>
      <c r="K102" s="11" t="s">
        <v>36</v>
      </c>
      <c r="L102" s="20">
        <v>139066.4</v>
      </c>
      <c r="M102" s="20">
        <v>138983.20000000001</v>
      </c>
      <c r="N102" s="20">
        <v>138955.9</v>
      </c>
    </row>
    <row r="103" spans="1:14" ht="82.5" x14ac:dyDescent="0.2">
      <c r="A103" s="24" t="s">
        <v>210</v>
      </c>
      <c r="B103" s="25">
        <v>3109</v>
      </c>
      <c r="C103" s="12" t="s">
        <v>211</v>
      </c>
      <c r="D103" s="13" t="s">
        <v>28</v>
      </c>
      <c r="E103" s="26" t="s">
        <v>212</v>
      </c>
      <c r="F103" s="39" t="s">
        <v>208</v>
      </c>
      <c r="G103" s="38" t="s">
        <v>28</v>
      </c>
      <c r="H103" s="38" t="s">
        <v>26</v>
      </c>
      <c r="I103" s="41" t="s">
        <v>197</v>
      </c>
      <c r="J103" s="11" t="s">
        <v>46</v>
      </c>
      <c r="K103" s="11" t="s">
        <v>36</v>
      </c>
      <c r="L103" s="20">
        <v>20109.599999999999</v>
      </c>
      <c r="M103" s="20">
        <v>20902.5</v>
      </c>
      <c r="N103" s="20">
        <v>21726.2</v>
      </c>
    </row>
    <row r="104" spans="1:14" ht="62.25" customHeight="1" x14ac:dyDescent="0.2">
      <c r="A104" s="42" t="s">
        <v>213</v>
      </c>
      <c r="B104" s="25">
        <v>3200</v>
      </c>
      <c r="C104" s="12"/>
      <c r="D104" s="13"/>
      <c r="E104" s="26"/>
      <c r="F104" s="33"/>
      <c r="G104" s="33"/>
      <c r="H104" s="33"/>
      <c r="I104" s="35" t="s">
        <v>214</v>
      </c>
      <c r="J104" s="11"/>
      <c r="K104" s="11"/>
      <c r="L104" s="15">
        <f>SUM(L105:L127)</f>
        <v>910907.7</v>
      </c>
      <c r="M104" s="15">
        <f t="shared" ref="M104:N104" si="1">SUM(M105:M127)</f>
        <v>942140.99999999988</v>
      </c>
      <c r="N104" s="15">
        <f t="shared" si="1"/>
        <v>971747.4</v>
      </c>
    </row>
    <row r="105" spans="1:14" s="46" customFormat="1" ht="49.5" x14ac:dyDescent="0.2">
      <c r="A105" s="43" t="s">
        <v>215</v>
      </c>
      <c r="B105" s="44" t="s">
        <v>216</v>
      </c>
      <c r="C105" s="45" t="s">
        <v>217</v>
      </c>
      <c r="D105" s="45" t="s">
        <v>218</v>
      </c>
      <c r="E105" s="45" t="s">
        <v>219</v>
      </c>
      <c r="F105" s="33"/>
      <c r="G105" s="33"/>
      <c r="H105" s="33"/>
      <c r="I105" s="35" t="s">
        <v>313</v>
      </c>
      <c r="J105" s="11" t="s">
        <v>30</v>
      </c>
      <c r="K105" s="11" t="s">
        <v>31</v>
      </c>
      <c r="L105" s="20">
        <v>452.8</v>
      </c>
      <c r="M105" s="20">
        <v>452.8</v>
      </c>
      <c r="N105" s="20">
        <v>452.8</v>
      </c>
    </row>
    <row r="106" spans="1:14" ht="114.75" customHeight="1" x14ac:dyDescent="0.2">
      <c r="A106" s="102" t="s">
        <v>220</v>
      </c>
      <c r="B106" s="104" t="s">
        <v>221</v>
      </c>
      <c r="C106" s="12" t="s">
        <v>222</v>
      </c>
      <c r="D106" s="13" t="s">
        <v>28</v>
      </c>
      <c r="E106" s="13" t="s">
        <v>223</v>
      </c>
      <c r="F106" s="118" t="s">
        <v>224</v>
      </c>
      <c r="G106" s="38" t="s">
        <v>28</v>
      </c>
      <c r="H106" s="47">
        <v>39126</v>
      </c>
      <c r="I106" s="41" t="s">
        <v>197</v>
      </c>
      <c r="J106" s="11" t="s">
        <v>46</v>
      </c>
      <c r="K106" s="11" t="s">
        <v>32</v>
      </c>
      <c r="L106" s="20">
        <f>38684.9+6870.4+33399.4-146.4-22.1-58.2</f>
        <v>78728.000000000015</v>
      </c>
      <c r="M106" s="20">
        <f>38684.9+6870.4+33399.4-146.4-22.1-58.2</f>
        <v>78728.000000000015</v>
      </c>
      <c r="N106" s="20">
        <f>38684.9+6870.4+33399.4-146.4-22.1-58.2</f>
        <v>78728.000000000015</v>
      </c>
    </row>
    <row r="107" spans="1:14" ht="22.5" hidden="1" customHeight="1" x14ac:dyDescent="0.2">
      <c r="A107" s="102"/>
      <c r="B107" s="104"/>
      <c r="C107" s="12"/>
      <c r="D107" s="13"/>
      <c r="E107" s="13"/>
      <c r="F107" s="118"/>
      <c r="G107" s="38"/>
      <c r="H107" s="47"/>
      <c r="I107" s="41" t="s">
        <v>197</v>
      </c>
      <c r="J107" s="11" t="s">
        <v>76</v>
      </c>
      <c r="K107" s="11" t="s">
        <v>35</v>
      </c>
      <c r="L107" s="20"/>
      <c r="M107" s="20"/>
      <c r="N107" s="20"/>
    </row>
    <row r="108" spans="1:14" ht="59.25" customHeight="1" x14ac:dyDescent="0.2">
      <c r="A108" s="102"/>
      <c r="B108" s="104"/>
      <c r="C108" s="12" t="s">
        <v>225</v>
      </c>
      <c r="D108" s="13" t="s">
        <v>226</v>
      </c>
      <c r="E108" s="26" t="s">
        <v>79</v>
      </c>
      <c r="F108" s="119"/>
      <c r="G108" s="33"/>
      <c r="H108" s="26"/>
      <c r="I108" s="41" t="s">
        <v>197</v>
      </c>
      <c r="J108" s="11" t="s">
        <v>76</v>
      </c>
      <c r="K108" s="11" t="s">
        <v>43</v>
      </c>
      <c r="L108" s="20">
        <f>5947.5+146.4+22.1+58.2</f>
        <v>6174.2</v>
      </c>
      <c r="M108" s="21">
        <f>5962.7+146.4+22.1+58.2</f>
        <v>6189.4</v>
      </c>
      <c r="N108" s="21">
        <f>5978.7+146.4+22.1+58.2</f>
        <v>6205.4</v>
      </c>
    </row>
    <row r="109" spans="1:14" ht="102.75" customHeight="1" x14ac:dyDescent="0.2">
      <c r="A109" s="6" t="s">
        <v>227</v>
      </c>
      <c r="B109" s="7">
        <v>3228</v>
      </c>
      <c r="C109" s="12" t="s">
        <v>228</v>
      </c>
      <c r="D109" s="13"/>
      <c r="E109" s="26" t="s">
        <v>229</v>
      </c>
      <c r="F109" s="39" t="s">
        <v>230</v>
      </c>
      <c r="G109" s="38" t="s">
        <v>28</v>
      </c>
      <c r="H109" s="38" t="s">
        <v>231</v>
      </c>
      <c r="I109" s="41" t="s">
        <v>197</v>
      </c>
      <c r="J109" s="11" t="s">
        <v>46</v>
      </c>
      <c r="K109" s="11" t="s">
        <v>32</v>
      </c>
      <c r="L109" s="20">
        <v>67988</v>
      </c>
      <c r="M109" s="20">
        <v>81585.600000000006</v>
      </c>
      <c r="N109" s="20">
        <v>89744.1</v>
      </c>
    </row>
    <row r="110" spans="1:14" ht="84" customHeight="1" x14ac:dyDescent="0.2">
      <c r="A110" s="107" t="s">
        <v>232</v>
      </c>
      <c r="B110" s="121">
        <v>3236</v>
      </c>
      <c r="C110" s="92" t="s">
        <v>233</v>
      </c>
      <c r="D110" s="98" t="s">
        <v>234</v>
      </c>
      <c r="E110" s="101" t="s">
        <v>235</v>
      </c>
      <c r="F110" s="95" t="s">
        <v>236</v>
      </c>
      <c r="G110" s="110" t="s">
        <v>28</v>
      </c>
      <c r="H110" s="110" t="s">
        <v>237</v>
      </c>
      <c r="I110" s="113" t="s">
        <v>197</v>
      </c>
      <c r="J110" s="11" t="s">
        <v>46</v>
      </c>
      <c r="K110" s="11" t="s">
        <v>36</v>
      </c>
      <c r="L110" s="20">
        <f>172807+8870.7+131111+325.5+11.7+41150.4+143073.6+0.6+16285.1+3846</f>
        <v>517481.6</v>
      </c>
      <c r="M110" s="20">
        <f>179694.2+9209.8+136334.7+338.5+11.7+38308.6+150764+0.6+16932.7-7690.4+4290.4</f>
        <v>528194.79999999993</v>
      </c>
      <c r="N110" s="20">
        <f>186857+9562.5+141767.3+352+11.7+38587.8+150764+0.6+17606.2-7690.4+4752.5</f>
        <v>542571.19999999995</v>
      </c>
    </row>
    <row r="111" spans="1:14" x14ac:dyDescent="0.2">
      <c r="A111" s="107"/>
      <c r="B111" s="121"/>
      <c r="C111" s="97"/>
      <c r="D111" s="99"/>
      <c r="E111" s="97"/>
      <c r="F111" s="109"/>
      <c r="G111" s="111"/>
      <c r="H111" s="111"/>
      <c r="I111" s="114"/>
      <c r="J111" s="11" t="s">
        <v>76</v>
      </c>
      <c r="K111" s="11" t="s">
        <v>30</v>
      </c>
      <c r="L111" s="20">
        <v>1532.3</v>
      </c>
      <c r="M111" s="20">
        <v>1532.3</v>
      </c>
      <c r="N111" s="20">
        <v>1532.3</v>
      </c>
    </row>
    <row r="112" spans="1:14" x14ac:dyDescent="0.2">
      <c r="A112" s="107"/>
      <c r="B112" s="121"/>
      <c r="C112" s="97"/>
      <c r="D112" s="99"/>
      <c r="E112" s="97"/>
      <c r="F112" s="109"/>
      <c r="G112" s="111"/>
      <c r="H112" s="111"/>
      <c r="I112" s="114"/>
      <c r="J112" s="11" t="s">
        <v>76</v>
      </c>
      <c r="K112" s="11" t="s">
        <v>35</v>
      </c>
      <c r="L112" s="20">
        <v>4967.7</v>
      </c>
      <c r="M112" s="20">
        <v>4967.7</v>
      </c>
      <c r="N112" s="20">
        <v>4967.7</v>
      </c>
    </row>
    <row r="113" spans="1:16" x14ac:dyDescent="0.2">
      <c r="A113" s="107"/>
      <c r="B113" s="121"/>
      <c r="C113" s="89"/>
      <c r="D113" s="100"/>
      <c r="E113" s="89"/>
      <c r="F113" s="96"/>
      <c r="G113" s="112"/>
      <c r="H113" s="112"/>
      <c r="I113" s="115"/>
      <c r="J113" s="11" t="s">
        <v>51</v>
      </c>
      <c r="K113" s="11" t="s">
        <v>30</v>
      </c>
      <c r="L113" s="20">
        <v>800</v>
      </c>
      <c r="M113" s="20">
        <v>800</v>
      </c>
      <c r="N113" s="20">
        <v>800</v>
      </c>
    </row>
    <row r="114" spans="1:16" ht="75" customHeight="1" x14ac:dyDescent="0.2">
      <c r="A114" s="120"/>
      <c r="B114" s="105"/>
      <c r="C114" s="12" t="s">
        <v>228</v>
      </c>
      <c r="D114" s="13"/>
      <c r="E114" s="26" t="s">
        <v>229</v>
      </c>
      <c r="F114" s="39" t="s">
        <v>238</v>
      </c>
      <c r="G114" s="38" t="s">
        <v>28</v>
      </c>
      <c r="H114" s="38" t="s">
        <v>239</v>
      </c>
      <c r="I114" s="41" t="s">
        <v>197</v>
      </c>
      <c r="J114" s="11" t="s">
        <v>46</v>
      </c>
      <c r="K114" s="11" t="s">
        <v>32</v>
      </c>
      <c r="L114" s="20">
        <v>7026.2</v>
      </c>
      <c r="M114" s="48">
        <v>7306.3</v>
      </c>
      <c r="N114" s="48">
        <v>7597.6</v>
      </c>
    </row>
    <row r="115" spans="1:16" ht="115.5" customHeight="1" x14ac:dyDescent="0.2">
      <c r="A115" s="120"/>
      <c r="B115" s="105"/>
      <c r="C115" s="12" t="s">
        <v>240</v>
      </c>
      <c r="D115" s="13"/>
      <c r="E115" s="26" t="s">
        <v>241</v>
      </c>
      <c r="F115" s="12" t="s">
        <v>242</v>
      </c>
      <c r="G115" s="13" t="s">
        <v>28</v>
      </c>
      <c r="H115" s="26" t="s">
        <v>243</v>
      </c>
      <c r="I115" s="41" t="s">
        <v>197</v>
      </c>
      <c r="J115" s="11" t="s">
        <v>46</v>
      </c>
      <c r="K115" s="11" t="s">
        <v>70</v>
      </c>
      <c r="L115" s="20">
        <f>827.1+7690.4+65.1+672+8000+707.4</f>
        <v>17962</v>
      </c>
      <c r="M115" s="20">
        <f>912.2+7690.4+65.1+672+8000+735.7</f>
        <v>18075.400000000001</v>
      </c>
      <c r="N115" s="20">
        <f>948.7+7690.4+65.1+672+8000+765.1</f>
        <v>18141.3</v>
      </c>
    </row>
    <row r="116" spans="1:16" ht="327" customHeight="1" x14ac:dyDescent="0.2">
      <c r="A116" s="6" t="s">
        <v>244</v>
      </c>
      <c r="B116" s="7">
        <v>3237</v>
      </c>
      <c r="C116" s="12"/>
      <c r="D116" s="13"/>
      <c r="E116" s="13"/>
      <c r="F116" s="33" t="s">
        <v>245</v>
      </c>
      <c r="G116" s="33" t="s">
        <v>28</v>
      </c>
      <c r="H116" s="49">
        <v>41275</v>
      </c>
      <c r="I116" s="41" t="s">
        <v>197</v>
      </c>
      <c r="J116" s="11" t="s">
        <v>46</v>
      </c>
      <c r="K116" s="11" t="s">
        <v>32</v>
      </c>
      <c r="L116" s="20">
        <f>14633.7+38776.9</f>
        <v>53410.600000000006</v>
      </c>
      <c r="M116" s="48">
        <f>14737.4+40322.8</f>
        <v>55060.200000000004</v>
      </c>
      <c r="N116" s="48">
        <f>41930.6+14769.4</f>
        <v>56700</v>
      </c>
    </row>
    <row r="117" spans="1:16" ht="196.5" customHeight="1" x14ac:dyDescent="0.2">
      <c r="A117" s="22" t="s">
        <v>246</v>
      </c>
      <c r="B117" s="7">
        <v>3238</v>
      </c>
      <c r="C117" s="12"/>
      <c r="D117" s="13"/>
      <c r="E117" s="13"/>
      <c r="F117" s="38" t="s">
        <v>230</v>
      </c>
      <c r="G117" s="38" t="s">
        <v>28</v>
      </c>
      <c r="H117" s="38" t="s">
        <v>231</v>
      </c>
      <c r="I117" s="41" t="s">
        <v>197</v>
      </c>
      <c r="J117" s="11" t="s">
        <v>46</v>
      </c>
      <c r="K117" s="11" t="s">
        <v>32</v>
      </c>
      <c r="L117" s="20">
        <v>122787.9</v>
      </c>
      <c r="M117" s="20">
        <v>127319.7</v>
      </c>
      <c r="N117" s="20">
        <v>132032.6</v>
      </c>
    </row>
    <row r="118" spans="1:16" ht="141" customHeight="1" x14ac:dyDescent="0.2">
      <c r="A118" s="24" t="s">
        <v>247</v>
      </c>
      <c r="B118" s="25">
        <v>3239</v>
      </c>
      <c r="C118" s="12" t="s">
        <v>248</v>
      </c>
      <c r="D118" s="13" t="s">
        <v>249</v>
      </c>
      <c r="E118" s="26" t="s">
        <v>54</v>
      </c>
      <c r="F118" s="39" t="s">
        <v>250</v>
      </c>
      <c r="G118" s="38" t="s">
        <v>28</v>
      </c>
      <c r="H118" s="38" t="s">
        <v>251</v>
      </c>
      <c r="I118" s="41" t="s">
        <v>197</v>
      </c>
      <c r="J118" s="11" t="s">
        <v>30</v>
      </c>
      <c r="K118" s="11" t="s">
        <v>32</v>
      </c>
      <c r="L118" s="20">
        <f>325.1+7625.8</f>
        <v>7950.9000000000005</v>
      </c>
      <c r="M118" s="20">
        <f>325.1+7625.8</f>
        <v>7950.9000000000005</v>
      </c>
      <c r="N118" s="20">
        <f>325.1+7625.8</f>
        <v>7950.9000000000005</v>
      </c>
    </row>
    <row r="119" spans="1:16" ht="59.25" customHeight="1" x14ac:dyDescent="0.2">
      <c r="A119" s="93" t="s">
        <v>252</v>
      </c>
      <c r="B119" s="88">
        <v>3240</v>
      </c>
      <c r="C119" s="92" t="s">
        <v>253</v>
      </c>
      <c r="D119" s="38" t="s">
        <v>28</v>
      </c>
      <c r="E119" s="26" t="s">
        <v>254</v>
      </c>
      <c r="F119" s="39" t="s">
        <v>255</v>
      </c>
      <c r="G119" s="38" t="s">
        <v>28</v>
      </c>
      <c r="H119" s="38" t="s">
        <v>256</v>
      </c>
      <c r="I119" s="41" t="s">
        <v>197</v>
      </c>
      <c r="J119" s="11" t="s">
        <v>46</v>
      </c>
      <c r="K119" s="11" t="s">
        <v>70</v>
      </c>
      <c r="L119" s="20">
        <f>9450-49</f>
        <v>9401</v>
      </c>
      <c r="M119" s="20">
        <f>9450-49</f>
        <v>9401</v>
      </c>
      <c r="N119" s="20">
        <f>9450-49</f>
        <v>9401</v>
      </c>
    </row>
    <row r="120" spans="1:16" x14ac:dyDescent="0.2">
      <c r="A120" s="87"/>
      <c r="B120" s="89"/>
      <c r="C120" s="89"/>
      <c r="D120" s="38"/>
      <c r="E120" s="82"/>
      <c r="F120" s="77"/>
      <c r="G120" s="38"/>
      <c r="H120" s="38"/>
      <c r="I120" s="41"/>
      <c r="J120" s="11" t="s">
        <v>76</v>
      </c>
      <c r="K120" s="11" t="s">
        <v>34</v>
      </c>
      <c r="L120" s="20">
        <v>49</v>
      </c>
      <c r="M120" s="20">
        <v>49</v>
      </c>
      <c r="N120" s="20">
        <v>49</v>
      </c>
    </row>
    <row r="121" spans="1:16" ht="81" customHeight="1" x14ac:dyDescent="0.2">
      <c r="A121" s="6" t="s">
        <v>257</v>
      </c>
      <c r="B121" s="25">
        <v>3248</v>
      </c>
      <c r="C121" s="38" t="s">
        <v>258</v>
      </c>
      <c r="D121" s="38" t="s">
        <v>28</v>
      </c>
      <c r="E121" s="38" t="s">
        <v>259</v>
      </c>
      <c r="F121" s="39" t="s">
        <v>260</v>
      </c>
      <c r="G121" s="38" t="s">
        <v>28</v>
      </c>
      <c r="H121" s="38" t="s">
        <v>26</v>
      </c>
      <c r="I121" s="41" t="s">
        <v>197</v>
      </c>
      <c r="J121" s="11" t="s">
        <v>46</v>
      </c>
      <c r="K121" s="11" t="s">
        <v>36</v>
      </c>
      <c r="L121" s="20">
        <v>3035.9</v>
      </c>
      <c r="M121" s="20">
        <v>3035.9</v>
      </c>
      <c r="N121" s="20">
        <v>3035.9</v>
      </c>
    </row>
    <row r="122" spans="1:16" ht="96.75" customHeight="1" x14ac:dyDescent="0.2">
      <c r="A122" s="6" t="s">
        <v>261</v>
      </c>
      <c r="B122" s="25">
        <v>3251</v>
      </c>
      <c r="C122" s="12" t="s">
        <v>248</v>
      </c>
      <c r="D122" s="38" t="s">
        <v>28</v>
      </c>
      <c r="E122" s="26" t="s">
        <v>54</v>
      </c>
      <c r="F122" s="12" t="s">
        <v>262</v>
      </c>
      <c r="G122" s="13" t="s">
        <v>263</v>
      </c>
      <c r="H122" s="26" t="s">
        <v>264</v>
      </c>
      <c r="I122" s="41" t="s">
        <v>197</v>
      </c>
      <c r="J122" s="11" t="s">
        <v>30</v>
      </c>
      <c r="K122" s="11" t="s">
        <v>32</v>
      </c>
      <c r="L122" s="20">
        <v>1271</v>
      </c>
      <c r="M122" s="20">
        <v>1271</v>
      </c>
      <c r="N122" s="20">
        <v>1271</v>
      </c>
    </row>
    <row r="123" spans="1:16" ht="119.25" customHeight="1" x14ac:dyDescent="0.2">
      <c r="A123" s="24" t="s">
        <v>265</v>
      </c>
      <c r="B123" s="50" t="s">
        <v>266</v>
      </c>
      <c r="C123" s="12" t="s">
        <v>248</v>
      </c>
      <c r="D123" s="38" t="s">
        <v>267</v>
      </c>
      <c r="E123" s="26" t="s">
        <v>54</v>
      </c>
      <c r="F123" s="39" t="s">
        <v>208</v>
      </c>
      <c r="G123" s="38" t="s">
        <v>268</v>
      </c>
      <c r="H123" s="38" t="s">
        <v>26</v>
      </c>
      <c r="I123" s="41" t="s">
        <v>197</v>
      </c>
      <c r="J123" s="11" t="s">
        <v>34</v>
      </c>
      <c r="K123" s="11" t="s">
        <v>34</v>
      </c>
      <c r="L123" s="20">
        <v>293.8</v>
      </c>
      <c r="M123" s="20">
        <v>293.8</v>
      </c>
      <c r="N123" s="20">
        <v>293.8</v>
      </c>
    </row>
    <row r="124" spans="1:16" ht="192" customHeight="1" x14ac:dyDescent="0.2">
      <c r="A124" s="93" t="s">
        <v>324</v>
      </c>
      <c r="B124" s="50" t="s">
        <v>269</v>
      </c>
      <c r="C124" s="12" t="s">
        <v>270</v>
      </c>
      <c r="D124" s="12" t="s">
        <v>218</v>
      </c>
      <c r="E124" s="26" t="s">
        <v>271</v>
      </c>
      <c r="F124" s="33" t="s">
        <v>272</v>
      </c>
      <c r="G124" s="33" t="s">
        <v>28</v>
      </c>
      <c r="H124" s="49">
        <v>44652</v>
      </c>
      <c r="I124" s="116" t="s">
        <v>317</v>
      </c>
      <c r="J124" s="11" t="s">
        <v>70</v>
      </c>
      <c r="K124" s="11" t="s">
        <v>34</v>
      </c>
      <c r="L124" s="20">
        <v>59.7</v>
      </c>
      <c r="M124" s="20">
        <v>59.7</v>
      </c>
      <c r="N124" s="20">
        <v>59.7</v>
      </c>
    </row>
    <row r="125" spans="1:16" x14ac:dyDescent="0.2">
      <c r="A125" s="87"/>
      <c r="B125" s="51"/>
      <c r="C125" s="12"/>
      <c r="D125" s="12"/>
      <c r="E125" s="26"/>
      <c r="F125" s="33"/>
      <c r="G125" s="33"/>
      <c r="H125" s="49"/>
      <c r="I125" s="117"/>
      <c r="J125" s="11" t="s">
        <v>36</v>
      </c>
      <c r="K125" s="11" t="s">
        <v>46</v>
      </c>
      <c r="L125" s="20">
        <v>10.6</v>
      </c>
      <c r="M125" s="20">
        <v>10.6</v>
      </c>
      <c r="N125" s="20">
        <v>10.6</v>
      </c>
    </row>
    <row r="126" spans="1:16" ht="123.75" x14ac:dyDescent="0.2">
      <c r="A126" s="69" t="s">
        <v>273</v>
      </c>
      <c r="B126" s="50" t="s">
        <v>274</v>
      </c>
      <c r="C126" s="12" t="s">
        <v>275</v>
      </c>
      <c r="D126" s="12" t="s">
        <v>218</v>
      </c>
      <c r="E126" s="12" t="s">
        <v>276</v>
      </c>
      <c r="F126" s="39" t="s">
        <v>277</v>
      </c>
      <c r="G126" s="38" t="s">
        <v>268</v>
      </c>
      <c r="H126" s="47">
        <v>43831</v>
      </c>
      <c r="I126" s="41" t="s">
        <v>197</v>
      </c>
      <c r="J126" s="11" t="s">
        <v>34</v>
      </c>
      <c r="K126" s="11" t="s">
        <v>36</v>
      </c>
      <c r="L126" s="20">
        <v>1182.7</v>
      </c>
      <c r="M126" s="20">
        <v>1182.7</v>
      </c>
      <c r="N126" s="20">
        <v>1182.7</v>
      </c>
    </row>
    <row r="127" spans="1:16" ht="114.75" customHeight="1" x14ac:dyDescent="0.2">
      <c r="A127" s="83" t="s">
        <v>296</v>
      </c>
      <c r="B127" s="50"/>
      <c r="C127" s="12"/>
      <c r="D127" s="12"/>
      <c r="E127" s="12"/>
      <c r="F127" s="39" t="s">
        <v>300</v>
      </c>
      <c r="G127" s="38"/>
      <c r="H127" s="47"/>
      <c r="I127" s="41"/>
      <c r="J127" s="11" t="s">
        <v>76</v>
      </c>
      <c r="K127" s="11" t="s">
        <v>35</v>
      </c>
      <c r="L127" s="20">
        <f>8341.8</f>
        <v>8341.7999999999993</v>
      </c>
      <c r="M127" s="20">
        <f>8674.2</f>
        <v>8674.2000000000007</v>
      </c>
      <c r="N127" s="20">
        <f>9019.8</f>
        <v>9019.7999999999993</v>
      </c>
    </row>
    <row r="128" spans="1:16" ht="63" x14ac:dyDescent="0.2">
      <c r="A128" s="42" t="s">
        <v>278</v>
      </c>
      <c r="B128" s="52" t="s">
        <v>279</v>
      </c>
      <c r="C128" s="17"/>
      <c r="D128" s="18"/>
      <c r="E128" s="18"/>
      <c r="F128" s="53"/>
      <c r="G128" s="53"/>
      <c r="H128" s="53"/>
      <c r="I128" s="54"/>
      <c r="J128" s="16"/>
      <c r="K128" s="16"/>
      <c r="L128" s="15">
        <f>SUM(L129:L132)</f>
        <v>2356078.5999999996</v>
      </c>
      <c r="M128" s="15">
        <f>SUM(M129:M132)</f>
        <v>2357625.9000000004</v>
      </c>
      <c r="N128" s="15">
        <f>SUM(N129:N132)</f>
        <v>2359235</v>
      </c>
      <c r="P128" s="55"/>
    </row>
    <row r="129" spans="1:16" ht="267" customHeight="1" x14ac:dyDescent="0.2">
      <c r="A129" s="24" t="s">
        <v>280</v>
      </c>
      <c r="B129" s="50" t="s">
        <v>281</v>
      </c>
      <c r="C129" s="12" t="s">
        <v>225</v>
      </c>
      <c r="D129" s="13" t="s">
        <v>282</v>
      </c>
      <c r="E129" s="26" t="s">
        <v>79</v>
      </c>
      <c r="F129" s="33" t="s">
        <v>283</v>
      </c>
      <c r="G129" s="33" t="s">
        <v>284</v>
      </c>
      <c r="H129" s="33" t="s">
        <v>285</v>
      </c>
      <c r="I129" s="41" t="s">
        <v>197</v>
      </c>
      <c r="J129" s="11" t="s">
        <v>76</v>
      </c>
      <c r="K129" s="11" t="s">
        <v>35</v>
      </c>
      <c r="L129" s="20">
        <f>68483.9+1457472.9-376.7-25347.1-16635.7</f>
        <v>1483597.2999999998</v>
      </c>
      <c r="M129" s="20">
        <f>68676+1458269.1-376.7-25347.1-16635.7</f>
        <v>1484585.6</v>
      </c>
      <c r="N129" s="20">
        <f>68875.7+1459097-376.7-25347.1-16635.7</f>
        <v>1485613.2</v>
      </c>
      <c r="P129" s="55"/>
    </row>
    <row r="130" spans="1:16" x14ac:dyDescent="0.2">
      <c r="A130" s="24"/>
      <c r="B130" s="50"/>
      <c r="C130" s="12"/>
      <c r="D130" s="13"/>
      <c r="E130" s="26"/>
      <c r="F130" s="33"/>
      <c r="G130" s="33"/>
      <c r="H130" s="33"/>
      <c r="I130" s="41" t="s">
        <v>197</v>
      </c>
      <c r="J130" s="11" t="s">
        <v>76</v>
      </c>
      <c r="K130" s="11" t="s">
        <v>36</v>
      </c>
      <c r="L130" s="20">
        <f>25347.1+16635.7</f>
        <v>41982.8</v>
      </c>
      <c r="M130" s="20">
        <f>25347.1+16635.7</f>
        <v>41982.8</v>
      </c>
      <c r="N130" s="20">
        <f>25347.1+16635.7</f>
        <v>41982.8</v>
      </c>
      <c r="P130" s="55"/>
    </row>
    <row r="131" spans="1:16" x14ac:dyDescent="0.2">
      <c r="A131" s="102" t="s">
        <v>286</v>
      </c>
      <c r="B131" s="104" t="s">
        <v>287</v>
      </c>
      <c r="C131" s="12"/>
      <c r="D131" s="13"/>
      <c r="E131" s="13"/>
      <c r="F131" s="12"/>
      <c r="G131" s="33"/>
      <c r="H131" s="26"/>
      <c r="I131" s="56" t="s">
        <v>197</v>
      </c>
      <c r="J131" s="11" t="s">
        <v>46</v>
      </c>
      <c r="K131" s="11" t="s">
        <v>32</v>
      </c>
      <c r="L131" s="20">
        <v>376.7</v>
      </c>
      <c r="M131" s="48">
        <v>376.7</v>
      </c>
      <c r="N131" s="48">
        <v>376.7</v>
      </c>
      <c r="P131" s="57"/>
    </row>
    <row r="132" spans="1:16" ht="272.25" customHeight="1" x14ac:dyDescent="0.2">
      <c r="A132" s="103"/>
      <c r="B132" s="105"/>
      <c r="C132" s="12" t="s">
        <v>225</v>
      </c>
      <c r="D132" s="13" t="s">
        <v>282</v>
      </c>
      <c r="E132" s="26" t="s">
        <v>79</v>
      </c>
      <c r="F132" s="12" t="s">
        <v>283</v>
      </c>
      <c r="G132" s="33" t="s">
        <v>284</v>
      </c>
      <c r="H132" s="26" t="s">
        <v>285</v>
      </c>
      <c r="I132" s="56" t="s">
        <v>197</v>
      </c>
      <c r="J132" s="11" t="s">
        <v>76</v>
      </c>
      <c r="K132" s="11" t="s">
        <v>30</v>
      </c>
      <c r="L132" s="20">
        <v>830121.8</v>
      </c>
      <c r="M132" s="20">
        <v>830680.8</v>
      </c>
      <c r="N132" s="20">
        <v>831262.3</v>
      </c>
    </row>
    <row r="133" spans="1:16" s="63" customFormat="1" ht="18" customHeight="1" x14ac:dyDescent="0.15">
      <c r="A133" s="58" t="s">
        <v>288</v>
      </c>
      <c r="B133" s="59"/>
      <c r="C133" s="17"/>
      <c r="D133" s="18"/>
      <c r="E133" s="18"/>
      <c r="F133" s="17"/>
      <c r="G133" s="53"/>
      <c r="H133" s="60"/>
      <c r="I133" s="61"/>
      <c r="J133" s="16"/>
      <c r="K133" s="16"/>
      <c r="L133" s="15"/>
      <c r="M133" s="62">
        <v>130000</v>
      </c>
      <c r="N133" s="62">
        <v>250000</v>
      </c>
    </row>
    <row r="134" spans="1:16" ht="21" x14ac:dyDescent="0.2">
      <c r="A134" s="10" t="s">
        <v>289</v>
      </c>
      <c r="B134" s="40" t="s">
        <v>290</v>
      </c>
      <c r="C134" s="27"/>
      <c r="D134" s="27"/>
      <c r="E134" s="27"/>
      <c r="F134" s="27"/>
      <c r="G134" s="27"/>
      <c r="H134" s="27"/>
      <c r="I134" s="22"/>
      <c r="J134" s="7"/>
      <c r="K134" s="7"/>
      <c r="L134" s="15">
        <f>SUM(L11)</f>
        <v>8783544.4000000022</v>
      </c>
      <c r="M134" s="15">
        <f>SUM(M11)</f>
        <v>9183369.5</v>
      </c>
      <c r="N134" s="15">
        <f>SUM(N11)</f>
        <v>10285001.1</v>
      </c>
    </row>
    <row r="135" spans="1:16" s="9" customFormat="1" x14ac:dyDescent="0.2">
      <c r="A135" s="2"/>
      <c r="C135" s="2"/>
      <c r="D135" s="2"/>
      <c r="E135" s="2"/>
      <c r="F135" s="2"/>
      <c r="G135" s="2"/>
      <c r="H135" s="2"/>
      <c r="L135" s="64"/>
      <c r="M135" s="64"/>
      <c r="N135" s="64"/>
    </row>
    <row r="136" spans="1:16" x14ac:dyDescent="0.2">
      <c r="A136" s="46"/>
      <c r="B136" s="5"/>
      <c r="C136" s="2"/>
      <c r="D136" s="46"/>
      <c r="E136" s="46"/>
      <c r="F136" s="2"/>
      <c r="G136" s="46"/>
      <c r="H136" s="46"/>
      <c r="I136" s="65"/>
      <c r="J136" s="5"/>
      <c r="K136" s="5"/>
      <c r="L136" s="66"/>
      <c r="M136" s="66"/>
      <c r="N136" s="66"/>
    </row>
    <row r="137" spans="1:16" x14ac:dyDescent="0.2">
      <c r="A137" s="46"/>
      <c r="B137" s="5"/>
      <c r="C137" s="2"/>
      <c r="D137" s="46"/>
      <c r="E137" s="46"/>
      <c r="F137" s="2"/>
      <c r="G137" s="46"/>
      <c r="H137" s="46"/>
      <c r="I137" s="65"/>
      <c r="J137" s="5"/>
      <c r="K137" s="5"/>
      <c r="L137" s="66"/>
      <c r="M137" s="66"/>
      <c r="N137" s="66"/>
    </row>
    <row r="138" spans="1:16" x14ac:dyDescent="0.2">
      <c r="A138" s="46"/>
      <c r="B138" s="5"/>
      <c r="C138" s="2"/>
      <c r="D138" s="46"/>
      <c r="E138" s="46"/>
      <c r="F138" s="2"/>
      <c r="G138" s="46"/>
      <c r="H138" s="46"/>
      <c r="I138" s="65"/>
      <c r="J138" s="5"/>
      <c r="K138" s="5"/>
      <c r="L138" s="66"/>
      <c r="M138" s="66"/>
      <c r="N138" s="66"/>
    </row>
    <row r="139" spans="1:16" x14ac:dyDescent="0.2">
      <c r="A139" s="46"/>
      <c r="B139" s="5"/>
      <c r="C139" s="2"/>
      <c r="D139" s="46"/>
      <c r="E139" s="46"/>
      <c r="F139" s="2"/>
      <c r="G139" s="46"/>
      <c r="H139" s="46"/>
      <c r="I139" s="65"/>
      <c r="J139" s="5"/>
      <c r="K139" s="5"/>
      <c r="L139" s="66"/>
      <c r="M139" s="66"/>
      <c r="N139" s="66"/>
    </row>
    <row r="140" spans="1:16" x14ac:dyDescent="0.2">
      <c r="A140" s="46"/>
      <c r="B140" s="5"/>
      <c r="C140" s="2"/>
      <c r="D140" s="46"/>
      <c r="E140" s="46"/>
      <c r="F140" s="2"/>
      <c r="G140" s="46"/>
      <c r="H140" s="46"/>
      <c r="I140" s="65"/>
      <c r="J140" s="5"/>
      <c r="K140" s="5"/>
      <c r="L140" s="66"/>
      <c r="M140" s="66"/>
      <c r="N140" s="66"/>
    </row>
    <row r="141" spans="1:16" x14ac:dyDescent="0.2">
      <c r="A141" s="46"/>
      <c r="B141" s="5"/>
      <c r="C141" s="2"/>
      <c r="D141" s="46"/>
      <c r="E141" s="46"/>
      <c r="F141" s="2"/>
      <c r="G141" s="46"/>
      <c r="H141" s="46"/>
      <c r="I141" s="65"/>
      <c r="J141" s="5"/>
      <c r="K141" s="5"/>
      <c r="L141" s="66"/>
      <c r="M141" s="66"/>
      <c r="N141" s="66"/>
    </row>
    <row r="142" spans="1:16" x14ac:dyDescent="0.2">
      <c r="A142" s="46"/>
      <c r="B142" s="5"/>
      <c r="C142" s="2"/>
      <c r="D142" s="46"/>
      <c r="E142" s="46"/>
      <c r="F142" s="2"/>
      <c r="G142" s="46"/>
      <c r="H142" s="46"/>
      <c r="I142" s="65"/>
      <c r="J142" s="5"/>
      <c r="K142" s="5"/>
      <c r="L142" s="66"/>
      <c r="M142" s="66"/>
      <c r="N142" s="66"/>
    </row>
    <row r="143" spans="1:16" x14ac:dyDescent="0.2">
      <c r="A143" s="46"/>
      <c r="B143" s="5"/>
      <c r="C143" s="2"/>
      <c r="D143" s="46"/>
      <c r="E143" s="46"/>
      <c r="F143" s="2"/>
      <c r="G143" s="46"/>
      <c r="H143" s="46"/>
      <c r="I143" s="65"/>
      <c r="J143" s="5"/>
      <c r="K143" s="5"/>
      <c r="L143" s="66"/>
      <c r="M143" s="66"/>
      <c r="N143" s="66"/>
    </row>
    <row r="144" spans="1:16" x14ac:dyDescent="0.2">
      <c r="A144" s="46"/>
      <c r="B144" s="5"/>
      <c r="C144" s="2"/>
      <c r="D144" s="46"/>
      <c r="E144" s="46"/>
      <c r="F144" s="2"/>
      <c r="G144" s="46"/>
      <c r="H144" s="46"/>
      <c r="I144" s="65"/>
      <c r="J144" s="5"/>
      <c r="K144" s="5"/>
      <c r="L144" s="66"/>
      <c r="M144" s="66"/>
      <c r="N144" s="66"/>
    </row>
    <row r="145" spans="1:14" x14ac:dyDescent="0.2">
      <c r="A145" s="46"/>
      <c r="B145" s="5"/>
      <c r="C145" s="2"/>
      <c r="D145" s="46"/>
      <c r="E145" s="46"/>
      <c r="F145" s="2"/>
      <c r="G145" s="46"/>
      <c r="H145" s="46"/>
      <c r="I145" s="65"/>
      <c r="J145" s="5"/>
      <c r="K145" s="5"/>
      <c r="L145" s="66"/>
      <c r="M145" s="66"/>
      <c r="N145" s="66"/>
    </row>
    <row r="146" spans="1:14" x14ac:dyDescent="0.2">
      <c r="A146" s="46"/>
      <c r="B146" s="5"/>
      <c r="C146" s="2"/>
      <c r="D146" s="46"/>
      <c r="E146" s="46"/>
      <c r="F146" s="2"/>
      <c r="G146" s="46"/>
      <c r="H146" s="46"/>
      <c r="I146" s="65"/>
      <c r="J146" s="5"/>
      <c r="K146" s="5"/>
      <c r="L146" s="66"/>
      <c r="M146" s="66"/>
      <c r="N146" s="66"/>
    </row>
    <row r="147" spans="1:14" x14ac:dyDescent="0.2">
      <c r="A147" s="46"/>
      <c r="B147" s="5"/>
      <c r="C147" s="2"/>
      <c r="D147" s="46"/>
      <c r="E147" s="46"/>
      <c r="F147" s="2"/>
      <c r="G147" s="46"/>
      <c r="H147" s="46"/>
      <c r="I147" s="65"/>
      <c r="J147" s="5"/>
      <c r="K147" s="5"/>
      <c r="L147" s="66"/>
      <c r="M147" s="66"/>
      <c r="N147" s="66"/>
    </row>
    <row r="148" spans="1:14" x14ac:dyDescent="0.2">
      <c r="A148" s="46"/>
      <c r="B148" s="5"/>
      <c r="C148" s="2"/>
      <c r="D148" s="46"/>
      <c r="E148" s="46"/>
      <c r="F148" s="2"/>
      <c r="G148" s="46"/>
      <c r="H148" s="46"/>
      <c r="I148" s="65"/>
      <c r="J148" s="5"/>
      <c r="K148" s="5"/>
      <c r="L148" s="66"/>
      <c r="M148" s="66"/>
      <c r="N148" s="66"/>
    </row>
    <row r="149" spans="1:14" x14ac:dyDescent="0.2">
      <c r="A149" s="46"/>
      <c r="B149" s="5"/>
      <c r="C149" s="2"/>
      <c r="D149" s="46"/>
      <c r="E149" s="46"/>
      <c r="F149" s="2"/>
      <c r="G149" s="46"/>
      <c r="H149" s="46"/>
      <c r="I149" s="65"/>
      <c r="J149" s="5"/>
      <c r="K149" s="5"/>
      <c r="L149" s="66"/>
      <c r="M149" s="66"/>
      <c r="N149" s="66"/>
    </row>
    <row r="150" spans="1:14" x14ac:dyDescent="0.2">
      <c r="A150" s="46"/>
      <c r="B150" s="5"/>
      <c r="C150" s="2"/>
      <c r="D150" s="46"/>
      <c r="E150" s="46"/>
      <c r="F150" s="2"/>
      <c r="G150" s="46"/>
      <c r="H150" s="46"/>
      <c r="I150" s="65"/>
      <c r="J150" s="5"/>
      <c r="K150" s="5"/>
      <c r="L150" s="66"/>
      <c r="M150" s="66"/>
      <c r="N150" s="66"/>
    </row>
    <row r="151" spans="1:14" x14ac:dyDescent="0.2">
      <c r="A151" s="46"/>
      <c r="B151" s="5"/>
      <c r="C151" s="2"/>
      <c r="D151" s="46"/>
      <c r="E151" s="46"/>
      <c r="F151" s="2"/>
      <c r="G151" s="46"/>
      <c r="H151" s="46"/>
      <c r="I151" s="65"/>
      <c r="J151" s="5"/>
      <c r="K151" s="5"/>
      <c r="L151" s="66"/>
      <c r="M151" s="66"/>
      <c r="N151" s="66"/>
    </row>
    <row r="152" spans="1:14" x14ac:dyDescent="0.2">
      <c r="A152" s="46"/>
      <c r="B152" s="5"/>
      <c r="C152" s="2"/>
      <c r="D152" s="46"/>
      <c r="E152" s="46"/>
      <c r="F152" s="2"/>
      <c r="G152" s="46"/>
      <c r="H152" s="46"/>
      <c r="I152" s="65"/>
      <c r="J152" s="5"/>
      <c r="K152" s="5"/>
      <c r="L152" s="66"/>
      <c r="M152" s="66"/>
      <c r="N152" s="66"/>
    </row>
    <row r="153" spans="1:14" x14ac:dyDescent="0.2">
      <c r="A153" s="46"/>
      <c r="B153" s="5"/>
      <c r="C153" s="2"/>
      <c r="D153" s="46"/>
      <c r="E153" s="46"/>
      <c r="F153" s="2"/>
      <c r="G153" s="46"/>
      <c r="H153" s="46"/>
      <c r="I153" s="65"/>
      <c r="J153" s="5"/>
      <c r="K153" s="5"/>
      <c r="L153" s="66"/>
      <c r="M153" s="66"/>
      <c r="N153" s="66"/>
    </row>
    <row r="154" spans="1:14" x14ac:dyDescent="0.2">
      <c r="A154" s="46"/>
      <c r="B154" s="5"/>
      <c r="C154" s="2"/>
      <c r="D154" s="46"/>
      <c r="E154" s="46"/>
      <c r="F154" s="2"/>
      <c r="G154" s="46"/>
      <c r="H154" s="46"/>
      <c r="I154" s="65"/>
      <c r="J154" s="5"/>
      <c r="K154" s="5"/>
      <c r="L154" s="66"/>
      <c r="M154" s="66"/>
      <c r="N154" s="66"/>
    </row>
    <row r="155" spans="1:14" x14ac:dyDescent="0.2">
      <c r="A155" s="46"/>
      <c r="B155" s="5"/>
      <c r="C155" s="2"/>
      <c r="D155" s="46"/>
      <c r="E155" s="46"/>
      <c r="F155" s="2"/>
      <c r="G155" s="46"/>
      <c r="H155" s="46"/>
      <c r="I155" s="65"/>
      <c r="J155" s="5"/>
      <c r="K155" s="5"/>
      <c r="L155" s="66"/>
      <c r="M155" s="66"/>
      <c r="N155" s="66"/>
    </row>
    <row r="156" spans="1:14" x14ac:dyDescent="0.2">
      <c r="A156" s="46"/>
      <c r="B156" s="5"/>
      <c r="C156" s="2"/>
      <c r="D156" s="46"/>
      <c r="E156" s="46"/>
      <c r="F156" s="2"/>
      <c r="G156" s="46"/>
      <c r="H156" s="46"/>
      <c r="I156" s="65"/>
      <c r="J156" s="5"/>
      <c r="K156" s="5"/>
      <c r="L156" s="66"/>
      <c r="M156" s="66"/>
      <c r="N156" s="66"/>
    </row>
    <row r="157" spans="1:14" x14ac:dyDescent="0.2">
      <c r="A157" s="46"/>
      <c r="B157" s="5"/>
      <c r="C157" s="2"/>
      <c r="D157" s="46"/>
      <c r="E157" s="46"/>
      <c r="F157" s="2"/>
      <c r="G157" s="46"/>
      <c r="H157" s="46"/>
      <c r="I157" s="65"/>
      <c r="J157" s="5"/>
      <c r="K157" s="5"/>
      <c r="L157" s="66"/>
      <c r="M157" s="66"/>
      <c r="N157" s="66"/>
    </row>
    <row r="158" spans="1:14" x14ac:dyDescent="0.2">
      <c r="A158" s="46"/>
      <c r="B158" s="5"/>
      <c r="C158" s="2"/>
      <c r="D158" s="46"/>
      <c r="E158" s="46"/>
      <c r="F158" s="2"/>
      <c r="G158" s="46"/>
      <c r="H158" s="46"/>
      <c r="I158" s="65"/>
      <c r="J158" s="5"/>
      <c r="K158" s="5"/>
      <c r="L158" s="66"/>
      <c r="M158" s="66"/>
      <c r="N158" s="66"/>
    </row>
    <row r="159" spans="1:14" x14ac:dyDescent="0.2">
      <c r="A159" s="46"/>
      <c r="B159" s="5"/>
      <c r="C159" s="2"/>
      <c r="D159" s="46"/>
      <c r="E159" s="46"/>
      <c r="F159" s="2"/>
      <c r="G159" s="46"/>
      <c r="H159" s="46"/>
      <c r="I159" s="65"/>
      <c r="J159" s="5"/>
      <c r="K159" s="5"/>
      <c r="L159" s="66"/>
      <c r="M159" s="66"/>
      <c r="N159" s="66"/>
    </row>
    <row r="160" spans="1:14" x14ac:dyDescent="0.2">
      <c r="A160" s="46"/>
      <c r="B160" s="5"/>
      <c r="C160" s="2"/>
      <c r="D160" s="46"/>
      <c r="E160" s="46"/>
      <c r="F160" s="2"/>
      <c r="G160" s="46"/>
      <c r="H160" s="46"/>
      <c r="I160" s="65"/>
      <c r="J160" s="5"/>
      <c r="K160" s="5"/>
      <c r="L160" s="66"/>
      <c r="M160" s="66"/>
      <c r="N160" s="66"/>
    </row>
    <row r="161" spans="1:14" x14ac:dyDescent="0.2">
      <c r="A161" s="46"/>
      <c r="B161" s="5"/>
      <c r="C161" s="2"/>
      <c r="D161" s="46"/>
      <c r="E161" s="46"/>
      <c r="F161" s="2"/>
      <c r="G161" s="46"/>
      <c r="H161" s="46"/>
      <c r="I161" s="65"/>
      <c r="J161" s="5"/>
      <c r="K161" s="5"/>
      <c r="L161" s="66"/>
      <c r="M161" s="66"/>
      <c r="N161" s="66"/>
    </row>
    <row r="162" spans="1:14" x14ac:dyDescent="0.2">
      <c r="A162" s="46"/>
      <c r="B162" s="5"/>
      <c r="C162" s="2"/>
      <c r="D162" s="46"/>
      <c r="E162" s="46"/>
      <c r="F162" s="2"/>
      <c r="G162" s="46"/>
      <c r="H162" s="46"/>
      <c r="I162" s="65"/>
      <c r="J162" s="5"/>
      <c r="K162" s="5"/>
      <c r="L162" s="66"/>
      <c r="M162" s="66"/>
      <c r="N162" s="66"/>
    </row>
    <row r="163" spans="1:14" x14ac:dyDescent="0.2">
      <c r="A163" s="46"/>
      <c r="B163" s="5"/>
      <c r="C163" s="2"/>
      <c r="D163" s="46"/>
      <c r="E163" s="46"/>
      <c r="F163" s="2"/>
      <c r="G163" s="46"/>
      <c r="H163" s="46"/>
      <c r="I163" s="65"/>
      <c r="J163" s="5"/>
      <c r="K163" s="5"/>
      <c r="L163" s="66"/>
      <c r="M163" s="66"/>
      <c r="N163" s="66"/>
    </row>
    <row r="164" spans="1:14" x14ac:dyDescent="0.2">
      <c r="A164" s="46"/>
      <c r="B164" s="5"/>
      <c r="C164" s="2"/>
      <c r="D164" s="46"/>
      <c r="E164" s="46"/>
      <c r="F164" s="2"/>
      <c r="G164" s="46"/>
      <c r="H164" s="46"/>
      <c r="I164" s="65"/>
      <c r="J164" s="5"/>
      <c r="K164" s="5"/>
      <c r="L164" s="66"/>
      <c r="M164" s="66"/>
      <c r="N164" s="66"/>
    </row>
    <row r="165" spans="1:14" x14ac:dyDescent="0.2">
      <c r="A165" s="46"/>
      <c r="B165" s="5"/>
      <c r="C165" s="2"/>
      <c r="D165" s="46"/>
      <c r="E165" s="46"/>
      <c r="F165" s="2"/>
      <c r="G165" s="46"/>
      <c r="H165" s="46"/>
      <c r="I165" s="65"/>
      <c r="J165" s="5"/>
      <c r="K165" s="5"/>
      <c r="L165" s="66"/>
      <c r="M165" s="66"/>
      <c r="N165" s="66"/>
    </row>
    <row r="166" spans="1:14" x14ac:dyDescent="0.2">
      <c r="A166" s="46"/>
      <c r="B166" s="5"/>
      <c r="C166" s="2"/>
      <c r="D166" s="46"/>
      <c r="E166" s="46"/>
      <c r="F166" s="2"/>
      <c r="G166" s="46"/>
      <c r="H166" s="46"/>
      <c r="I166" s="65"/>
      <c r="J166" s="5"/>
      <c r="K166" s="5"/>
      <c r="L166" s="66"/>
      <c r="M166" s="66"/>
      <c r="N166" s="66"/>
    </row>
    <row r="167" spans="1:14" x14ac:dyDescent="0.2">
      <c r="A167" s="46"/>
      <c r="B167" s="5"/>
      <c r="C167" s="2"/>
      <c r="D167" s="46"/>
      <c r="E167" s="46"/>
      <c r="F167" s="2"/>
      <c r="G167" s="46"/>
      <c r="H167" s="46"/>
      <c r="I167" s="65"/>
      <c r="J167" s="5"/>
      <c r="K167" s="5"/>
      <c r="L167" s="66"/>
      <c r="M167" s="66"/>
      <c r="N167" s="66"/>
    </row>
    <row r="168" spans="1:14" x14ac:dyDescent="0.2">
      <c r="A168" s="46"/>
      <c r="B168" s="5"/>
      <c r="C168" s="2"/>
      <c r="D168" s="46"/>
      <c r="E168" s="46"/>
      <c r="F168" s="2"/>
      <c r="G168" s="46"/>
      <c r="H168" s="46"/>
      <c r="I168" s="65"/>
      <c r="J168" s="5"/>
      <c r="K168" s="5"/>
      <c r="L168" s="66"/>
      <c r="M168" s="66"/>
      <c r="N168" s="66"/>
    </row>
    <row r="169" spans="1:14" x14ac:dyDescent="0.2">
      <c r="A169" s="46"/>
      <c r="B169" s="5"/>
      <c r="C169" s="2"/>
      <c r="D169" s="46"/>
      <c r="E169" s="46"/>
      <c r="F169" s="2"/>
      <c r="G169" s="46"/>
      <c r="H169" s="46"/>
      <c r="I169" s="65"/>
      <c r="J169" s="5"/>
      <c r="K169" s="5"/>
      <c r="L169" s="66"/>
      <c r="M169" s="66"/>
      <c r="N169" s="66"/>
    </row>
    <row r="170" spans="1:14" x14ac:dyDescent="0.2">
      <c r="A170" s="46"/>
      <c r="B170" s="5"/>
      <c r="C170" s="2"/>
      <c r="D170" s="46"/>
      <c r="E170" s="46"/>
      <c r="F170" s="2"/>
      <c r="G170" s="46"/>
      <c r="H170" s="46"/>
      <c r="I170" s="65"/>
      <c r="J170" s="5"/>
      <c r="K170" s="5"/>
      <c r="L170" s="66"/>
      <c r="M170" s="66"/>
      <c r="N170" s="66"/>
    </row>
    <row r="171" spans="1:14" x14ac:dyDescent="0.2">
      <c r="A171" s="46"/>
      <c r="B171" s="5"/>
      <c r="C171" s="2"/>
      <c r="D171" s="46"/>
      <c r="E171" s="46"/>
      <c r="F171" s="2"/>
      <c r="G171" s="46"/>
      <c r="H171" s="46"/>
      <c r="I171" s="65"/>
      <c r="J171" s="5"/>
      <c r="K171" s="5"/>
      <c r="L171" s="66"/>
      <c r="M171" s="66"/>
      <c r="N171" s="66"/>
    </row>
    <row r="172" spans="1:14" x14ac:dyDescent="0.2">
      <c r="A172" s="46"/>
      <c r="B172" s="5"/>
      <c r="C172" s="2"/>
      <c r="D172" s="46"/>
      <c r="E172" s="46"/>
      <c r="F172" s="2"/>
      <c r="G172" s="46"/>
      <c r="H172" s="46"/>
      <c r="I172" s="65"/>
      <c r="J172" s="5"/>
      <c r="K172" s="5"/>
      <c r="L172" s="66"/>
      <c r="M172" s="66"/>
      <c r="N172" s="66"/>
    </row>
    <row r="173" spans="1:14" x14ac:dyDescent="0.2">
      <c r="A173" s="46"/>
      <c r="B173" s="5"/>
      <c r="C173" s="2"/>
      <c r="D173" s="46"/>
      <c r="E173" s="46"/>
      <c r="F173" s="2"/>
      <c r="G173" s="46"/>
      <c r="H173" s="46"/>
      <c r="I173" s="65"/>
      <c r="J173" s="5"/>
      <c r="K173" s="5"/>
      <c r="L173" s="66"/>
      <c r="M173" s="66"/>
      <c r="N173" s="66"/>
    </row>
    <row r="174" spans="1:14" x14ac:dyDescent="0.2">
      <c r="A174" s="46"/>
      <c r="B174" s="5"/>
      <c r="C174" s="2"/>
      <c r="D174" s="46"/>
      <c r="E174" s="46"/>
      <c r="F174" s="2"/>
      <c r="G174" s="46"/>
      <c r="H174" s="46"/>
      <c r="I174" s="65"/>
      <c r="J174" s="5"/>
      <c r="K174" s="5"/>
      <c r="L174" s="66"/>
      <c r="M174" s="66"/>
      <c r="N174" s="66"/>
    </row>
    <row r="175" spans="1:14" x14ac:dyDescent="0.2">
      <c r="A175" s="46"/>
      <c r="B175" s="5"/>
      <c r="C175" s="2"/>
      <c r="D175" s="46"/>
      <c r="E175" s="46"/>
      <c r="F175" s="2"/>
      <c r="G175" s="46"/>
      <c r="H175" s="46"/>
      <c r="I175" s="65"/>
      <c r="J175" s="5"/>
      <c r="K175" s="5"/>
      <c r="L175" s="66"/>
      <c r="M175" s="66"/>
      <c r="N175" s="66"/>
    </row>
    <row r="176" spans="1:14" x14ac:dyDescent="0.2">
      <c r="A176" s="46"/>
      <c r="B176" s="5"/>
      <c r="C176" s="2"/>
      <c r="D176" s="46"/>
      <c r="E176" s="46"/>
      <c r="F176" s="2"/>
      <c r="G176" s="46"/>
      <c r="H176" s="46"/>
      <c r="I176" s="65"/>
      <c r="J176" s="5"/>
      <c r="K176" s="5"/>
      <c r="L176" s="66"/>
      <c r="M176" s="66"/>
      <c r="N176" s="66"/>
    </row>
    <row r="177" spans="1:14" x14ac:dyDescent="0.2">
      <c r="A177" s="46"/>
      <c r="B177" s="5"/>
      <c r="C177" s="2"/>
      <c r="D177" s="46"/>
      <c r="E177" s="46"/>
      <c r="F177" s="2"/>
      <c r="G177" s="46"/>
      <c r="H177" s="46"/>
      <c r="I177" s="65"/>
      <c r="J177" s="5"/>
      <c r="K177" s="5"/>
      <c r="L177" s="66"/>
      <c r="M177" s="66"/>
      <c r="N177" s="66"/>
    </row>
    <row r="178" spans="1:14" x14ac:dyDescent="0.2">
      <c r="A178" s="46"/>
      <c r="B178" s="5"/>
      <c r="C178" s="2"/>
      <c r="D178" s="46"/>
      <c r="E178" s="46"/>
      <c r="F178" s="2"/>
      <c r="G178" s="46"/>
      <c r="H178" s="46"/>
      <c r="I178" s="65"/>
      <c r="J178" s="5"/>
      <c r="K178" s="5"/>
      <c r="L178" s="66"/>
      <c r="M178" s="66"/>
      <c r="N178" s="66"/>
    </row>
    <row r="179" spans="1:14" x14ac:dyDescent="0.2">
      <c r="A179" s="46"/>
      <c r="B179" s="5"/>
      <c r="C179" s="2"/>
      <c r="D179" s="46"/>
      <c r="E179" s="46"/>
      <c r="F179" s="2"/>
      <c r="G179" s="46"/>
      <c r="H179" s="46"/>
      <c r="I179" s="65"/>
      <c r="J179" s="5"/>
      <c r="K179" s="5"/>
      <c r="L179" s="66"/>
      <c r="M179" s="66"/>
      <c r="N179" s="66"/>
    </row>
    <row r="180" spans="1:14" x14ac:dyDescent="0.2">
      <c r="A180" s="46"/>
      <c r="B180" s="5"/>
      <c r="C180" s="2"/>
      <c r="D180" s="46"/>
      <c r="E180" s="46"/>
      <c r="F180" s="2"/>
      <c r="G180" s="46"/>
      <c r="H180" s="46"/>
      <c r="I180" s="65"/>
      <c r="J180" s="5"/>
      <c r="K180" s="5"/>
      <c r="L180" s="66"/>
      <c r="M180" s="66"/>
      <c r="N180" s="66"/>
    </row>
    <row r="181" spans="1:14" x14ac:dyDescent="0.2">
      <c r="A181" s="46"/>
      <c r="B181" s="5"/>
      <c r="C181" s="2"/>
      <c r="D181" s="46"/>
      <c r="E181" s="46"/>
      <c r="F181" s="2"/>
      <c r="G181" s="46"/>
      <c r="H181" s="46"/>
      <c r="I181" s="65"/>
      <c r="J181" s="5"/>
      <c r="K181" s="5"/>
      <c r="L181" s="66"/>
      <c r="M181" s="66"/>
      <c r="N181" s="66"/>
    </row>
    <row r="182" spans="1:14" x14ac:dyDescent="0.2">
      <c r="A182" s="46"/>
      <c r="B182" s="5"/>
      <c r="C182" s="2"/>
      <c r="D182" s="46"/>
      <c r="E182" s="46"/>
      <c r="F182" s="2"/>
      <c r="G182" s="46"/>
      <c r="H182" s="46"/>
      <c r="I182" s="65"/>
      <c r="J182" s="5"/>
      <c r="K182" s="5"/>
      <c r="L182" s="66"/>
      <c r="M182" s="66"/>
      <c r="N182" s="66"/>
    </row>
    <row r="183" spans="1:14" x14ac:dyDescent="0.2">
      <c r="A183" s="46"/>
      <c r="B183" s="5"/>
      <c r="C183" s="2"/>
      <c r="D183" s="46"/>
      <c r="E183" s="46"/>
      <c r="F183" s="2"/>
      <c r="G183" s="46"/>
      <c r="H183" s="46"/>
      <c r="I183" s="65"/>
      <c r="J183" s="5"/>
      <c r="K183" s="5"/>
      <c r="L183" s="66"/>
      <c r="M183" s="66"/>
      <c r="N183" s="66"/>
    </row>
    <row r="184" spans="1:14" x14ac:dyDescent="0.2">
      <c r="A184" s="46"/>
      <c r="B184" s="5"/>
      <c r="C184" s="2"/>
      <c r="D184" s="46"/>
      <c r="E184" s="46"/>
      <c r="F184" s="2"/>
      <c r="G184" s="46"/>
      <c r="H184" s="46"/>
      <c r="I184" s="65"/>
      <c r="J184" s="5"/>
      <c r="K184" s="5"/>
      <c r="L184" s="66"/>
      <c r="M184" s="66"/>
      <c r="N184" s="66"/>
    </row>
    <row r="185" spans="1:14" x14ac:dyDescent="0.2">
      <c r="A185" s="46"/>
      <c r="B185" s="5"/>
      <c r="C185" s="2"/>
      <c r="D185" s="46"/>
      <c r="E185" s="46"/>
      <c r="F185" s="2"/>
      <c r="G185" s="46"/>
      <c r="H185" s="46"/>
      <c r="I185" s="65"/>
      <c r="J185" s="5"/>
      <c r="K185" s="5"/>
      <c r="L185" s="66"/>
      <c r="M185" s="66"/>
      <c r="N185" s="66"/>
    </row>
    <row r="186" spans="1:14" x14ac:dyDescent="0.2">
      <c r="A186" s="46"/>
      <c r="B186" s="5"/>
      <c r="C186" s="2"/>
      <c r="D186" s="46"/>
      <c r="E186" s="46"/>
      <c r="F186" s="2"/>
      <c r="G186" s="46"/>
      <c r="H186" s="46"/>
      <c r="I186" s="65"/>
      <c r="J186" s="5"/>
      <c r="K186" s="5"/>
      <c r="L186" s="66"/>
      <c r="M186" s="66"/>
      <c r="N186" s="66"/>
    </row>
    <row r="187" spans="1:14" x14ac:dyDescent="0.2">
      <c r="A187" s="46"/>
      <c r="B187" s="5"/>
      <c r="C187" s="2"/>
      <c r="D187" s="46"/>
      <c r="E187" s="46"/>
      <c r="F187" s="2"/>
      <c r="G187" s="46"/>
      <c r="H187" s="46"/>
      <c r="I187" s="65"/>
      <c r="J187" s="5"/>
      <c r="K187" s="5"/>
      <c r="L187" s="66"/>
      <c r="M187" s="66"/>
      <c r="N187" s="66"/>
    </row>
    <row r="188" spans="1:14" x14ac:dyDescent="0.2">
      <c r="A188" s="46"/>
      <c r="B188" s="5"/>
      <c r="C188" s="2"/>
      <c r="D188" s="46"/>
      <c r="E188" s="46"/>
      <c r="F188" s="2"/>
      <c r="G188" s="46"/>
      <c r="H188" s="46"/>
      <c r="I188" s="65"/>
      <c r="J188" s="5"/>
      <c r="K188" s="5"/>
      <c r="L188" s="66"/>
      <c r="M188" s="66"/>
      <c r="N188" s="66"/>
    </row>
    <row r="189" spans="1:14" x14ac:dyDescent="0.2">
      <c r="A189" s="46"/>
      <c r="B189" s="5"/>
      <c r="C189" s="2"/>
      <c r="D189" s="46"/>
      <c r="E189" s="46"/>
      <c r="F189" s="2"/>
      <c r="G189" s="46"/>
      <c r="H189" s="46"/>
      <c r="I189" s="65"/>
      <c r="J189" s="5"/>
      <c r="K189" s="5"/>
      <c r="L189" s="66"/>
      <c r="M189" s="66"/>
      <c r="N189" s="66"/>
    </row>
    <row r="190" spans="1:14" x14ac:dyDescent="0.2">
      <c r="A190" s="46"/>
      <c r="B190" s="5"/>
      <c r="C190" s="2"/>
      <c r="D190" s="46"/>
      <c r="E190" s="46"/>
      <c r="F190" s="2"/>
      <c r="G190" s="46"/>
      <c r="H190" s="46"/>
      <c r="I190" s="65"/>
      <c r="J190" s="5"/>
      <c r="K190" s="5"/>
      <c r="L190" s="66"/>
      <c r="M190" s="66"/>
      <c r="N190" s="66"/>
    </row>
    <row r="191" spans="1:14" x14ac:dyDescent="0.2">
      <c r="A191" s="46"/>
      <c r="B191" s="5"/>
      <c r="C191" s="2"/>
      <c r="D191" s="46"/>
      <c r="E191" s="46"/>
      <c r="F191" s="2"/>
      <c r="G191" s="46"/>
      <c r="H191" s="46"/>
      <c r="I191" s="65"/>
      <c r="J191" s="5"/>
      <c r="K191" s="5"/>
      <c r="L191" s="66"/>
      <c r="M191" s="66"/>
      <c r="N191" s="66"/>
    </row>
    <row r="192" spans="1:14" x14ac:dyDescent="0.2">
      <c r="A192" s="46"/>
      <c r="B192" s="5"/>
      <c r="C192" s="2"/>
      <c r="D192" s="46"/>
      <c r="E192" s="46"/>
      <c r="F192" s="2"/>
      <c r="G192" s="46"/>
      <c r="H192" s="46"/>
      <c r="I192" s="65"/>
      <c r="J192" s="5"/>
      <c r="K192" s="5"/>
      <c r="L192" s="66"/>
      <c r="M192" s="66"/>
      <c r="N192" s="66"/>
    </row>
    <row r="193" spans="1:14" x14ac:dyDescent="0.2">
      <c r="A193" s="46"/>
      <c r="B193" s="5"/>
      <c r="C193" s="2"/>
      <c r="D193" s="46"/>
      <c r="E193" s="46"/>
      <c r="F193" s="2"/>
      <c r="G193" s="46"/>
      <c r="H193" s="46"/>
      <c r="I193" s="65"/>
      <c r="J193" s="5"/>
      <c r="K193" s="5"/>
      <c r="L193" s="66"/>
      <c r="M193" s="66"/>
      <c r="N193" s="66"/>
    </row>
    <row r="194" spans="1:14" x14ac:dyDescent="0.2">
      <c r="A194" s="46"/>
      <c r="B194" s="5"/>
      <c r="C194" s="2"/>
      <c r="D194" s="46"/>
      <c r="E194" s="46"/>
      <c r="F194" s="2"/>
      <c r="G194" s="46"/>
      <c r="H194" s="46"/>
      <c r="I194" s="65"/>
      <c r="J194" s="5"/>
      <c r="K194" s="5"/>
      <c r="L194" s="66"/>
      <c r="M194" s="66"/>
      <c r="N194" s="66"/>
    </row>
    <row r="195" spans="1:14" x14ac:dyDescent="0.2">
      <c r="A195" s="46"/>
      <c r="B195" s="5"/>
      <c r="C195" s="2"/>
      <c r="D195" s="46"/>
      <c r="E195" s="46"/>
      <c r="F195" s="2"/>
      <c r="G195" s="46"/>
      <c r="H195" s="46"/>
      <c r="I195" s="65"/>
      <c r="J195" s="5"/>
      <c r="K195" s="5"/>
      <c r="L195" s="66"/>
      <c r="M195" s="66"/>
      <c r="N195" s="66"/>
    </row>
    <row r="196" spans="1:14" x14ac:dyDescent="0.2">
      <c r="A196" s="46"/>
      <c r="B196" s="5"/>
      <c r="C196" s="2"/>
      <c r="D196" s="46"/>
      <c r="E196" s="46"/>
      <c r="F196" s="2"/>
      <c r="G196" s="46"/>
      <c r="H196" s="46"/>
      <c r="I196" s="65"/>
      <c r="J196" s="5"/>
      <c r="K196" s="5"/>
      <c r="L196" s="66"/>
      <c r="M196" s="66"/>
      <c r="N196" s="66"/>
    </row>
    <row r="197" spans="1:14" x14ac:dyDescent="0.2">
      <c r="A197" s="46"/>
      <c r="B197" s="5"/>
      <c r="C197" s="2"/>
      <c r="D197" s="46"/>
      <c r="E197" s="46"/>
      <c r="F197" s="2"/>
      <c r="G197" s="46"/>
      <c r="H197" s="46"/>
      <c r="I197" s="65"/>
      <c r="J197" s="5"/>
      <c r="K197" s="5"/>
      <c r="L197" s="66"/>
      <c r="M197" s="66"/>
      <c r="N197" s="66"/>
    </row>
    <row r="198" spans="1:14" x14ac:dyDescent="0.2">
      <c r="A198" s="46"/>
      <c r="B198" s="5"/>
      <c r="C198" s="2"/>
      <c r="D198" s="46"/>
      <c r="E198" s="46"/>
      <c r="F198" s="2"/>
      <c r="G198" s="46"/>
      <c r="H198" s="46"/>
      <c r="I198" s="65"/>
      <c r="J198" s="5"/>
      <c r="K198" s="5"/>
      <c r="L198" s="66"/>
      <c r="M198" s="66"/>
      <c r="N198" s="66"/>
    </row>
    <row r="199" spans="1:14" x14ac:dyDescent="0.2">
      <c r="A199" s="46"/>
      <c r="B199" s="5"/>
      <c r="C199" s="2"/>
      <c r="D199" s="46"/>
      <c r="E199" s="46"/>
      <c r="F199" s="2"/>
      <c r="G199" s="46"/>
      <c r="H199" s="46"/>
      <c r="I199" s="65"/>
      <c r="J199" s="5"/>
      <c r="K199" s="5"/>
      <c r="L199" s="66"/>
      <c r="M199" s="66"/>
      <c r="N199" s="66"/>
    </row>
    <row r="200" spans="1:14" x14ac:dyDescent="0.2">
      <c r="A200" s="46"/>
      <c r="B200" s="5"/>
      <c r="C200" s="2"/>
      <c r="D200" s="46"/>
      <c r="E200" s="46"/>
      <c r="F200" s="2"/>
      <c r="G200" s="46"/>
      <c r="H200" s="46"/>
      <c r="I200" s="65"/>
      <c r="J200" s="5"/>
      <c r="K200" s="5"/>
      <c r="L200" s="66"/>
      <c r="M200" s="66"/>
      <c r="N200" s="66"/>
    </row>
    <row r="201" spans="1:14" x14ac:dyDescent="0.2">
      <c r="A201" s="46"/>
      <c r="B201" s="5"/>
      <c r="C201" s="2"/>
      <c r="D201" s="46"/>
      <c r="E201" s="46"/>
      <c r="F201" s="2"/>
      <c r="G201" s="46"/>
      <c r="H201" s="46"/>
      <c r="I201" s="65"/>
      <c r="J201" s="5"/>
      <c r="K201" s="5"/>
      <c r="L201" s="66"/>
      <c r="M201" s="66"/>
      <c r="N201" s="66"/>
    </row>
    <row r="202" spans="1:14" x14ac:dyDescent="0.2">
      <c r="A202" s="46"/>
      <c r="B202" s="5"/>
      <c r="C202" s="2"/>
      <c r="D202" s="46"/>
      <c r="E202" s="46"/>
      <c r="F202" s="2"/>
      <c r="G202" s="46"/>
      <c r="H202" s="46"/>
      <c r="I202" s="65"/>
      <c r="J202" s="5"/>
      <c r="K202" s="5"/>
      <c r="L202" s="66"/>
      <c r="M202" s="66"/>
      <c r="N202" s="66"/>
    </row>
    <row r="203" spans="1:14" x14ac:dyDescent="0.2">
      <c r="A203" s="46"/>
      <c r="B203" s="5"/>
      <c r="C203" s="2"/>
      <c r="D203" s="46"/>
      <c r="E203" s="46"/>
      <c r="F203" s="2"/>
      <c r="G203" s="46"/>
      <c r="H203" s="46"/>
      <c r="I203" s="65"/>
      <c r="J203" s="5"/>
      <c r="K203" s="5"/>
      <c r="L203" s="66"/>
      <c r="M203" s="66"/>
      <c r="N203" s="66"/>
    </row>
    <row r="204" spans="1:14" x14ac:dyDescent="0.2">
      <c r="A204" s="46"/>
      <c r="B204" s="5"/>
      <c r="C204" s="2"/>
      <c r="D204" s="46"/>
      <c r="E204" s="46"/>
      <c r="F204" s="2"/>
      <c r="G204" s="46"/>
      <c r="H204" s="46"/>
      <c r="I204" s="65"/>
      <c r="J204" s="5"/>
      <c r="K204" s="5"/>
      <c r="L204" s="66"/>
      <c r="M204" s="66"/>
      <c r="N204" s="66"/>
    </row>
    <row r="205" spans="1:14" x14ac:dyDescent="0.2">
      <c r="A205" s="46"/>
      <c r="B205" s="5"/>
      <c r="C205" s="2"/>
      <c r="D205" s="46"/>
      <c r="E205" s="46"/>
      <c r="F205" s="2"/>
      <c r="G205" s="46"/>
      <c r="H205" s="46"/>
      <c r="I205" s="65"/>
      <c r="J205" s="5"/>
      <c r="K205" s="5"/>
      <c r="L205" s="66"/>
      <c r="M205" s="66"/>
      <c r="N205" s="66"/>
    </row>
    <row r="206" spans="1:14" x14ac:dyDescent="0.2">
      <c r="A206" s="46"/>
      <c r="B206" s="5"/>
      <c r="C206" s="2"/>
      <c r="D206" s="46"/>
      <c r="E206" s="46"/>
      <c r="F206" s="2"/>
      <c r="G206" s="46"/>
      <c r="H206" s="46"/>
      <c r="I206" s="65"/>
      <c r="J206" s="5"/>
      <c r="K206" s="5"/>
      <c r="L206" s="66"/>
      <c r="M206" s="66"/>
      <c r="N206" s="66"/>
    </row>
    <row r="207" spans="1:14" x14ac:dyDescent="0.2">
      <c r="A207" s="46"/>
      <c r="B207" s="5"/>
      <c r="C207" s="2"/>
      <c r="D207" s="46"/>
      <c r="E207" s="46"/>
      <c r="F207" s="2"/>
      <c r="G207" s="46"/>
      <c r="H207" s="46"/>
      <c r="I207" s="65"/>
      <c r="J207" s="5"/>
      <c r="K207" s="5"/>
      <c r="L207" s="66"/>
      <c r="M207" s="66"/>
      <c r="N207" s="66"/>
    </row>
    <row r="208" spans="1:14" x14ac:dyDescent="0.2">
      <c r="A208" s="46"/>
      <c r="B208" s="5"/>
      <c r="C208" s="2"/>
      <c r="D208" s="46"/>
      <c r="E208" s="46"/>
      <c r="F208" s="2"/>
      <c r="G208" s="46"/>
      <c r="H208" s="46"/>
      <c r="I208" s="65"/>
      <c r="J208" s="5"/>
      <c r="K208" s="5"/>
      <c r="L208" s="66"/>
      <c r="M208" s="66"/>
      <c r="N208" s="66"/>
    </row>
    <row r="209" spans="1:14" x14ac:dyDescent="0.2">
      <c r="A209" s="46"/>
      <c r="B209" s="5"/>
      <c r="C209" s="2"/>
      <c r="D209" s="46"/>
      <c r="E209" s="46"/>
      <c r="F209" s="2"/>
      <c r="G209" s="46"/>
      <c r="H209" s="46"/>
      <c r="I209" s="65"/>
      <c r="J209" s="5"/>
      <c r="K209" s="5"/>
      <c r="L209" s="66"/>
      <c r="M209" s="66"/>
      <c r="N209" s="66"/>
    </row>
    <row r="210" spans="1:14" x14ac:dyDescent="0.2">
      <c r="A210" s="46"/>
      <c r="B210" s="5"/>
      <c r="C210" s="2"/>
      <c r="D210" s="46"/>
      <c r="E210" s="46"/>
      <c r="F210" s="2"/>
      <c r="G210" s="46"/>
      <c r="H210" s="46"/>
      <c r="I210" s="65"/>
      <c r="J210" s="5"/>
      <c r="K210" s="5"/>
      <c r="L210" s="66"/>
      <c r="M210" s="66"/>
      <c r="N210" s="66"/>
    </row>
    <row r="211" spans="1:14" x14ac:dyDescent="0.2">
      <c r="A211" s="46"/>
      <c r="B211" s="5"/>
      <c r="C211" s="2"/>
      <c r="D211" s="46"/>
      <c r="E211" s="46"/>
      <c r="F211" s="2"/>
      <c r="G211" s="46"/>
      <c r="H211" s="46"/>
      <c r="I211" s="65"/>
      <c r="J211" s="5"/>
      <c r="K211" s="5"/>
      <c r="L211" s="66"/>
      <c r="M211" s="66"/>
      <c r="N211" s="66"/>
    </row>
    <row r="212" spans="1:14" x14ac:dyDescent="0.2">
      <c r="A212" s="46"/>
      <c r="B212" s="5"/>
      <c r="C212" s="2"/>
      <c r="D212" s="46"/>
      <c r="E212" s="46"/>
      <c r="F212" s="2"/>
      <c r="G212" s="46"/>
      <c r="H212" s="46"/>
      <c r="I212" s="65"/>
      <c r="J212" s="5"/>
      <c r="K212" s="5"/>
      <c r="L212" s="66"/>
      <c r="M212" s="66"/>
      <c r="N212" s="66"/>
    </row>
    <row r="213" spans="1:14" x14ac:dyDescent="0.2">
      <c r="A213" s="46"/>
      <c r="B213" s="5"/>
      <c r="C213" s="2"/>
      <c r="D213" s="46"/>
      <c r="E213" s="46"/>
      <c r="F213" s="2"/>
      <c r="G213" s="46"/>
      <c r="H213" s="46"/>
      <c r="I213" s="65"/>
      <c r="J213" s="5"/>
      <c r="K213" s="5"/>
      <c r="L213" s="66"/>
      <c r="M213" s="66"/>
      <c r="N213" s="66"/>
    </row>
    <row r="214" spans="1:14" x14ac:dyDescent="0.2">
      <c r="A214" s="46"/>
      <c r="B214" s="5"/>
      <c r="C214" s="2"/>
      <c r="D214" s="46"/>
      <c r="E214" s="46"/>
      <c r="F214" s="2"/>
      <c r="G214" s="46"/>
      <c r="H214" s="46"/>
      <c r="I214" s="65"/>
      <c r="J214" s="5"/>
      <c r="K214" s="5"/>
      <c r="L214" s="66"/>
      <c r="M214" s="66"/>
      <c r="N214" s="66"/>
    </row>
    <row r="215" spans="1:14" x14ac:dyDescent="0.2">
      <c r="A215" s="46"/>
      <c r="B215" s="5"/>
      <c r="C215" s="2"/>
      <c r="D215" s="46"/>
      <c r="E215" s="46"/>
      <c r="F215" s="2"/>
      <c r="G215" s="46"/>
      <c r="H215" s="46"/>
      <c r="I215" s="65"/>
      <c r="J215" s="5"/>
      <c r="K215" s="5"/>
      <c r="L215" s="66"/>
      <c r="M215" s="66"/>
      <c r="N215" s="66"/>
    </row>
    <row r="216" spans="1:14" x14ac:dyDescent="0.2">
      <c r="A216" s="46"/>
      <c r="B216" s="5"/>
      <c r="C216" s="2"/>
      <c r="D216" s="46"/>
      <c r="E216" s="46"/>
      <c r="F216" s="2"/>
      <c r="G216" s="46"/>
      <c r="H216" s="46"/>
      <c r="I216" s="65"/>
      <c r="J216" s="5"/>
      <c r="K216" s="5"/>
      <c r="L216" s="66"/>
      <c r="M216" s="66"/>
      <c r="N216" s="66"/>
    </row>
    <row r="217" spans="1:14" x14ac:dyDescent="0.2">
      <c r="A217" s="46"/>
      <c r="B217" s="5"/>
      <c r="C217" s="2"/>
      <c r="D217" s="46"/>
      <c r="E217" s="46"/>
      <c r="F217" s="2"/>
      <c r="G217" s="46"/>
      <c r="H217" s="46"/>
      <c r="I217" s="65"/>
      <c r="J217" s="5"/>
      <c r="K217" s="5"/>
      <c r="L217" s="66"/>
      <c r="M217" s="66"/>
      <c r="N217" s="66"/>
    </row>
    <row r="218" spans="1:14" x14ac:dyDescent="0.2">
      <c r="A218" s="46"/>
      <c r="B218" s="5"/>
      <c r="C218" s="2"/>
      <c r="D218" s="46"/>
      <c r="E218" s="46"/>
      <c r="F218" s="2"/>
      <c r="G218" s="46"/>
      <c r="H218" s="46"/>
      <c r="I218" s="65"/>
      <c r="J218" s="5"/>
      <c r="K218" s="5"/>
      <c r="L218" s="66"/>
      <c r="M218" s="66"/>
      <c r="N218" s="66"/>
    </row>
    <row r="219" spans="1:14" x14ac:dyDescent="0.2">
      <c r="A219" s="46"/>
      <c r="B219" s="5"/>
      <c r="C219" s="2"/>
      <c r="D219" s="46"/>
      <c r="E219" s="46"/>
      <c r="F219" s="2"/>
      <c r="G219" s="46"/>
      <c r="H219" s="46"/>
      <c r="I219" s="65"/>
      <c r="J219" s="5"/>
      <c r="K219" s="5"/>
      <c r="L219" s="66"/>
      <c r="M219" s="66"/>
      <c r="N219" s="66"/>
    </row>
    <row r="220" spans="1:14" x14ac:dyDescent="0.2">
      <c r="A220" s="46"/>
      <c r="B220" s="5"/>
      <c r="C220" s="2"/>
      <c r="D220" s="46"/>
      <c r="E220" s="46"/>
      <c r="F220" s="2"/>
      <c r="G220" s="46"/>
      <c r="H220" s="46"/>
      <c r="I220" s="65"/>
      <c r="J220" s="5"/>
      <c r="K220" s="5"/>
      <c r="L220" s="66"/>
      <c r="M220" s="66"/>
      <c r="N220" s="66"/>
    </row>
    <row r="221" spans="1:14" x14ac:dyDescent="0.2">
      <c r="A221" s="46"/>
      <c r="B221" s="5"/>
      <c r="C221" s="2"/>
      <c r="D221" s="46"/>
      <c r="E221" s="46"/>
      <c r="F221" s="2"/>
      <c r="G221" s="46"/>
      <c r="H221" s="46"/>
      <c r="I221" s="65"/>
      <c r="J221" s="5"/>
      <c r="K221" s="5"/>
      <c r="L221" s="66"/>
      <c r="M221" s="66"/>
      <c r="N221" s="66"/>
    </row>
    <row r="222" spans="1:14" x14ac:dyDescent="0.2">
      <c r="A222" s="46"/>
      <c r="B222" s="5"/>
      <c r="C222" s="2"/>
      <c r="D222" s="46"/>
      <c r="E222" s="46"/>
      <c r="F222" s="2"/>
      <c r="G222" s="46"/>
      <c r="H222" s="46"/>
      <c r="I222" s="65"/>
      <c r="J222" s="5"/>
      <c r="K222" s="5"/>
      <c r="L222" s="66"/>
      <c r="M222" s="66"/>
      <c r="N222" s="66"/>
    </row>
    <row r="223" spans="1:14" x14ac:dyDescent="0.2">
      <c r="A223" s="46"/>
      <c r="B223" s="5"/>
      <c r="C223" s="2"/>
      <c r="D223" s="46"/>
      <c r="E223" s="46"/>
      <c r="F223" s="2"/>
      <c r="G223" s="46"/>
      <c r="H223" s="46"/>
      <c r="I223" s="65"/>
      <c r="J223" s="5"/>
      <c r="K223" s="5"/>
      <c r="L223" s="66"/>
      <c r="M223" s="66"/>
      <c r="N223" s="66"/>
    </row>
    <row r="224" spans="1:14" x14ac:dyDescent="0.2">
      <c r="A224" s="46"/>
      <c r="B224" s="5"/>
      <c r="C224" s="2"/>
      <c r="D224" s="46"/>
      <c r="E224" s="46"/>
      <c r="F224" s="2"/>
      <c r="G224" s="46"/>
      <c r="H224" s="46"/>
      <c r="I224" s="65"/>
      <c r="J224" s="5"/>
      <c r="K224" s="5"/>
      <c r="L224" s="66"/>
      <c r="M224" s="66"/>
      <c r="N224" s="66"/>
    </row>
    <row r="225" spans="1:14" x14ac:dyDescent="0.2">
      <c r="A225" s="46"/>
      <c r="B225" s="5"/>
      <c r="C225" s="2"/>
      <c r="D225" s="46"/>
      <c r="E225" s="46"/>
      <c r="F225" s="2"/>
      <c r="G225" s="46"/>
      <c r="H225" s="46"/>
      <c r="I225" s="65"/>
      <c r="J225" s="5"/>
      <c r="K225" s="5"/>
      <c r="L225" s="66"/>
      <c r="M225" s="66"/>
      <c r="N225" s="66"/>
    </row>
    <row r="226" spans="1:14" x14ac:dyDescent="0.2">
      <c r="A226" s="46"/>
      <c r="B226" s="5"/>
      <c r="C226" s="2"/>
      <c r="D226" s="46"/>
      <c r="E226" s="46"/>
      <c r="F226" s="2"/>
      <c r="G226" s="46"/>
      <c r="H226" s="46"/>
      <c r="I226" s="65"/>
      <c r="J226" s="5"/>
      <c r="K226" s="5"/>
      <c r="L226" s="66"/>
      <c r="M226" s="66"/>
      <c r="N226" s="66"/>
    </row>
    <row r="227" spans="1:14" x14ac:dyDescent="0.2">
      <c r="A227" s="46"/>
      <c r="B227" s="5"/>
      <c r="C227" s="2"/>
      <c r="D227" s="46"/>
      <c r="E227" s="46"/>
      <c r="F227" s="2"/>
      <c r="G227" s="46"/>
      <c r="H227" s="46"/>
      <c r="I227" s="65"/>
      <c r="J227" s="5"/>
      <c r="K227" s="5"/>
      <c r="L227" s="66"/>
      <c r="M227" s="66"/>
      <c r="N227" s="66"/>
    </row>
    <row r="228" spans="1:14" x14ac:dyDescent="0.2">
      <c r="A228" s="46"/>
      <c r="B228" s="5"/>
      <c r="C228" s="2"/>
      <c r="D228" s="46"/>
      <c r="E228" s="46"/>
      <c r="F228" s="2"/>
      <c r="G228" s="46"/>
      <c r="H228" s="46"/>
      <c r="I228" s="65"/>
      <c r="J228" s="5"/>
      <c r="K228" s="5"/>
      <c r="L228" s="66"/>
      <c r="M228" s="66"/>
      <c r="N228" s="66"/>
    </row>
    <row r="229" spans="1:14" x14ac:dyDescent="0.2">
      <c r="A229" s="46"/>
      <c r="B229" s="5"/>
      <c r="C229" s="2"/>
      <c r="D229" s="46"/>
      <c r="E229" s="46"/>
      <c r="F229" s="2"/>
      <c r="G229" s="46"/>
      <c r="H229" s="46"/>
      <c r="I229" s="65"/>
      <c r="J229" s="5"/>
      <c r="K229" s="5"/>
      <c r="L229" s="66"/>
      <c r="M229" s="66"/>
      <c r="N229" s="66"/>
    </row>
    <row r="230" spans="1:14" x14ac:dyDescent="0.2">
      <c r="A230" s="46"/>
      <c r="B230" s="5"/>
      <c r="C230" s="2"/>
      <c r="D230" s="46"/>
      <c r="E230" s="46"/>
      <c r="F230" s="2"/>
      <c r="G230" s="46"/>
      <c r="H230" s="46"/>
      <c r="I230" s="65"/>
      <c r="J230" s="5"/>
      <c r="K230" s="5"/>
      <c r="L230" s="66"/>
      <c r="M230" s="66"/>
      <c r="N230" s="66"/>
    </row>
    <row r="231" spans="1:14" x14ac:dyDescent="0.2">
      <c r="A231" s="46"/>
      <c r="B231" s="5"/>
      <c r="C231" s="2"/>
      <c r="D231" s="46"/>
      <c r="E231" s="46"/>
      <c r="F231" s="2"/>
      <c r="G231" s="46"/>
      <c r="H231" s="46"/>
      <c r="I231" s="65"/>
      <c r="J231" s="5"/>
      <c r="K231" s="5"/>
      <c r="L231" s="66"/>
      <c r="M231" s="66"/>
      <c r="N231" s="66"/>
    </row>
    <row r="232" spans="1:14" x14ac:dyDescent="0.2">
      <c r="A232" s="46"/>
      <c r="B232" s="5"/>
      <c r="C232" s="2"/>
      <c r="D232" s="46"/>
      <c r="E232" s="46"/>
      <c r="F232" s="2"/>
      <c r="G232" s="46"/>
      <c r="H232" s="46"/>
      <c r="I232" s="65"/>
      <c r="J232" s="5"/>
      <c r="K232" s="5"/>
      <c r="L232" s="66"/>
      <c r="M232" s="66"/>
      <c r="N232" s="66"/>
    </row>
    <row r="233" spans="1:14" x14ac:dyDescent="0.2">
      <c r="A233" s="46"/>
      <c r="B233" s="5"/>
      <c r="C233" s="2"/>
      <c r="D233" s="46"/>
      <c r="E233" s="46"/>
      <c r="F233" s="2"/>
      <c r="G233" s="46"/>
      <c r="H233" s="46"/>
      <c r="I233" s="65"/>
      <c r="J233" s="5"/>
      <c r="K233" s="5"/>
      <c r="L233" s="66"/>
      <c r="M233" s="66"/>
      <c r="N233" s="66"/>
    </row>
    <row r="234" spans="1:14" x14ac:dyDescent="0.2">
      <c r="A234" s="46"/>
      <c r="B234" s="5"/>
      <c r="C234" s="2"/>
      <c r="D234" s="46"/>
      <c r="E234" s="46"/>
      <c r="F234" s="2"/>
      <c r="G234" s="46"/>
      <c r="H234" s="46"/>
      <c r="I234" s="65"/>
      <c r="J234" s="5"/>
      <c r="K234" s="5"/>
      <c r="L234" s="66"/>
      <c r="M234" s="66"/>
      <c r="N234" s="66"/>
    </row>
    <row r="235" spans="1:14" x14ac:dyDescent="0.2">
      <c r="A235" s="46"/>
      <c r="B235" s="5"/>
      <c r="C235" s="2"/>
      <c r="D235" s="46"/>
      <c r="E235" s="46"/>
      <c r="F235" s="2"/>
      <c r="G235" s="46"/>
      <c r="H235" s="46"/>
      <c r="I235" s="65"/>
      <c r="J235" s="5"/>
      <c r="K235" s="5"/>
      <c r="L235" s="66"/>
      <c r="M235" s="66"/>
      <c r="N235" s="66"/>
    </row>
    <row r="236" spans="1:14" x14ac:dyDescent="0.2">
      <c r="A236" s="46"/>
      <c r="B236" s="5"/>
      <c r="C236" s="2"/>
      <c r="D236" s="46"/>
      <c r="E236" s="46"/>
      <c r="F236" s="2"/>
      <c r="G236" s="46"/>
      <c r="H236" s="46"/>
      <c r="I236" s="65"/>
      <c r="J236" s="5"/>
      <c r="K236" s="5"/>
      <c r="L236" s="66"/>
      <c r="M236" s="66"/>
      <c r="N236" s="66"/>
    </row>
    <row r="237" spans="1:14" x14ac:dyDescent="0.2">
      <c r="A237" s="46"/>
      <c r="B237" s="5"/>
      <c r="C237" s="2"/>
      <c r="D237" s="46"/>
      <c r="E237" s="46"/>
      <c r="F237" s="2"/>
      <c r="G237" s="46"/>
      <c r="H237" s="46"/>
      <c r="I237" s="65"/>
      <c r="J237" s="5"/>
      <c r="K237" s="5"/>
      <c r="L237" s="66"/>
      <c r="M237" s="66"/>
      <c r="N237" s="66"/>
    </row>
    <row r="238" spans="1:14" x14ac:dyDescent="0.2">
      <c r="A238" s="46"/>
      <c r="B238" s="5"/>
      <c r="C238" s="2"/>
      <c r="D238" s="46"/>
      <c r="E238" s="46"/>
      <c r="F238" s="2"/>
      <c r="G238" s="46"/>
      <c r="H238" s="46"/>
      <c r="I238" s="65"/>
      <c r="J238" s="5"/>
      <c r="K238" s="5"/>
      <c r="L238" s="66"/>
      <c r="M238" s="66"/>
      <c r="N238" s="66"/>
    </row>
    <row r="239" spans="1:14" x14ac:dyDescent="0.2">
      <c r="A239" s="46"/>
      <c r="B239" s="5"/>
      <c r="C239" s="2"/>
      <c r="D239" s="46"/>
      <c r="E239" s="46"/>
      <c r="F239" s="2"/>
      <c r="G239" s="46"/>
      <c r="H239" s="46"/>
      <c r="I239" s="65"/>
      <c r="J239" s="5"/>
      <c r="K239" s="5"/>
      <c r="L239" s="66"/>
      <c r="M239" s="66"/>
      <c r="N239" s="66"/>
    </row>
    <row r="240" spans="1:14" x14ac:dyDescent="0.2">
      <c r="A240" s="46"/>
      <c r="B240" s="5"/>
      <c r="C240" s="2"/>
      <c r="D240" s="46"/>
      <c r="E240" s="46"/>
      <c r="F240" s="2"/>
      <c r="G240" s="46"/>
      <c r="H240" s="46"/>
      <c r="I240" s="65"/>
      <c r="J240" s="5"/>
      <c r="K240" s="5"/>
      <c r="L240" s="66"/>
      <c r="M240" s="66"/>
      <c r="N240" s="66"/>
    </row>
    <row r="241" spans="1:14" x14ac:dyDescent="0.2">
      <c r="A241" s="46"/>
      <c r="B241" s="5"/>
      <c r="C241" s="2"/>
      <c r="D241" s="46"/>
      <c r="E241" s="46"/>
      <c r="F241" s="2"/>
      <c r="G241" s="46"/>
      <c r="H241" s="46"/>
      <c r="I241" s="65"/>
      <c r="J241" s="5"/>
      <c r="K241" s="5"/>
      <c r="L241" s="66"/>
      <c r="M241" s="66"/>
      <c r="N241" s="66"/>
    </row>
    <row r="242" spans="1:14" x14ac:dyDescent="0.2">
      <c r="A242" s="46"/>
      <c r="B242" s="5"/>
      <c r="C242" s="2"/>
      <c r="D242" s="46"/>
      <c r="E242" s="46"/>
      <c r="F242" s="2"/>
      <c r="G242" s="46"/>
      <c r="H242" s="46"/>
      <c r="I242" s="65"/>
      <c r="J242" s="5"/>
      <c r="K242" s="5"/>
      <c r="L242" s="66"/>
      <c r="M242" s="66"/>
      <c r="N242" s="66"/>
    </row>
    <row r="243" spans="1:14" x14ac:dyDescent="0.2">
      <c r="A243" s="46"/>
      <c r="B243" s="5"/>
      <c r="C243" s="2"/>
      <c r="D243" s="46"/>
      <c r="E243" s="46"/>
      <c r="F243" s="2"/>
      <c r="G243" s="46"/>
      <c r="H243" s="46"/>
      <c r="I243" s="65"/>
      <c r="J243" s="5"/>
      <c r="K243" s="5"/>
      <c r="L243" s="66"/>
      <c r="M243" s="66"/>
      <c r="N243" s="66"/>
    </row>
    <row r="244" spans="1:14" x14ac:dyDescent="0.2">
      <c r="A244" s="46"/>
      <c r="B244" s="5"/>
      <c r="C244" s="2"/>
      <c r="D244" s="46"/>
      <c r="E244" s="46"/>
      <c r="F244" s="2"/>
      <c r="G244" s="46"/>
      <c r="H244" s="46"/>
      <c r="I244" s="65"/>
      <c r="J244" s="5"/>
      <c r="K244" s="5"/>
      <c r="L244" s="66"/>
      <c r="M244" s="66"/>
      <c r="N244" s="66"/>
    </row>
    <row r="245" spans="1:14" x14ac:dyDescent="0.2">
      <c r="A245" s="46"/>
      <c r="B245" s="5"/>
      <c r="C245" s="2"/>
      <c r="D245" s="46"/>
      <c r="E245" s="46"/>
      <c r="F245" s="2"/>
      <c r="G245" s="46"/>
      <c r="H245" s="46"/>
      <c r="I245" s="65"/>
      <c r="J245" s="5"/>
      <c r="K245" s="5"/>
      <c r="L245" s="66"/>
      <c r="M245" s="66"/>
      <c r="N245" s="66"/>
    </row>
    <row r="246" spans="1:14" x14ac:dyDescent="0.2">
      <c r="A246" s="46"/>
      <c r="B246" s="5"/>
      <c r="C246" s="2"/>
      <c r="D246" s="46"/>
      <c r="E246" s="46"/>
      <c r="F246" s="2"/>
      <c r="G246" s="46"/>
      <c r="H246" s="46"/>
      <c r="I246" s="65"/>
      <c r="J246" s="5"/>
      <c r="K246" s="5"/>
      <c r="L246" s="66"/>
      <c r="M246" s="66"/>
      <c r="N246" s="66"/>
    </row>
    <row r="247" spans="1:14" x14ac:dyDescent="0.2">
      <c r="A247" s="46"/>
      <c r="B247" s="5"/>
      <c r="C247" s="2"/>
      <c r="D247" s="46"/>
      <c r="E247" s="46"/>
      <c r="F247" s="2"/>
      <c r="G247" s="46"/>
      <c r="H247" s="46"/>
      <c r="I247" s="65"/>
      <c r="J247" s="5"/>
      <c r="K247" s="5"/>
      <c r="L247" s="66"/>
      <c r="M247" s="66"/>
      <c r="N247" s="66"/>
    </row>
    <row r="248" spans="1:14" x14ac:dyDescent="0.2">
      <c r="A248" s="46"/>
      <c r="B248" s="5"/>
      <c r="C248" s="2"/>
      <c r="D248" s="46"/>
      <c r="E248" s="46"/>
      <c r="F248" s="2"/>
      <c r="G248" s="46"/>
      <c r="H248" s="46"/>
      <c r="I248" s="65"/>
      <c r="J248" s="5"/>
      <c r="K248" s="5"/>
      <c r="L248" s="66"/>
      <c r="M248" s="66"/>
      <c r="N248" s="66"/>
    </row>
    <row r="249" spans="1:14" x14ac:dyDescent="0.2">
      <c r="A249" s="46"/>
      <c r="B249" s="5"/>
      <c r="C249" s="2"/>
      <c r="D249" s="46"/>
      <c r="E249" s="46"/>
      <c r="F249" s="2"/>
      <c r="G249" s="46"/>
      <c r="H249" s="46"/>
      <c r="I249" s="65"/>
      <c r="J249" s="5"/>
      <c r="K249" s="5"/>
      <c r="L249" s="66"/>
      <c r="M249" s="66"/>
      <c r="N249" s="66"/>
    </row>
    <row r="250" spans="1:14" x14ac:dyDescent="0.2">
      <c r="A250" s="46"/>
      <c r="B250" s="5"/>
      <c r="C250" s="2"/>
      <c r="D250" s="46"/>
      <c r="E250" s="46"/>
      <c r="F250" s="2"/>
      <c r="G250" s="46"/>
      <c r="H250" s="46"/>
      <c r="I250" s="65"/>
      <c r="J250" s="5"/>
      <c r="K250" s="5"/>
      <c r="L250" s="66"/>
      <c r="M250" s="66"/>
      <c r="N250" s="66"/>
    </row>
    <row r="251" spans="1:14" x14ac:dyDescent="0.2">
      <c r="A251" s="46"/>
      <c r="B251" s="5"/>
      <c r="C251" s="2"/>
      <c r="D251" s="46"/>
      <c r="E251" s="46"/>
      <c r="F251" s="2"/>
      <c r="G251" s="46"/>
      <c r="H251" s="46"/>
      <c r="I251" s="65"/>
      <c r="J251" s="5"/>
      <c r="K251" s="5"/>
      <c r="L251" s="66"/>
      <c r="M251" s="66"/>
      <c r="N251" s="66"/>
    </row>
    <row r="252" spans="1:14" x14ac:dyDescent="0.2">
      <c r="A252" s="46"/>
      <c r="B252" s="5"/>
      <c r="C252" s="2"/>
      <c r="D252" s="46"/>
      <c r="E252" s="46"/>
      <c r="F252" s="2"/>
      <c r="G252" s="46"/>
      <c r="H252" s="46"/>
      <c r="I252" s="65"/>
      <c r="J252" s="5"/>
      <c r="K252" s="5"/>
      <c r="L252" s="66"/>
      <c r="M252" s="66"/>
      <c r="N252" s="66"/>
    </row>
    <row r="253" spans="1:14" x14ac:dyDescent="0.2">
      <c r="A253" s="46"/>
      <c r="B253" s="5"/>
      <c r="C253" s="2"/>
      <c r="D253" s="46"/>
      <c r="E253" s="46"/>
      <c r="F253" s="2"/>
      <c r="G253" s="46"/>
      <c r="H253" s="46"/>
      <c r="I253" s="65"/>
      <c r="J253" s="5"/>
      <c r="K253" s="5"/>
      <c r="L253" s="66"/>
      <c r="M253" s="66"/>
      <c r="N253" s="66"/>
    </row>
    <row r="254" spans="1:14" x14ac:dyDescent="0.2">
      <c r="A254" s="46"/>
      <c r="B254" s="5"/>
      <c r="C254" s="2"/>
      <c r="D254" s="46"/>
      <c r="E254" s="46"/>
      <c r="F254" s="2"/>
      <c r="G254" s="46"/>
      <c r="H254" s="46"/>
      <c r="I254" s="65"/>
      <c r="J254" s="5"/>
      <c r="K254" s="5"/>
      <c r="L254" s="66"/>
      <c r="M254" s="66"/>
      <c r="N254" s="66"/>
    </row>
    <row r="255" spans="1:14" x14ac:dyDescent="0.2">
      <c r="A255" s="46"/>
      <c r="B255" s="5"/>
      <c r="C255" s="2"/>
      <c r="D255" s="46"/>
      <c r="E255" s="46"/>
      <c r="F255" s="2"/>
      <c r="G255" s="46"/>
      <c r="H255" s="46"/>
      <c r="I255" s="65"/>
      <c r="J255" s="5"/>
      <c r="K255" s="5"/>
      <c r="L255" s="66"/>
      <c r="M255" s="66"/>
      <c r="N255" s="66"/>
    </row>
    <row r="256" spans="1:14" x14ac:dyDescent="0.2">
      <c r="A256" s="46"/>
      <c r="B256" s="5"/>
      <c r="C256" s="2"/>
      <c r="D256" s="46"/>
      <c r="E256" s="46"/>
      <c r="F256" s="2"/>
      <c r="G256" s="46"/>
      <c r="H256" s="46"/>
      <c r="I256" s="65"/>
      <c r="J256" s="5"/>
      <c r="K256" s="5"/>
      <c r="L256" s="66"/>
      <c r="M256" s="66"/>
      <c r="N256" s="66"/>
    </row>
    <row r="257" spans="1:14" x14ac:dyDescent="0.2">
      <c r="A257" s="46"/>
      <c r="B257" s="5"/>
      <c r="C257" s="2"/>
      <c r="D257" s="46"/>
      <c r="E257" s="46"/>
      <c r="F257" s="2"/>
      <c r="G257" s="46"/>
      <c r="H257" s="46"/>
      <c r="I257" s="65"/>
      <c r="J257" s="5"/>
      <c r="K257" s="5"/>
      <c r="L257" s="66"/>
      <c r="M257" s="66"/>
      <c r="N257" s="66"/>
    </row>
    <row r="258" spans="1:14" x14ac:dyDescent="0.2">
      <c r="A258" s="46"/>
      <c r="B258" s="5"/>
      <c r="C258" s="2"/>
      <c r="D258" s="46"/>
      <c r="E258" s="46"/>
      <c r="F258" s="2"/>
      <c r="G258" s="46"/>
      <c r="H258" s="46"/>
      <c r="I258" s="65"/>
      <c r="J258" s="5"/>
      <c r="K258" s="5"/>
      <c r="L258" s="66"/>
      <c r="M258" s="66"/>
      <c r="N258" s="66"/>
    </row>
    <row r="259" spans="1:14" x14ac:dyDescent="0.2">
      <c r="A259" s="46"/>
      <c r="B259" s="5"/>
      <c r="C259" s="2"/>
      <c r="D259" s="46"/>
      <c r="E259" s="46"/>
      <c r="F259" s="2"/>
      <c r="G259" s="46"/>
      <c r="H259" s="46"/>
      <c r="I259" s="65"/>
      <c r="J259" s="5"/>
      <c r="K259" s="5"/>
      <c r="L259" s="66"/>
      <c r="M259" s="66"/>
      <c r="N259" s="66"/>
    </row>
    <row r="260" spans="1:14" x14ac:dyDescent="0.2">
      <c r="A260" s="46"/>
      <c r="B260" s="5"/>
      <c r="C260" s="2"/>
      <c r="D260" s="46"/>
      <c r="E260" s="46"/>
      <c r="F260" s="2"/>
      <c r="G260" s="46"/>
      <c r="H260" s="46"/>
      <c r="I260" s="65"/>
      <c r="J260" s="5"/>
      <c r="K260" s="5"/>
      <c r="L260" s="66"/>
      <c r="M260" s="66"/>
      <c r="N260" s="66"/>
    </row>
    <row r="261" spans="1:14" x14ac:dyDescent="0.2">
      <c r="A261" s="46"/>
      <c r="B261" s="5"/>
      <c r="C261" s="2"/>
      <c r="D261" s="46"/>
      <c r="E261" s="46"/>
      <c r="F261" s="2"/>
      <c r="G261" s="46"/>
      <c r="H261" s="46"/>
      <c r="I261" s="65"/>
      <c r="J261" s="5"/>
      <c r="K261" s="5"/>
      <c r="L261" s="66"/>
      <c r="M261" s="66"/>
      <c r="N261" s="66"/>
    </row>
    <row r="262" spans="1:14" x14ac:dyDescent="0.2">
      <c r="A262" s="46"/>
      <c r="B262" s="5"/>
      <c r="C262" s="2"/>
      <c r="D262" s="46"/>
      <c r="E262" s="46"/>
      <c r="F262" s="2"/>
      <c r="G262" s="46"/>
      <c r="H262" s="46"/>
      <c r="I262" s="65"/>
      <c r="J262" s="5"/>
      <c r="K262" s="5"/>
      <c r="L262" s="66"/>
      <c r="M262" s="66"/>
      <c r="N262" s="66"/>
    </row>
    <row r="263" spans="1:14" x14ac:dyDescent="0.2">
      <c r="A263" s="46"/>
      <c r="B263" s="5"/>
      <c r="C263" s="2"/>
      <c r="D263" s="46"/>
      <c r="E263" s="46"/>
      <c r="F263" s="2"/>
      <c r="G263" s="46"/>
      <c r="H263" s="46"/>
      <c r="I263" s="65"/>
      <c r="J263" s="5"/>
      <c r="K263" s="5"/>
      <c r="L263" s="66"/>
      <c r="M263" s="66"/>
      <c r="N263" s="66"/>
    </row>
    <row r="264" spans="1:14" x14ac:dyDescent="0.2">
      <c r="A264" s="46"/>
      <c r="B264" s="5"/>
      <c r="C264" s="2"/>
      <c r="D264" s="46"/>
      <c r="E264" s="46"/>
      <c r="F264" s="2"/>
      <c r="G264" s="46"/>
      <c r="H264" s="46"/>
      <c r="I264" s="65"/>
      <c r="J264" s="5"/>
      <c r="K264" s="5"/>
      <c r="L264" s="66"/>
      <c r="M264" s="66"/>
      <c r="N264" s="66"/>
    </row>
    <row r="265" spans="1:14" x14ac:dyDescent="0.2">
      <c r="A265" s="46"/>
      <c r="B265" s="5"/>
      <c r="C265" s="2"/>
      <c r="D265" s="46"/>
      <c r="E265" s="46"/>
      <c r="F265" s="2"/>
      <c r="G265" s="46"/>
      <c r="H265" s="46"/>
      <c r="I265" s="65"/>
      <c r="J265" s="5"/>
      <c r="K265" s="5"/>
      <c r="L265" s="66"/>
      <c r="M265" s="66"/>
      <c r="N265" s="66"/>
    </row>
    <row r="266" spans="1:14" x14ac:dyDescent="0.2">
      <c r="A266" s="46"/>
      <c r="B266" s="5"/>
      <c r="C266" s="2"/>
      <c r="D266" s="46"/>
      <c r="E266" s="46"/>
      <c r="F266" s="2"/>
      <c r="G266" s="46"/>
      <c r="H266" s="46"/>
      <c r="I266" s="65"/>
      <c r="J266" s="5"/>
      <c r="K266" s="5"/>
      <c r="L266" s="66"/>
      <c r="M266" s="66"/>
      <c r="N266" s="66"/>
    </row>
    <row r="267" spans="1:14" x14ac:dyDescent="0.2">
      <c r="A267" s="46"/>
      <c r="B267" s="5"/>
      <c r="C267" s="2"/>
      <c r="D267" s="46"/>
      <c r="E267" s="46"/>
      <c r="F267" s="2"/>
      <c r="G267" s="46"/>
      <c r="H267" s="46"/>
      <c r="I267" s="65"/>
      <c r="J267" s="5"/>
      <c r="K267" s="5"/>
      <c r="L267" s="66"/>
      <c r="M267" s="66"/>
      <c r="N267" s="66"/>
    </row>
    <row r="268" spans="1:14" x14ac:dyDescent="0.2">
      <c r="A268" s="46"/>
      <c r="B268" s="5"/>
      <c r="C268" s="2"/>
      <c r="D268" s="46"/>
      <c r="E268" s="46"/>
      <c r="F268" s="2"/>
      <c r="G268" s="46"/>
      <c r="H268" s="46"/>
      <c r="I268" s="65"/>
      <c r="J268" s="5"/>
      <c r="K268" s="5"/>
      <c r="L268" s="66"/>
      <c r="M268" s="66"/>
      <c r="N268" s="66"/>
    </row>
    <row r="269" spans="1:14" x14ac:dyDescent="0.2">
      <c r="A269" s="46"/>
      <c r="B269" s="5"/>
      <c r="C269" s="2"/>
      <c r="D269" s="46"/>
      <c r="E269" s="46"/>
      <c r="F269" s="2"/>
      <c r="G269" s="46"/>
      <c r="H269" s="46"/>
      <c r="I269" s="65"/>
      <c r="J269" s="5"/>
      <c r="K269" s="5"/>
      <c r="L269" s="66"/>
      <c r="M269" s="66"/>
      <c r="N269" s="66"/>
    </row>
    <row r="270" spans="1:14" x14ac:dyDescent="0.2">
      <c r="A270" s="46"/>
      <c r="B270" s="5"/>
      <c r="C270" s="2"/>
      <c r="D270" s="46"/>
      <c r="E270" s="46"/>
      <c r="F270" s="2"/>
      <c r="G270" s="46"/>
      <c r="H270" s="46"/>
      <c r="I270" s="65"/>
      <c r="J270" s="5"/>
      <c r="K270" s="5"/>
      <c r="L270" s="66"/>
      <c r="M270" s="66"/>
      <c r="N270" s="66"/>
    </row>
    <row r="271" spans="1:14" x14ac:dyDescent="0.2">
      <c r="A271" s="46"/>
      <c r="B271" s="5"/>
      <c r="C271" s="2"/>
      <c r="D271" s="46"/>
      <c r="E271" s="46"/>
      <c r="F271" s="2"/>
      <c r="G271" s="46"/>
      <c r="H271" s="46"/>
      <c r="I271" s="65"/>
      <c r="J271" s="5"/>
      <c r="K271" s="5"/>
      <c r="L271" s="66"/>
      <c r="M271" s="66"/>
      <c r="N271" s="66"/>
    </row>
    <row r="272" spans="1:14" x14ac:dyDescent="0.2">
      <c r="A272" s="46"/>
      <c r="B272" s="5"/>
      <c r="C272" s="2"/>
      <c r="D272" s="46"/>
      <c r="E272" s="46"/>
      <c r="F272" s="2"/>
      <c r="G272" s="46"/>
      <c r="H272" s="46"/>
      <c r="I272" s="65"/>
      <c r="J272" s="5"/>
      <c r="K272" s="5"/>
      <c r="L272" s="66"/>
      <c r="M272" s="66"/>
      <c r="N272" s="66"/>
    </row>
    <row r="273" spans="1:14" x14ac:dyDescent="0.2">
      <c r="A273" s="46"/>
      <c r="B273" s="5"/>
      <c r="C273" s="2"/>
      <c r="D273" s="46"/>
      <c r="E273" s="46"/>
      <c r="F273" s="2"/>
      <c r="G273" s="46"/>
      <c r="H273" s="46"/>
      <c r="I273" s="65"/>
      <c r="J273" s="5"/>
      <c r="K273" s="5"/>
      <c r="L273" s="66"/>
      <c r="M273" s="66"/>
      <c r="N273" s="66"/>
    </row>
    <row r="274" spans="1:14" x14ac:dyDescent="0.2">
      <c r="A274" s="46"/>
      <c r="B274" s="5"/>
      <c r="C274" s="2"/>
      <c r="D274" s="46"/>
      <c r="E274" s="46"/>
      <c r="F274" s="2"/>
      <c r="G274" s="46"/>
      <c r="H274" s="46"/>
      <c r="I274" s="65"/>
      <c r="J274" s="5"/>
      <c r="K274" s="5"/>
      <c r="L274" s="66"/>
      <c r="M274" s="66"/>
      <c r="N274" s="66"/>
    </row>
    <row r="275" spans="1:14" x14ac:dyDescent="0.2">
      <c r="A275" s="46"/>
      <c r="B275" s="5"/>
      <c r="C275" s="2"/>
      <c r="D275" s="46"/>
      <c r="E275" s="46"/>
      <c r="F275" s="2"/>
      <c r="G275" s="46"/>
      <c r="H275" s="46"/>
      <c r="I275" s="65"/>
      <c r="J275" s="5"/>
      <c r="K275" s="5"/>
      <c r="L275" s="66"/>
      <c r="M275" s="66"/>
      <c r="N275" s="66"/>
    </row>
    <row r="276" spans="1:14" x14ac:dyDescent="0.2">
      <c r="A276" s="46"/>
      <c r="B276" s="5"/>
      <c r="C276" s="2"/>
      <c r="D276" s="46"/>
      <c r="E276" s="46"/>
      <c r="F276" s="2"/>
      <c r="G276" s="46"/>
      <c r="H276" s="46"/>
      <c r="I276" s="65"/>
      <c r="J276" s="5"/>
      <c r="K276" s="5"/>
      <c r="L276" s="66"/>
      <c r="M276" s="66"/>
      <c r="N276" s="66"/>
    </row>
    <row r="277" spans="1:14" x14ac:dyDescent="0.2">
      <c r="A277" s="46"/>
      <c r="B277" s="5"/>
      <c r="C277" s="2"/>
      <c r="D277" s="46"/>
      <c r="E277" s="46"/>
      <c r="F277" s="2"/>
      <c r="G277" s="46"/>
      <c r="H277" s="46"/>
      <c r="I277" s="65"/>
      <c r="J277" s="5"/>
      <c r="K277" s="5"/>
      <c r="L277" s="66"/>
      <c r="M277" s="66"/>
      <c r="N277" s="66"/>
    </row>
    <row r="279" spans="1:14" x14ac:dyDescent="0.2">
      <c r="L279" s="67" t="e">
        <f>L27+L63+#REF!+#REF!+#REF!+L102+L103+L110+L121</f>
        <v>#REF!</v>
      </c>
      <c r="M279" s="67" t="e">
        <f>M27+M63+#REF!+#REF!+#REF!+M102+M103+M110+M121</f>
        <v>#REF!</v>
      </c>
      <c r="N279" s="67" t="e">
        <f>N27+N63+#REF!+#REF!+#REF!+N102+N103+N110+N121</f>
        <v>#REF!</v>
      </c>
    </row>
    <row r="281" spans="1:14" x14ac:dyDescent="0.2">
      <c r="L281" s="4">
        <v>750926.7</v>
      </c>
      <c r="M281" s="4">
        <v>805816.40000000014</v>
      </c>
      <c r="N281" s="4">
        <v>844938.89999999991</v>
      </c>
    </row>
    <row r="283" spans="1:14" x14ac:dyDescent="0.2">
      <c r="L283" s="67" t="e">
        <f>L281-L279</f>
        <v>#REF!</v>
      </c>
      <c r="M283" s="67" t="e">
        <f t="shared" ref="M283:N283" si="2">M281-M279</f>
        <v>#REF!</v>
      </c>
      <c r="N283" s="67" t="e">
        <f t="shared" si="2"/>
        <v>#REF!</v>
      </c>
    </row>
    <row r="285" spans="1:14" x14ac:dyDescent="0.2">
      <c r="L285" s="67" t="e">
        <f>L24+L35+L37+L106+#REF!+L109+L114+#REF!+L117+L131</f>
        <v>#REF!</v>
      </c>
      <c r="M285" s="67" t="e">
        <f>M24+M35+M37+M106+#REF!+M109+M114+#REF!+M117+M131</f>
        <v>#REF!</v>
      </c>
      <c r="N285" s="67" t="e">
        <f>N24+N35+N37+N106+#REF!+N109+N114+#REF!+N117+N131</f>
        <v>#REF!</v>
      </c>
    </row>
    <row r="286" spans="1:14" x14ac:dyDescent="0.2">
      <c r="L286" s="4">
        <v>333879.5</v>
      </c>
      <c r="M286" s="4">
        <v>337164</v>
      </c>
      <c r="N286" s="4">
        <v>346492.19999999995</v>
      </c>
    </row>
    <row r="288" spans="1:14" x14ac:dyDescent="0.2">
      <c r="L288" s="67" t="e">
        <f>L286-L285</f>
        <v>#REF!</v>
      </c>
      <c r="M288" s="67" t="e">
        <f t="shared" ref="M288:N288" si="3">M286-M285</f>
        <v>#REF!</v>
      </c>
      <c r="N288" s="67" t="e">
        <f t="shared" si="3"/>
        <v>#REF!</v>
      </c>
    </row>
    <row r="290" spans="1:14" x14ac:dyDescent="0.2">
      <c r="L290" s="67">
        <f>L77+L83+L119+L115</f>
        <v>334992.59999999998</v>
      </c>
      <c r="M290" s="67">
        <f>M77+M83+M119+M115</f>
        <v>79197.899999999994</v>
      </c>
      <c r="N290" s="67">
        <f>N77+N83+N119+N115</f>
        <v>79263.8</v>
      </c>
    </row>
    <row r="291" spans="1:14" x14ac:dyDescent="0.2">
      <c r="A291" s="5"/>
      <c r="B291" s="5"/>
      <c r="C291" s="5"/>
      <c r="D291" s="5"/>
      <c r="E291" s="5"/>
      <c r="F291" s="5"/>
      <c r="G291" s="5"/>
      <c r="H291" s="5"/>
      <c r="I291" s="5"/>
      <c r="J291" s="5"/>
      <c r="K291" s="5"/>
      <c r="L291" s="4">
        <v>176272.09999999998</v>
      </c>
      <c r="M291" s="4">
        <v>74914.799999999988</v>
      </c>
      <c r="N291" s="4">
        <v>177991</v>
      </c>
    </row>
    <row r="292" spans="1:14" x14ac:dyDescent="0.2">
      <c r="A292" s="5"/>
      <c r="B292" s="5"/>
      <c r="C292" s="5"/>
      <c r="D292" s="5"/>
      <c r="E292" s="5"/>
      <c r="F292" s="5"/>
      <c r="G292" s="5"/>
      <c r="H292" s="5"/>
      <c r="I292" s="5"/>
      <c r="J292" s="5"/>
      <c r="K292" s="5"/>
      <c r="L292" s="67">
        <f>L291-L290</f>
        <v>-158720.5</v>
      </c>
      <c r="M292" s="67">
        <f t="shared" ref="M292:N292" si="4">M291-M290</f>
        <v>-4283.1000000000058</v>
      </c>
      <c r="N292" s="67">
        <f t="shared" si="4"/>
        <v>98727.2</v>
      </c>
    </row>
  </sheetData>
  <mergeCells count="144">
    <mergeCell ref="I17:I19"/>
    <mergeCell ref="A3:N3"/>
    <mergeCell ref="A5:A9"/>
    <mergeCell ref="B5:B9"/>
    <mergeCell ref="C5:I5"/>
    <mergeCell ref="J5:K6"/>
    <mergeCell ref="L5:N5"/>
    <mergeCell ref="C6:E6"/>
    <mergeCell ref="F6:H6"/>
    <mergeCell ref="L6:L7"/>
    <mergeCell ref="M6:N7"/>
    <mergeCell ref="I7:I9"/>
    <mergeCell ref="J7:J9"/>
    <mergeCell ref="K7:K9"/>
    <mergeCell ref="L8:L9"/>
    <mergeCell ref="M8:M9"/>
    <mergeCell ref="N8:N9"/>
    <mergeCell ref="C7:C9"/>
    <mergeCell ref="D7:D9"/>
    <mergeCell ref="E7:E9"/>
    <mergeCell ref="F7:F9"/>
    <mergeCell ref="G7:G9"/>
    <mergeCell ref="H7:H9"/>
    <mergeCell ref="A21:A24"/>
    <mergeCell ref="B21:B24"/>
    <mergeCell ref="A26:A27"/>
    <mergeCell ref="B26:B27"/>
    <mergeCell ref="A32:A33"/>
    <mergeCell ref="B32:B33"/>
    <mergeCell ref="G14:G16"/>
    <mergeCell ref="H14:H16"/>
    <mergeCell ref="I32:I33"/>
    <mergeCell ref="I14:I16"/>
    <mergeCell ref="A17:A19"/>
    <mergeCell ref="B17:B19"/>
    <mergeCell ref="C17:C19"/>
    <mergeCell ref="D17:D19"/>
    <mergeCell ref="E17:E19"/>
    <mergeCell ref="F17:F19"/>
    <mergeCell ref="G17:G19"/>
    <mergeCell ref="A14:A16"/>
    <mergeCell ref="B14:B16"/>
    <mergeCell ref="C14:C16"/>
    <mergeCell ref="D14:D16"/>
    <mergeCell ref="E14:E16"/>
    <mergeCell ref="F14:F16"/>
    <mergeCell ref="H17:H19"/>
    <mergeCell ref="A34:A35"/>
    <mergeCell ref="B34:B35"/>
    <mergeCell ref="A36:A37"/>
    <mergeCell ref="B36:B37"/>
    <mergeCell ref="C36:C37"/>
    <mergeCell ref="D36:D37"/>
    <mergeCell ref="E36:E37"/>
    <mergeCell ref="F36:F37"/>
    <mergeCell ref="G36:G37"/>
    <mergeCell ref="H36:H37"/>
    <mergeCell ref="I36:I37"/>
    <mergeCell ref="A41:A42"/>
    <mergeCell ref="B41:B42"/>
    <mergeCell ref="I41:I42"/>
    <mergeCell ref="A43:A44"/>
    <mergeCell ref="B43:B44"/>
    <mergeCell ref="F43:F44"/>
    <mergeCell ref="G43:G44"/>
    <mergeCell ref="H43:H44"/>
    <mergeCell ref="I48:I50"/>
    <mergeCell ref="A52:A54"/>
    <mergeCell ref="B52:B54"/>
    <mergeCell ref="A45:A46"/>
    <mergeCell ref="B45:B46"/>
    <mergeCell ref="A47:A50"/>
    <mergeCell ref="B47:B50"/>
    <mergeCell ref="F47:F50"/>
    <mergeCell ref="G47:G50"/>
    <mergeCell ref="A55:A56"/>
    <mergeCell ref="B55:B56"/>
    <mergeCell ref="A57:A58"/>
    <mergeCell ref="B57:B58"/>
    <mergeCell ref="C57:C58"/>
    <mergeCell ref="D57:D58"/>
    <mergeCell ref="H47:H50"/>
    <mergeCell ref="C48:C50"/>
    <mergeCell ref="D48:D50"/>
    <mergeCell ref="E48:E50"/>
    <mergeCell ref="A63:A64"/>
    <mergeCell ref="B63:B64"/>
    <mergeCell ref="C63:C64"/>
    <mergeCell ref="I63:I64"/>
    <mergeCell ref="A68:A77"/>
    <mergeCell ref="B68:B77"/>
    <mergeCell ref="F68:F69"/>
    <mergeCell ref="E57:E58"/>
    <mergeCell ref="F57:F58"/>
    <mergeCell ref="I57:I58"/>
    <mergeCell ref="A60:A61"/>
    <mergeCell ref="B60:B61"/>
    <mergeCell ref="F60:F61"/>
    <mergeCell ref="G60:G61"/>
    <mergeCell ref="H60:H61"/>
    <mergeCell ref="A131:A132"/>
    <mergeCell ref="B131:B132"/>
    <mergeCell ref="B91:B95"/>
    <mergeCell ref="A92:A94"/>
    <mergeCell ref="F110:F113"/>
    <mergeCell ref="G110:G113"/>
    <mergeCell ref="H110:H113"/>
    <mergeCell ref="I110:I113"/>
    <mergeCell ref="A124:A125"/>
    <mergeCell ref="I124:I125"/>
    <mergeCell ref="A101:A102"/>
    <mergeCell ref="B101:B102"/>
    <mergeCell ref="A106:A108"/>
    <mergeCell ref="B106:B108"/>
    <mergeCell ref="F106:F108"/>
    <mergeCell ref="A110:A115"/>
    <mergeCell ref="B110:B115"/>
    <mergeCell ref="C110:C113"/>
    <mergeCell ref="D110:D113"/>
    <mergeCell ref="E110:E113"/>
    <mergeCell ref="A28:A29"/>
    <mergeCell ref="B28:B29"/>
    <mergeCell ref="I28:I29"/>
    <mergeCell ref="C28:C29"/>
    <mergeCell ref="F28:F29"/>
    <mergeCell ref="A119:A120"/>
    <mergeCell ref="B119:B120"/>
    <mergeCell ref="C119:C120"/>
    <mergeCell ref="C52:C53"/>
    <mergeCell ref="C101:C102"/>
    <mergeCell ref="F101:F102"/>
    <mergeCell ref="C90:C95"/>
    <mergeCell ref="D90:D95"/>
    <mergeCell ref="E90:E95"/>
    <mergeCell ref="G79:G80"/>
    <mergeCell ref="A81:A83"/>
    <mergeCell ref="B81:B83"/>
    <mergeCell ref="C81:C83"/>
    <mergeCell ref="A79:A80"/>
    <mergeCell ref="B79:B80"/>
    <mergeCell ref="C79:C80"/>
    <mergeCell ref="D79:D80"/>
    <mergeCell ref="E79:E80"/>
    <mergeCell ref="F79:F80"/>
  </mergeCells>
  <pageMargins left="0.39370078740157483" right="0.31496062992125984" top="0.55118110236220474" bottom="0.15748031496062992" header="0.19685039370078741" footer="0.15748031496062992"/>
  <pageSetup paperSize="9" scale="78" fitToHeight="19" orientation="landscape" r:id="rId1"/>
  <headerFooter alignWithMargins="0">
    <oddHeader>&amp;Я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к проекту</vt:lpstr>
      <vt:lpstr>'к проекту'!Заголовки_для_печати</vt:lpstr>
      <vt:lpstr>'к проекту'!Область_печати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Ира Халявина</dc:creator>
  <cp:lastModifiedBy>Ира Халявина</cp:lastModifiedBy>
  <cp:lastPrinted>2025-11-13T07:30:45Z</cp:lastPrinted>
  <dcterms:created xsi:type="dcterms:W3CDTF">2025-10-20T10:11:06Z</dcterms:created>
  <dcterms:modified xsi:type="dcterms:W3CDTF">2025-11-14T10:02:03Z</dcterms:modified>
</cp:coreProperties>
</file>