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8445" firstSheet="1" activeTab="4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<sst xmlns="http://schemas.openxmlformats.org/spreadsheetml/2006/main" count="9649" uniqueCount="1448">
  <si>
    <t>Единый налог на вмененный доход для отдельных видов деятельности (взыскания)</t>
  </si>
  <si>
    <t>10502000023000 110</t>
  </si>
  <si>
    <t>10503000000000 110</t>
  </si>
  <si>
    <t>10503000010000 110</t>
  </si>
  <si>
    <t>Единый сельскохозяйственный налог (сумма платежа)</t>
  </si>
  <si>
    <t xml:space="preserve"> 10503000011000 110</t>
  </si>
  <si>
    <t>Единый сельскохозяйственный налог (пени, проценты)</t>
  </si>
  <si>
    <t xml:space="preserve"> 10503000012000 110</t>
  </si>
  <si>
    <t>Единый сельскохозяйственный налог (взыскания)</t>
  </si>
  <si>
    <t xml:space="preserve"> 10503000013000 110</t>
  </si>
  <si>
    <t>НАЛОГИ НА ИМУЩЕСТВО</t>
  </si>
  <si>
    <t>10600000000000 000</t>
  </si>
  <si>
    <t>Налог на имущество физических лиц</t>
  </si>
  <si>
    <t xml:space="preserve"> 10601000000000 110</t>
  </si>
  <si>
    <t>10601020040000 110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</si>
  <si>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платежа)</t>
  </si>
  <si>
    <t xml:space="preserve"> 10601020041000 110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</si>
  <si>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(пени, проценты)</t>
  </si>
  <si>
    <t xml:space="preserve"> 10601020042000 110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</si>
  <si>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(взыскания)</t>
  </si>
  <si>
    <t xml:space="preserve"> 10601020043000 110</t>
  </si>
  <si>
    <t xml:space="preserve">Транспортный налог </t>
  </si>
  <si>
    <t>10604000000000 110</t>
  </si>
  <si>
    <t xml:space="preserve"> 10604011020000 110</t>
  </si>
  <si>
    <t>Транспортный налог с организаций (сумма платежа)</t>
  </si>
  <si>
    <t>10604011021000 110</t>
  </si>
  <si>
    <t>Транспортный налог с организаций (пени, проценты)</t>
  </si>
  <si>
    <t xml:space="preserve"> 10604011022000 110</t>
  </si>
  <si>
    <t>Транспортный налог с организаций (взыскания)</t>
  </si>
  <si>
    <t xml:space="preserve"> 10604011023000 110</t>
  </si>
  <si>
    <t>Транспортный налог с организаций (прочие поступления)</t>
  </si>
  <si>
    <t xml:space="preserve"> 10604011024000 110</t>
  </si>
  <si>
    <t xml:space="preserve"> 10604012020000 110</t>
  </si>
  <si>
    <t>Транспортный налог с физических лиц (сумма платежа)</t>
  </si>
  <si>
    <t>10604012021000 110</t>
  </si>
  <si>
    <t>Транспортный налог с физических лиц (пени, проценты)</t>
  </si>
  <si>
    <t xml:space="preserve"> 10604012022000 110</t>
  </si>
  <si>
    <t>Транспортный налог с физических лиц (взыскания)</t>
  </si>
  <si>
    <t>10604012023000 110</t>
  </si>
  <si>
    <t>Транспортный налог с физических лиц (прочие поступления)</t>
  </si>
  <si>
    <t xml:space="preserve"> 10604012024000 110</t>
  </si>
  <si>
    <t>10605000000000 110</t>
  </si>
  <si>
    <t xml:space="preserve"> 10605000020000 110</t>
  </si>
  <si>
    <t>Налог на игорный бизнес (сумма платежа)</t>
  </si>
  <si>
    <t xml:space="preserve"> 10605000021000 110</t>
  </si>
  <si>
    <t>Земельный налог</t>
  </si>
  <si>
    <t>10606000000000 110</t>
  </si>
  <si>
    <t>10606012040000 110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</si>
  <si>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</si>
  <si>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 xml:space="preserve"> 10606012041000 110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</si>
  <si>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</si>
  <si>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 xml:space="preserve"> 10606012042000 110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</si>
  <si>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</si>
  <si>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 xml:space="preserve"> 10606012043000 110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</si>
  <si>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(прочие поступления)</t>
  </si>
  <si>
    <t>10606012044000 110</t>
  </si>
  <si>
    <t xml:space="preserve"> 10606022040000 110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</si>
  <si>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(сумма платежа)</t>
  </si>
  <si>
    <t xml:space="preserve"> 10606022041000 110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</si>
  <si>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(пени, проценты)</t>
  </si>
  <si>
    <t xml:space="preserve"> 10606022042000 110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</si>
  <si>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 (взыскания)</t>
  </si>
  <si>
    <t xml:space="preserve"> 10606022043000 110</t>
  </si>
  <si>
    <t>НАЛОГИ, СБОРЫ И РЕГУЛЯРНЫЕ ПЛАТЕЖИ ЗА ПОЛЬЗОВАНИЕ ПРИРОДНЫМИ РЕСУРСАМИ</t>
  </si>
  <si>
    <t xml:space="preserve"> 10700000000000 000</t>
  </si>
  <si>
    <t>Налог на добычу полезных ископаемых</t>
  </si>
  <si>
    <t xml:space="preserve"> 10701000000000 110</t>
  </si>
  <si>
    <t>10701020010000 110</t>
  </si>
  <si>
    <t>Налог на добычу общераспространенных полезных ископаемых (сумма платежа)</t>
  </si>
  <si>
    <t xml:space="preserve"> 10701020011000 110</t>
  </si>
  <si>
    <t>Налог на добычу общераспространенных полезных ископаемых (пени, проценты)</t>
  </si>
  <si>
    <t>10701020012000 110</t>
  </si>
  <si>
    <t>Налог на добычу общераспространенных полезных ископаемых (взыскания)</t>
  </si>
  <si>
    <t xml:space="preserve"> 10701020013000 110</t>
  </si>
  <si>
    <t xml:space="preserve"> 10701030010000 110</t>
  </si>
  <si>
    <t>Налог на добычу прочих полезных ископаемых (за исключением полезных ископаемых в виде природных алмазов) (сумма платежа)</t>
  </si>
  <si>
    <t xml:space="preserve"> 10701030011000 110</t>
  </si>
  <si>
    <t>Налог на добычу прочих полезных ископаемых (за исключением полезных ископаемых в виде природных алмазов) (пени, проценты)</t>
  </si>
  <si>
    <t>10701030012000 110</t>
  </si>
  <si>
    <t>ГОСУДАРСТВЕННАЯ ПОШЛИНА</t>
  </si>
  <si>
    <t xml:space="preserve"> 10800000000000 000</t>
  </si>
  <si>
    <t>Государственная пошлина по делам, рассматриваемым в судах общей юрисдикции, мировыми судьями</t>
  </si>
  <si>
    <t xml:space="preserve"> 10803000000000 110</t>
  </si>
  <si>
    <t xml:space="preserve"> 10803010010000 110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</si>
  <si>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платежа)</t>
  </si>
  <si>
    <t>10803010011000 110</t>
  </si>
  <si>
    <t xml:space="preserve"> Государственная пошлина за государственную регистрацию, а также за совершение прочих юридически значимых действий</t>
  </si>
  <si>
    <t xml:space="preserve"> 10807000000000 110</t>
  </si>
  <si>
    <t xml:space="preserve"> 10807140010000 110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</si>
  <si>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 (сумма платежа)</t>
  </si>
  <si>
    <t xml:space="preserve"> 10807140011000 110</t>
  </si>
  <si>
    <t xml:space="preserve"> 10807150010000 110</t>
  </si>
  <si>
    <t>Государственная пошлина за выдачу разрешения на установку рекламной конструкции (сумма платежа)</t>
  </si>
  <si>
    <t xml:space="preserve"> 10807150011000 110</t>
  </si>
  <si>
    <t xml:space="preserve"> 10807173010000 110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</si>
  <si>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(сумма платежа)</t>
  </si>
  <si>
    <t xml:space="preserve"> 10807173011000 110</t>
  </si>
  <si>
    <t>ЗАДОЛЖЕННОСТЬ И ПЕРЕРАСЧЕТЫ ПО ОТМЕНЕННЫМ НАЛОГАМ, СБОРАМ И ИНЫМ ОБЯЗАТЕЛЬНЫМ ПЛАТЕЖАМ</t>
  </si>
  <si>
    <t xml:space="preserve"> 10900000000000 000</t>
  </si>
  <si>
    <t>Налог на прибыль организаций, зачислявшийся до 1 января 2005 года в местные бюджеты</t>
  </si>
  <si>
    <t xml:space="preserve"> 10901000000000 110</t>
  </si>
  <si>
    <t xml:space="preserve"> 10901020040000 110</t>
  </si>
  <si>
    <t>Налог на прибыль организаций, зачислявшийся до 1 января 2005 года в местные бюджеты, мобилизуемый на территориях городских округов (сумма платежа)</t>
  </si>
  <si>
    <t xml:space="preserve"> 10901020041000 110</t>
  </si>
  <si>
    <t>Налог на прибыль организаций, зачислявшийся до 1 января 2005 года в местные бюджеты, мобилизуемый на территориях городских округов (пени, проценты)</t>
  </si>
  <si>
    <t xml:space="preserve"> 10901020042000 110</t>
  </si>
  <si>
    <t>Налог на прибыль организаций, зачислявшийся до 1 января 2005 года в местные бюджеты, мобилизуемый на территориях городских округов (взыскания)</t>
  </si>
  <si>
    <t xml:space="preserve"> 10901020043000 110</t>
  </si>
  <si>
    <t>Платежи за пользование природными ресурсами</t>
  </si>
  <si>
    <t xml:space="preserve"> 10903000000000 110</t>
  </si>
  <si>
    <t xml:space="preserve"> 10903023010000 110</t>
  </si>
  <si>
    <t>Платежи за добычу подземных вод (пени, проценты)</t>
  </si>
  <si>
    <t xml:space="preserve"> 10903023012000 110</t>
  </si>
  <si>
    <t>Налоги на имущество</t>
  </si>
  <si>
    <t>10904000000000 110</t>
  </si>
  <si>
    <t xml:space="preserve"> 10904050040000 110</t>
  </si>
  <si>
    <t>Земельный налог (по обязательствам, возникшим до 1 января 2006 года), мобилизуемый на территориях городских округов (сумма платежа)</t>
  </si>
  <si>
    <t xml:space="preserve"> 10904050041000 110</t>
  </si>
  <si>
    <t>Земельный налог (по обязательствам, возникшим до 1 января 2006 года), мобилизуемый на территориях городских округов (пени, проценты)</t>
  </si>
  <si>
    <t>10904050042000 110</t>
  </si>
  <si>
    <t>Земельный налог (по обязательствам, возникшим до 1 января 2006 года), мобилизуемый на территориях городских округов (взыскания)</t>
  </si>
  <si>
    <t xml:space="preserve"> 10904050043000 110</t>
  </si>
  <si>
    <t xml:space="preserve">Прочие налоги и сборы (по отмененным налогам и сборам субъектов Российской Федерации)
</t>
  </si>
  <si>
    <t xml:space="preserve"> 10906000000000 110</t>
  </si>
  <si>
    <t xml:space="preserve"> 10906010020000 110</t>
  </si>
  <si>
    <t>Налог с продаж (сумма платежа)</t>
  </si>
  <si>
    <t xml:space="preserve"> 10906010021000 110</t>
  </si>
  <si>
    <t>Налог с продаж (пени, проценты)</t>
  </si>
  <si>
    <t xml:space="preserve"> 10906010022000 110</t>
  </si>
  <si>
    <t>Налог с продаж (взыскания)</t>
  </si>
  <si>
    <t xml:space="preserve"> 10906010023000 110</t>
  </si>
  <si>
    <t>10906020020000 110</t>
  </si>
  <si>
    <t>Сбор на нужды образовательных учреждений, взимаемый с юридических лиц (пени, проценты)</t>
  </si>
  <si>
    <t xml:space="preserve"> 10906020022000 110</t>
  </si>
  <si>
    <t>Прочие налоги и сборы (по отмененным местным налогам и сборам)</t>
  </si>
  <si>
    <t xml:space="preserve"> 10907000000000 110</t>
  </si>
  <si>
    <t xml:space="preserve"> 10907010040000 110</t>
  </si>
  <si>
    <t>Налог на рекламу, мобилизуемый на территориях городских округов (сумма платежа)</t>
  </si>
  <si>
    <t xml:space="preserve"> 10907010041000 110</t>
  </si>
  <si>
    <t>Налог на рекламу, мобилизуемый на территориях городских округов (пени, проценты)</t>
  </si>
  <si>
    <t xml:space="preserve"> 10907010042000 110</t>
  </si>
  <si>
    <t xml:space="preserve"> 10907030040000 110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</si>
  <si>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платежа)</t>
  </si>
  <si>
    <t xml:space="preserve"> 10907030041000 110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</si>
  <si>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(пени, проценты)</t>
  </si>
  <si>
    <t xml:space="preserve"> 10907030042000 110</t>
  </si>
  <si>
    <t xml:space="preserve"> 10907050040000 110</t>
  </si>
  <si>
    <t>Прочие местные налоги и сборы, мобилизуемые на территориях городских округов (пени, проценты)</t>
  </si>
  <si>
    <t xml:space="preserve"> 10907050042000 110</t>
  </si>
  <si>
    <t>ДОХОДЫ ОТ ИСПОЛЬЗОВАНИЯ ИМУЩЕСТВА, НАХОДЯЩЕГОСЯ В ГОСУДАРСТВЕННОЙ И МУНИЦИПАЛЬНОЙ СОБСТВЕННОСТИ</t>
  </si>
  <si>
    <t xml:space="preserve">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</si>
  <si>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</si>
  <si>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11105000000000 120</t>
  </si>
  <si>
    <t xml:space="preserve"> 11105010040000 120</t>
  </si>
  <si>
    <t xml:space="preserve"> 11105024040000 120</t>
  </si>
  <si>
    <t>Платежи от государственных и муниципальных унитарных предприятий</t>
  </si>
  <si>
    <t xml:space="preserve"> 11107000000000 120</t>
  </si>
  <si>
    <t xml:space="preserve"> 11107014040000 120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</si>
  <si>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</si>
  <si>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11109000000000 120</t>
  </si>
  <si>
    <t xml:space="preserve"> 11109044040000 120</t>
  </si>
  <si>
    <t>ПЛАТЕЖИ ПРИ ПОЛЬЗОВАНИИ ПРИРОДНЫМИ РЕСУРСАМИ</t>
  </si>
  <si>
    <t xml:space="preserve"> 11200000000000 000</t>
  </si>
  <si>
    <t xml:space="preserve"> 11201000000000 120</t>
  </si>
  <si>
    <t xml:space="preserve"> 11201000010000 120</t>
  </si>
  <si>
    <t>ДОХОДЫ ОТ ОКАЗАНИЯ ПЛАТНЫХ УСЛУГ И КОМПЕНСАЦИИ ЗАТРАТ ГОСУДАРСТВА</t>
  </si>
  <si>
    <t xml:space="preserve"> 11300000000000 000</t>
  </si>
  <si>
    <t>Прочие доходы от оказания платных услуг и компенсации затрат государства</t>
  </si>
  <si>
    <t xml:space="preserve"> 11303000000000 130</t>
  </si>
  <si>
    <t xml:space="preserve"> 11303040040000 130</t>
  </si>
  <si>
    <t>ДОХОДЫ ОТ ПРОДАЖИ МАТЕРИАЛЬНЫХ И НЕМАТЕРИАЛЬНЫХ АКТИВОВ</t>
  </si>
  <si>
    <t xml:space="preserve"> 11400000000000 000</t>
  </si>
  <si>
    <t>Доходы от продажи квартир</t>
  </si>
  <si>
    <t xml:space="preserve"> 11401000000000 410</t>
  </si>
  <si>
    <t xml:space="preserve"> 11401040040000 410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</si>
  <si>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</si>
  <si>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11402000000000 410</t>
  </si>
  <si>
    <t xml:space="preserve"> 11402033040000 410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</si>
  <si>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</si>
  <si>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11402000000000 440</t>
  </si>
  <si>
    <t xml:space="preserve"> 11402033040000 440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</si>
  <si>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</si>
  <si>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11406000000000 430</t>
  </si>
  <si>
    <t xml:space="preserve"> 11406012040000 430</t>
  </si>
  <si>
    <t xml:space="preserve"> 11406024040000 430</t>
  </si>
  <si>
    <t>ШТРАФЫ, САНКЦИИ, ВОЗМЕЩЕНИЕ УЩЕРБА</t>
  </si>
  <si>
    <t xml:space="preserve"> 11600000000000 000</t>
  </si>
  <si>
    <t>Денежные взыскания (штрафы) за нарушение законодательства о налогах и сборах</t>
  </si>
  <si>
    <t xml:space="preserve"> 11603000000000 140</t>
  </si>
  <si>
    <t xml:space="preserve"> 11603010010000 140</t>
  </si>
  <si>
    <t xml:space="preserve"> 11603030010000 140</t>
  </si>
  <si>
    <t xml:space="preserve"> 11606000000000 140</t>
  </si>
  <si>
    <t xml:space="preserve"> 11606000010000 140</t>
  </si>
  <si>
    <t xml:space="preserve"> 11608000000000 140</t>
  </si>
  <si>
    <t xml:space="preserve"> 11608000010000 140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</si>
  <si>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</si>
  <si>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11621000000000 140</t>
  </si>
  <si>
    <t xml:space="preserve"> 11621040040000 140</t>
  </si>
  <si>
    <t>Доходы от возмещения ущерба при возникновении страховых случаев</t>
  </si>
  <si>
    <t xml:space="preserve"> 11623000000000 140</t>
  </si>
  <si>
    <t xml:space="preserve"> 11623040040000 140</t>
  </si>
  <si>
    <t/>
  </si>
  <si>
    <t xml:space="preserve"> 11625000000000 140</t>
  </si>
  <si>
    <t xml:space="preserve"> 11625020010000 140</t>
  </si>
  <si>
    <t xml:space="preserve"> 11625030010000 140</t>
  </si>
  <si>
    <t xml:space="preserve"> 11625050010000 140</t>
  </si>
  <si>
    <t xml:space="preserve"> 11625060010000 140</t>
  </si>
  <si>
    <t xml:space="preserve"> 11628000000000 140</t>
  </si>
  <si>
    <t xml:space="preserve"> 11628000010000 140</t>
  </si>
  <si>
    <t xml:space="preserve"> 11630000000000 140</t>
  </si>
  <si>
    <t xml:space="preserve"> 11630000010000 140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</si>
  <si>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</si>
  <si>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11633000000000 140</t>
  </si>
  <si>
    <t xml:space="preserve"> 11633040040000 140</t>
  </si>
  <si>
    <t>Прочие поступления от денежных взысканий (штрафов) и иных сумм в возмещение ущерба</t>
  </si>
  <si>
    <t xml:space="preserve"> 11690000000000 140</t>
  </si>
  <si>
    <t xml:space="preserve"> 11690040040000 140</t>
  </si>
  <si>
    <t>ПРОЧИЕ НЕНАЛОГОВЫЕ ДОХОДЫ</t>
  </si>
  <si>
    <t xml:space="preserve"> 11700000000000 000</t>
  </si>
  <si>
    <t>Невыясненные поступления</t>
  </si>
  <si>
    <t xml:space="preserve"> 11701000000000 180</t>
  </si>
  <si>
    <t xml:space="preserve"> 11701040040000 180</t>
  </si>
  <si>
    <t>Прочие неналоговые доходы</t>
  </si>
  <si>
    <t xml:space="preserve"> 11705000000000 180</t>
  </si>
  <si>
    <t xml:space="preserve"> 11705040040000 180</t>
  </si>
  <si>
    <t>ВОЗВРАТ ОСТАТКОВ СУБСИДИЙ, СУБВЕНЦИЙ И ИНЫХ МЕЖБЮДЖЕТНЫХ ТРАНСФЕРТОВ, ИМЕЮЩИХ ЦЕЛЕВОЕ НАЗНАЧЕНИЕ, ПРОШЛЫХ ЛЕТ</t>
  </si>
  <si>
    <t xml:space="preserve"> 11900000000000 000</t>
  </si>
  <si>
    <t xml:space="preserve"> 11904000000000 151</t>
  </si>
  <si>
    <t xml:space="preserve"> 11904000040000 151</t>
  </si>
  <si>
    <t>БЕЗВОЗМЕЗДНЫЕ ПОСТУПЛЕНИЯ</t>
  </si>
  <si>
    <t xml:space="preserve"> 20000000000000 000</t>
  </si>
  <si>
    <t>БЕЗВОЗМЕЗДНЫЕ ПОСТУПЛЕНИЯ ОТ ДРУГИХ БЮДЖЕТОВ БЮДЖЕТНОЙ СИСТЕМЫ РОССИЙСКОЙ ФЕДЕРАЦИИ</t>
  </si>
  <si>
    <t xml:space="preserve"> 20200000000000 000</t>
  </si>
  <si>
    <t>Дотации бюджетам субъектов Российской Федерации и муниципальных образований</t>
  </si>
  <si>
    <t xml:space="preserve"> 20201000000000 151</t>
  </si>
  <si>
    <t xml:space="preserve"> 20201001040000 151</t>
  </si>
  <si>
    <t xml:space="preserve"> 20201003040000 151</t>
  </si>
  <si>
    <t>Субсидии бюджетам субъектов Российской Федерации и муниципальных образований (межбюджетные субсидии)</t>
  </si>
  <si>
    <t xml:space="preserve"> 20202000000000 151</t>
  </si>
  <si>
    <t xml:space="preserve"> 20202008040000 151</t>
  </si>
  <si>
    <t xml:space="preserve"> 20202077040000 151</t>
  </si>
  <si>
    <t xml:space="preserve"> 20202088040000 151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</si>
  <si>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</si>
  <si>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 xml:space="preserve"> 20202088040001 151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</si>
  <si>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</si>
  <si>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 20202088040002 151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</si>
  <si>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</si>
  <si>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20202088040004 151</t>
  </si>
  <si>
    <t xml:space="preserve"> 20202089040000 151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</si>
  <si>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</si>
  <si>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 xml:space="preserve"> 20202089040001 151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</si>
  <si>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</si>
  <si>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20202089040002 151</t>
  </si>
  <si>
    <t>Субсидии бюджетам городских округов на обеспечение мероприятий по  переселению граждан из аварийного жилищного фонда с учетом необходимости развития                               малоэтажного жилищного строительства за счет средств бюджетов</t>
  </si>
  <si>
    <t xml:space="preserve"> 20202089040004 151</t>
  </si>
  <si>
    <t xml:space="preserve"> 20202102040000 151</t>
  </si>
  <si>
    <t xml:space="preserve"> 20202999040000 151</t>
  </si>
  <si>
    <t>Субвенции бюджетам субъектов Российской Федерации и муниципальных образований</t>
  </si>
  <si>
    <t xml:space="preserve"> 20203000000000 151</t>
  </si>
  <si>
    <t xml:space="preserve"> 20203001040000 151</t>
  </si>
  <si>
    <t xml:space="preserve"> 20203002040000 151</t>
  </si>
  <si>
    <t xml:space="preserve"> 20203003040000 151</t>
  </si>
  <si>
    <t xml:space="preserve"> 20203004040000 151</t>
  </si>
  <si>
    <t xml:space="preserve"> 20203012040000 151</t>
  </si>
  <si>
    <t xml:space="preserve"> 20203013040000 151</t>
  </si>
  <si>
    <t xml:space="preserve"> 20203021040000 151</t>
  </si>
  <si>
    <t xml:space="preserve"> 20203022040000 151</t>
  </si>
  <si>
    <t xml:space="preserve"> 20203024040000 151</t>
  </si>
  <si>
    <t xml:space="preserve"> 20203026040000 151</t>
  </si>
  <si>
    <t xml:space="preserve"> 20203027040000 151</t>
  </si>
  <si>
    <t xml:space="preserve"> 20203029040000 151</t>
  </si>
  <si>
    <t xml:space="preserve"> 20203055040000 151</t>
  </si>
  <si>
    <t>Иные межбюджетные трансферты</t>
  </si>
  <si>
    <t xml:space="preserve"> 20204000000000 151</t>
  </si>
  <si>
    <t xml:space="preserve"> 20204005040000 151</t>
  </si>
  <si>
    <t xml:space="preserve"> 20204025040000 151</t>
  </si>
  <si>
    <t>20204999040000 151</t>
  </si>
  <si>
    <t>ПРОЧИЕ БЕЗВОЗМЕЗДНЫЕ ПОСТУПЛЕНИЯ</t>
  </si>
  <si>
    <t xml:space="preserve"> 20700000000000 000</t>
  </si>
  <si>
    <t xml:space="preserve">Прочие безвозмездные поступления </t>
  </si>
  <si>
    <t xml:space="preserve"> 20704000000000 180</t>
  </si>
  <si>
    <t xml:space="preserve"> 20704000040000 180</t>
  </si>
  <si>
    <t>Приложение 2</t>
  </si>
  <si>
    <t>ИСТОЧНИКИ
ФИНАНСИРОВАНИЯ ДЕФИЦИТА БЮДЖЕТА МИАССКОГО ГОРОДСКОГО ОКРУГА ЗА 2010 ГОД ПО КОДАМ КЛАССИФИКАЦИИ ИСТОЧНИКОВ ФИНАНСИРОВАНИЯ ДЕФИЦИТОВ БЮДЖЕТОВ</t>
  </si>
  <si>
    <t>Наименование показателя</t>
  </si>
  <si>
    <t>ИСТОЧНИКИ ВНУТРЕННЕГО ФИНАНСИРОВАНИЯ ДЕФИЦИТОВ БЮДЖЕТОВ</t>
  </si>
  <si>
    <t>01000000000000.000</t>
  </si>
  <si>
    <t>Кредиты кредитных организаций в валюте Российской Федерации</t>
  </si>
  <si>
    <t>01020000000000.000</t>
  </si>
  <si>
    <t>Получение кредитов от кредитных организаций в валюте Российской Федерации</t>
  </si>
  <si>
    <t>000.01020000000000.700</t>
  </si>
  <si>
    <t>Получение кредитов от кредитных организаций бюджетами городских округов в валюте Российской Федерации</t>
  </si>
  <si>
    <t>000.01020000040000.710</t>
  </si>
  <si>
    <t>284.01020000040000.710</t>
  </si>
  <si>
    <t>Погашение кредитов, предоставленных кредитными организациями в валюте Российской Федерации</t>
  </si>
  <si>
    <t>01020000000000.800</t>
  </si>
  <si>
    <t>Погашение бюджетами городских округов кредитов от кредитных организаций в валюте Российской Федерации</t>
  </si>
  <si>
    <t>01020000040000.810</t>
  </si>
  <si>
    <t>284.01020000040000.810</t>
  </si>
  <si>
    <t>Бюджетные кредиты от других бюджетов бюджетной системы Российской Федерации</t>
  </si>
  <si>
    <t>01030000000000.000</t>
  </si>
  <si>
    <t>Получение бюджетных кредитов от других бюджетов бюджетной системы Российской Федерации в валюте Российской Федерации</t>
  </si>
  <si>
    <t>01030000000000.700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</si>
  <si>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</si>
  <si>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01030000040000.710</t>
  </si>
  <si>
    <t>284.01030000040000.710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</si>
  <si>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</si>
  <si>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000.01030000000000.800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</si>
  <si>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</si>
  <si>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000.01030000040000.810</t>
  </si>
  <si>
    <t>284.01030000040000.810</t>
  </si>
  <si>
    <t>Изменение остатков средств на счетах по учету средств бюджета</t>
  </si>
  <si>
    <t>01050000000000.000</t>
  </si>
  <si>
    <t>Увеличение остатков средств бюджетов</t>
  </si>
  <si>
    <t>01050000000000.500</t>
  </si>
  <si>
    <t>Увеличение прочих остатков средств бюджетов</t>
  </si>
  <si>
    <t>01050200000000.500</t>
  </si>
  <si>
    <t>Увеличение прочих остатков денежных средств бюджетов</t>
  </si>
  <si>
    <t>01050201000000.510</t>
  </si>
  <si>
    <t>01050201040000.510</t>
  </si>
  <si>
    <t>Увеличение прочих остатков денежных средств бюджетов городских округов</t>
  </si>
  <si>
    <t>284.01050201040000.510</t>
  </si>
  <si>
    <t>Уменьшение остатков средств бюджетов</t>
  </si>
  <si>
    <t>01050000000000.600</t>
  </si>
  <si>
    <t>Уменьшение прочих остатков средств бюджетов</t>
  </si>
  <si>
    <t>01050200000000.600</t>
  </si>
  <si>
    <t>Уменьшение прочих остатков денежных средств бюджетов</t>
  </si>
  <si>
    <t>01050201000000.610</t>
  </si>
  <si>
    <t>Уменьшение прочих остатков денежных средств бюджетов городских округов</t>
  </si>
  <si>
    <t>01050201040000.610</t>
  </si>
  <si>
    <t>284.01050201040000.610</t>
  </si>
  <si>
    <t>Иные источники внутреннего финансирования дефицитов бюджетов</t>
  </si>
  <si>
    <t>000.01060000000000.000</t>
  </si>
  <si>
    <t>Исполнение государственных и муниципальных гарантий в валюте Российской Федерации</t>
  </si>
  <si>
    <t>000.01060400000000.000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</si>
  <si>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</si>
  <si>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000.01060400000000.800</t>
  </si>
  <si>
    <t>Исполнение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</si>
  <si>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000.01060400040000.810</t>
  </si>
  <si>
    <t>284.01060400040000.810</t>
  </si>
  <si>
    <t>Бюджетные кредиты, предоставленные внутри страны в валюте Российской Федерации</t>
  </si>
  <si>
    <t>000.01060500000000.000</t>
  </si>
  <si>
    <t>Возврат бюджетных кредитов, предоставленных внутри страны в валюте Российской Федерации</t>
  </si>
  <si>
    <t>000.01060500000000.600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</si>
  <si>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</si>
  <si>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000.01060501040000.640</t>
  </si>
  <si>
    <t>284.01060501040000.640</t>
  </si>
  <si>
    <t>Приложение 5</t>
  </si>
  <si>
    <t>ИСТОЧНИКИ
ФИНАНСИРОВАНИЯ ДЕФИЦИТА БЮДЖЕТА МИАССКОГО ГОРОДСКОГО ОКРУГА ЗА 2010 ГОД ПО КОДАМ ГРУПП, ПДГРУПП, ВИДОВ ИСТОЧНИКОВ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</si>
  <si>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Приложение 6</t>
  </si>
  <si>
    <t>Расходы за счет субвенции из областного бюджета на обеспечение мер социальной поддержки граждан, имеющих звание "Ветерано труда Челябинской области" (ежеквартальные денежные выплаты на оплату проезда)</t>
  </si>
  <si>
    <t>505 33 31</t>
  </si>
  <si>
    <t>Расходы за счет субвенции из областного бюджета на обеспечение мер социальной поддержки граждан, имеющих звание "Ветерано труда Челябинской области" (другие меры социальной поддержки граждан, имеющих звание "Ветеран труда Челябинской области"))</t>
  </si>
  <si>
    <t>505 33 32</t>
  </si>
  <si>
    <t>Расходы за счет субвенции на обеспечение мер социальной поддержки граждан, имеющих звание "Ветеран труда Челябинской области" (ежемесячная денежная выплата на оплату жилья и коммунальных услуг и единовременная денежная выплата на цели отопления)</t>
  </si>
  <si>
    <t>505 33 33</t>
  </si>
  <si>
    <t>Расходы за счет субвенций из областного бюджета на обеспечение дополнительных мер социальной поддержки многодетных семей</t>
  </si>
  <si>
    <t>505 33 41</t>
  </si>
  <si>
    <t>Расходы за счет субвенции из областного бюджета на обеспечение мер социальной поддержки граждан, работающих  в сельских населенных пунктах и рабочих поселках Челябинской области</t>
  </si>
  <si>
    <t>505 33 53</t>
  </si>
  <si>
    <t>505 33 54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</si>
  <si>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 ежемесячная денежная выплата на оплату жилья и коммунальных услуг единовременная денежная выплата на цели отопления)</t>
  </si>
  <si>
    <t>505 33 55</t>
  </si>
  <si>
    <t>Меры социальной поддержки граждан</t>
  </si>
  <si>
    <t>505 33 65</t>
  </si>
  <si>
    <t>Расходы за счет субвенции из областного бюджета на выплату единовременного пособия при рождении ребенка</t>
  </si>
  <si>
    <t>505 33 72</t>
  </si>
  <si>
    <t>Обеспечение жилыми помещениями дете-сирот,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</si>
  <si>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</si>
  <si>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Расходы за счет субвенции из областного бюджета на обеспечение детей-сирот, детей, оставшихся без попечения родителей, лиц из числа детей, находящихся под опекой (попечительством), жилой площадью</t>
  </si>
  <si>
    <t>505 36 94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</si>
  <si>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</si>
  <si>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</si>
  <si>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</si>
  <si>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</si>
  <si>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Расходы за счет субвенции из областного бюджета на предоставление гражданам субсидий на оплату жилого помещения и коммунальных услуг</t>
  </si>
  <si>
    <t>505 48 00</t>
  </si>
  <si>
    <t>Реализация мер социальной поддержки отдельных категорий граждан</t>
  </si>
  <si>
    <t>505 55 00</t>
  </si>
  <si>
    <t xml:space="preserve">Расходы за счет субвенции из областного бюджета на ежемесячное пособие на ребенка </t>
  </si>
  <si>
    <t>505 55 10</t>
  </si>
  <si>
    <t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</t>
  </si>
  <si>
    <t>505 55 20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</si>
  <si>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</t>
  </si>
  <si>
    <t>505 55 23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</si>
  <si>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</t>
  </si>
  <si>
    <t>505 55 24</t>
  </si>
  <si>
    <t xml:space="preserve"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 (ежеквартальные денежные выплаты на оплату </t>
  </si>
  <si>
    <t>Расходы за счет субвенции из областного бюджета на обеспечение мер  социальной поддержки ветеранов труда и труженников тыла (Закон Челябинской области "О мерах социальной поддержки ветеранов Челябинской области) (другие меры социальной поддержки ветеранов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</si>
  <si>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</si>
  <si>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</si>
  <si>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Расходы за счет субвенции на обеспечение мер социальной поддержки ветеранов труда и труженников тыла (Закон Челябинской области "О мерах социальной поддержки ветеранов Челябинской области" (ежемесячная денежная выплата на оплату жилья и коммунальных услуг и единовременная выплата на цели отопления)</t>
  </si>
  <si>
    <t>505 55 25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</si>
  <si>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ЧО</t>
  </si>
  <si>
    <t>505 55 33</t>
  </si>
  <si>
    <t>505 55 34</t>
  </si>
  <si>
    <t>505 99 72</t>
  </si>
  <si>
    <t>Расходы за счет субвенции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репрессий" в ЧО (ежемесячная денежная выплата на оплату жилья и коммунальных услуг и единовременная денежная выплата на цели отопления)</t>
  </si>
  <si>
    <t>505 55 35</t>
  </si>
  <si>
    <t>Оказание других видов социальной помощи</t>
  </si>
  <si>
    <t>505 86 00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</si>
  <si>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</si>
  <si>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</si>
  <si>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</si>
  <si>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514 01 00</t>
  </si>
  <si>
    <t>Областная целевая программа реализации национального проекта "Доступное и комфортное жилье  - гражданам России" в Челябинской области за счет субсидии из областного бюджета"</t>
  </si>
  <si>
    <t>Подпрограмма "Оказание молодым семьям господдержки для улучшения жил.условий"</t>
  </si>
  <si>
    <t>522 19 14</t>
  </si>
  <si>
    <t>Расходы за счет субвенции из областного бюджета на обеспечение мер социальной поддержки граждан, имеющих звание "Ветеран труда Челябинской области" (другие меры социальной поддержки граждан, имеющих звание "Ветеран труда Челябинской области"))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</si>
  <si>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(ежеквартальные денежные выплаты на оплату проезда)</t>
  </si>
  <si>
    <t>Расходы за счет субвенции из областного бюджета на обеспечение мер социальной поддержки ветеранов труда и тружеников тыла (Закон Челябинской области "О мерах социальной поддержки ветеранов Челябинской области" (другие меры социальной поддержки ветеранов труда и труженников тыла)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</si>
  <si>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</t>
  </si>
  <si>
    <t>Расходы за счет субвенции из областного бюджета на обеспечение мер социальной поддержки реабилитированных лиц и лиц, признанных пострадавшими от политических репрессий (Закон Челябинской области "О мерах социальной поддержки жертв политических репрессий в ЧО (другие меры социальной поддержки лиц и лиц, признанных пострадавшими от политических репрессий в ЧО)</t>
  </si>
  <si>
    <t>Комитет по управлению имуществом Миасского городского округа</t>
  </si>
  <si>
    <t>286</t>
  </si>
  <si>
    <t>Субсидии на проведение отдельных мероприятий по другим видам транспорта</t>
  </si>
  <si>
    <t>Содействие развитию жилищного строительства</t>
  </si>
  <si>
    <t>Субсидии в виде имущественного взноса в Федеральный фонд содействия развитию жилищного строительства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</si>
  <si>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</si>
  <si>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в виде имущественного взноса в Федеральный фонд содействия развитию жилищного строительства для уплаты земельного налога</t>
  </si>
  <si>
    <t>Подпрограмма "Предоставление работникам бюджетной сферы безвозмездных субсидий на приобретение или строительство жилья"</t>
  </si>
  <si>
    <t>Управление по физической культуре, спорту, туризму, молодежной политике и связям со средствами массовой информации Администрации МГО</t>
  </si>
  <si>
    <t>287</t>
  </si>
  <si>
    <t>Управление внутренних дел по Миасскому городскому округу</t>
  </si>
  <si>
    <t>188</t>
  </si>
  <si>
    <t>МУ МГО "Образование"</t>
  </si>
  <si>
    <t>288</t>
  </si>
  <si>
    <t>431 01 99</t>
  </si>
  <si>
    <t>Расходы на решение вопросов местного значения в сфере образования</t>
  </si>
  <si>
    <t>Областная целевая программа "Социальная поддержка инвалидов в Челябинской области" на 2007-2010 годы за счет субсидии из областного бюджета</t>
  </si>
  <si>
    <t>522 06 00</t>
  </si>
  <si>
    <t>Областная целевая Программа реализации национального проекта "Образование" в Челябинской области</t>
  </si>
  <si>
    <t>МУ  "Управление культуры" МГО</t>
  </si>
  <si>
    <t>289</t>
  </si>
  <si>
    <t xml:space="preserve">Муниципальная целевая программа "Безопасность учреждений культуры" на 2010-2012 годы </t>
  </si>
  <si>
    <t>МУ "Управление здравоохранения"</t>
  </si>
  <si>
    <t>290</t>
  </si>
  <si>
    <t xml:space="preserve">522 00 00 </t>
  </si>
  <si>
    <t>455</t>
  </si>
  <si>
    <t>Другие вопросы в области здравоохранения, физической культуры  и спорта</t>
  </si>
  <si>
    <t>Программа "Профилактика клещевого энцефалита в Миасском городском округе на 2010-2012 г.г."</t>
  </si>
  <si>
    <t>ДОХОДЫ 
БЮДЖЕТА МИАССКОГО ГОРОДСКОГО ОКРУГА ЗА 2010 ГОД ПО КОДАМ КЛАССИФИКАЦИИ ДОХОДОВ БЮДЖЕТОВ</t>
  </si>
  <si>
    <t>тыс.руб.</t>
  </si>
  <si>
    <t>Наименование доходов</t>
  </si>
  <si>
    <t>Код бюджетной классификации Российской Федерации</t>
  </si>
  <si>
    <t>ВСЕГО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</si>
  <si>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</si>
  <si>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</t>
  </si>
  <si>
    <t>1.01.02.01.0.01.0.000</t>
  </si>
  <si>
    <t>1.1.0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</si>
  <si>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</si>
  <si>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1.01.02.01.1.01.0.000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</si>
  <si>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</si>
  <si>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1.01.02.02.1.01.0.000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</si>
  <si>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</si>
  <si>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1.01.02.02.2.01.0.000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</si>
  <si>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</si>
  <si>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1.01.02.03.0.01.0.000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</si>
  <si>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</si>
  <si>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1.01.02.04.0.01.0.000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</si>
  <si>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</si>
  <si>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1.01.02.05.0.01.0.000</t>
  </si>
  <si>
    <t>Налог на доходы физических лиц с доходов, полученных физическими лицами,
являющимися иностранными гражданами, осуществляющими трудовую деятельность по найму у физических лиц на основании патента</t>
  </si>
  <si>
    <t>1.01.02.07.0.01.0.000</t>
  </si>
  <si>
    <t>Налог, взимаемый с налогоплательщиков, выбравших в качестве объекта налогообложения доходы</t>
  </si>
  <si>
    <t>1.05.01.01.0.01.0.000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</si>
  <si>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</si>
  <si>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1.05.01.02.0.01.0.000</t>
  </si>
  <si>
    <t>Единый налог на вмененный доход для отдельных видов деятельности</t>
  </si>
  <si>
    <t>1.05.02.00.0.02.0.000</t>
  </si>
  <si>
    <t>Единый сельскохозяйственный налог</t>
  </si>
  <si>
    <t>1.05.03.00.0.01.0.000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</si>
  <si>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</si>
  <si>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1.06.01.02.0.04.0.000</t>
  </si>
  <si>
    <t>Транспортный налог с организаций</t>
  </si>
  <si>
    <t>1.06.04.01.1.02.0.000</t>
  </si>
  <si>
    <t>Транспортный налог с физических лиц</t>
  </si>
  <si>
    <t>1.06.04.01.2.02.0.000</t>
  </si>
  <si>
    <t>Налог на игорный бизнес</t>
  </si>
  <si>
    <t>1.06.05.00.0.02.0.000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</si>
  <si>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</si>
  <si>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1.06.06.01.2.04.0.000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</si>
  <si>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</si>
  <si>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1.06.06.02.2.04.0.000</t>
  </si>
  <si>
    <t>Налог на добычу общераспространенных полезных ископаемых</t>
  </si>
  <si>
    <t>1.07.01.02.0.01.0.000</t>
  </si>
  <si>
    <t>Налог на добычу прочих полезных ископаемых (за исключением полезных ископаемых в виде природных алмазов)</t>
  </si>
  <si>
    <t>1.07.01.03.0.01.0.000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</si>
  <si>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</si>
  <si>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1.08.03.01.0.01.0.000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</si>
  <si>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</si>
  <si>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1.08.07.17.3.01.0.000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</si>
  <si>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</si>
  <si>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008</t>
  </si>
  <si>
    <t>1.08.07.14.0.01.0.000</t>
  </si>
  <si>
    <t>Государственная пошлина за выдачу разрешения на установку рекламной конструкции</t>
  </si>
  <si>
    <t>1.08.07.15.0.01.0.000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</si>
  <si>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</si>
  <si>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1.09.01.02.0.04.0.000</t>
  </si>
  <si>
    <t>Платежи за добычу подземных вод</t>
  </si>
  <si>
    <t>1.09.03.02.3.01.0.000</t>
  </si>
  <si>
    <t>Земельный налог (по обязательствам, возникшим до 1 января 2006 года), мобилизуемый на территориях городских округов</t>
  </si>
  <si>
    <t>1.09.04.05.0.04.0.000</t>
  </si>
  <si>
    <t>Налог с продаж</t>
  </si>
  <si>
    <t>1.09.06.01.0.02.0.000</t>
  </si>
  <si>
    <t>Сбор на нужды образовательных учреждений, взимаемый с юридических лиц</t>
  </si>
  <si>
    <t>1.09.06.02.0.02.0.000</t>
  </si>
  <si>
    <t>Налог на рекламу, мобилизуемый на территориях городских округов</t>
  </si>
  <si>
    <t>1.09.07.01.0.04.0.000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</si>
  <si>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</si>
  <si>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1.09.07.03.0.04.0.000</t>
  </si>
  <si>
    <t>Прочие местные налоги и сборы, мобилизуемые на территориях городских округов</t>
  </si>
  <si>
    <t>1.09.07.05.0.04.0.000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</si>
  <si>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</si>
  <si>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1.11.05.01.0.04.0.000</t>
  </si>
  <si>
    <t>1.2.0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</si>
  <si>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</si>
  <si>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1.11.05.02.4.04.0.000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</si>
  <si>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</si>
  <si>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1.11.07.01.4.04.0.000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</si>
  <si>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</si>
  <si>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1.11.09.04.4.04.0.000</t>
  </si>
  <si>
    <t>Плата за негативное воздействие на окружающую среду</t>
  </si>
  <si>
    <t>048</t>
  </si>
  <si>
    <t>1.12.01.00.0.01.0.000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</si>
  <si>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</si>
  <si>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1.13.03.04.0.04.0.000</t>
  </si>
  <si>
    <t>1.3.0</t>
  </si>
  <si>
    <t>Доходы от продажи квартир, находящихся в собственности городских округов</t>
  </si>
  <si>
    <t>1.14.01.04.0.04.0.000</t>
  </si>
  <si>
    <t>4.1.0</t>
  </si>
  <si>
    <t>Доходы от реализации иного имущества, находящегося в собственности городских округов, в части реализации основных средств по указанному имуществу</t>
  </si>
  <si>
    <t>1.14.02.03.3.04.0.000</t>
  </si>
  <si>
    <t>4.4.0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</si>
  <si>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</si>
  <si>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1.14.06.01.2.04.0.000</t>
  </si>
  <si>
    <t>4.3.0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</si>
  <si>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учреждений)</t>
  </si>
  <si>
    <t>1.14.06.02.4.04.0.000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</si>
  <si>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</si>
  <si>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1.16.03.01.0.01.0.000</t>
  </si>
  <si>
    <t>1.4.0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</si>
  <si>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</si>
  <si>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1.16.03.03.0.01.0.000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</si>
  <si>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</si>
  <si>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1.16.06.00.0.01.0.000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</si>
  <si>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</si>
  <si>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1.16.08.00.0.01.0.000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</si>
  <si>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</si>
  <si>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322</t>
  </si>
  <si>
    <t>1.16.21.04.0.04.0.000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</si>
  <si>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городских округов</t>
  </si>
  <si>
    <t>1.16.23.04.0.04.0.000</t>
  </si>
  <si>
    <t>Денежные взыскания (штрафы) за нарушение законодательства об особо охраняемых природных территориях</t>
  </si>
  <si>
    <t>009</t>
  </si>
  <si>
    <t>1.16.25.02.0.01.0.000</t>
  </si>
  <si>
    <t>Денежные взыскания (штрафы) за нарушение законодательства об охране и использовании животного мира</t>
  </si>
  <si>
    <t>076</t>
  </si>
  <si>
    <t>1.16.25.03.0.01.0.000</t>
  </si>
  <si>
    <t>Денежные взыскания (штрафы) за нарушение законодательства в области охраны окружающей среды</t>
  </si>
  <si>
    <t>1.16.25.05.0.01.0.000</t>
  </si>
  <si>
    <t>Денежные взыскания (штрафы) за нарушение земельного законодательства</t>
  </si>
  <si>
    <t>321</t>
  </si>
  <si>
    <t>1.16.25.06.0.01.0.000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</si>
  <si>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</si>
  <si>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</t>
  </si>
  <si>
    <t>1.16.28.00.0.01.0.000</t>
  </si>
  <si>
    <t>388</t>
  </si>
  <si>
    <t>Денежные взыскания (штрафы) за административные правонарушения в области дорожного движения</t>
  </si>
  <si>
    <t>1.16.30.00.0.01.0.000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</si>
  <si>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</si>
  <si>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161</t>
  </si>
  <si>
    <t>1.16.33.04.0.04.0.000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</si>
  <si>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</si>
  <si>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011</t>
  </si>
  <si>
    <t>1.16.90.04.0.04.0.000</t>
  </si>
  <si>
    <t>016</t>
  </si>
  <si>
    <t>060</t>
  </si>
  <si>
    <t>106</t>
  </si>
  <si>
    <t>177</t>
  </si>
  <si>
    <t>192</t>
  </si>
  <si>
    <t>498</t>
  </si>
  <si>
    <t>Невыясненные поступления, зачисляемые в бюджеты городских округов</t>
  </si>
  <si>
    <t>1.17.01.04.0.04.0.000</t>
  </si>
  <si>
    <t>1.8.0</t>
  </si>
  <si>
    <t>Прочие неналоговые доходы бюджетов городских округов</t>
  </si>
  <si>
    <t>1.17.05.04.0.04.0.000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</si>
  <si>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</si>
  <si>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1.19.04.00.0.04.0.000</t>
  </si>
  <si>
    <t>1.5.1</t>
  </si>
  <si>
    <t>Дотации бюджетам городских округов на выравнивание бюджетной обеспеченности</t>
  </si>
  <si>
    <t>2.02.01.00.1.04.0.000</t>
  </si>
  <si>
    <t>Дотации бюджетам городских округов на поддержку мер по обеспечению сбалансированности бюджетов</t>
  </si>
  <si>
    <t>2.02.01.00.3.04.0.000</t>
  </si>
  <si>
    <t>Субсидии бюджетам городских округов на обеспечение жильем молодых семей</t>
  </si>
  <si>
    <t>2.02.02.00.8.04.0.000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</si>
  <si>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</si>
  <si>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2.02.02.07.7.04.0.000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</si>
  <si>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</si>
  <si>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2.02.02.08.8.04.0.000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</si>
  <si>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</si>
  <si>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2.02.02.08.9.04.0.000</t>
  </si>
  <si>
    <t>Субсидии бюджетам городских округов на закупку автотранспортных средств и коммунальной техники</t>
  </si>
  <si>
    <t>2.02.02.10.2.04.0.000</t>
  </si>
  <si>
    <t>Прочие субсидии бюджетам городских округов</t>
  </si>
  <si>
    <t>2.02.02.99.9.04.0.000</t>
  </si>
  <si>
    <t>Субвенции бюджетам городских округов на оплату жилищно-коммунальных услуг отдельным категориям граждан</t>
  </si>
  <si>
    <t>2.02.03.00.1.04.0.000</t>
  </si>
  <si>
    <t>Субвенции бюджетам городских округов на осуществление полномочий по подготовке проведения статистических переписей</t>
  </si>
  <si>
    <t>2.02.03.00.2.04.0.000</t>
  </si>
  <si>
    <t>Субвенции бюджетам городских округов на государственную регистрацию актов гражданского состояния</t>
  </si>
  <si>
    <t>2.02.03.00.3.04.0.000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</si>
  <si>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</si>
  <si>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2.02.03.00.4.04.0.000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</si>
  <si>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</si>
  <si>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2.02.03.01.2.04.0.000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</si>
  <si>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</si>
  <si>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2.02.03.01.3.04.0.000</t>
  </si>
  <si>
    <t>Субвенции бюджетам городских округов на ежемесячное денежное вознаграждение за классное руководство</t>
  </si>
  <si>
    <t>2.02.03.02.1.04.0.000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</si>
  <si>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</si>
  <si>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2.02.03.02.2.04.0.000</t>
  </si>
  <si>
    <t>Субвенции бюджетам городских округов на выполнение передаваемых полномочий субъектов Российской Федерации</t>
  </si>
  <si>
    <t>2.02.03.02.4.04.0.000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</si>
  <si>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</si>
  <si>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2.02.03.02.6.04.0.000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</si>
  <si>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</si>
  <si>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2.02.03.02.7.04.0.000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</si>
  <si>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</si>
  <si>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2.02.03.02.9.04.0.000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</si>
  <si>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</si>
  <si>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2.02.03.05.5.04.0.000</t>
  </si>
  <si>
    <t>Межбюджетные трансферты, передаваемые бюджетам городских округов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</si>
  <si>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2.02.04.00.5.04.0.000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</si>
  <si>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</si>
  <si>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2.02.04.02.5.04.0.000</t>
  </si>
  <si>
    <t>Прочие межбюджетные трансферты, передаваемые бюджетам городских округов</t>
  </si>
  <si>
    <t>2.02.04.99.9.04.0.000</t>
  </si>
  <si>
    <t>Прочие безвозмездные поступления в бюджеты городских округов</t>
  </si>
  <si>
    <t>2.07.04.00.0.04.0.000</t>
  </si>
  <si>
    <t>Приложение 1</t>
  </si>
  <si>
    <t>ДОХОДЫ 
БЮДЖЕТА МИАССКОГО ГОРОДСКОГО ОКРУГА ЗА 2010 ГОД ПО КОДАМ ВИДОВ ДОХОДОВ, 
ПОДВИДОВ ДОХОДОВ, КЛАССИФИКАЦИИ ОПЕРАЦИЙ СЕКТОРА ГОСУДАРСТВЕННОГО
УПРАВЛЕНИЯ, ОТНОСЯЩИХСЯ К ДОХОДАМ БЮДЖЕТА</t>
  </si>
  <si>
    <t>Код бюджетной классификации 
Российской Федерации</t>
  </si>
  <si>
    <t>НАЛОГОВЫЕ И НЕНАЛОГОВЫЕ ДОХОДЫ</t>
  </si>
  <si>
    <t xml:space="preserve"> 10000000000000 000</t>
  </si>
  <si>
    <t>НАЛОГИ НА ПРИБЫЛЬ, ДОХОДЫ</t>
  </si>
  <si>
    <t>10100000000000 000</t>
  </si>
  <si>
    <t xml:space="preserve">Налог на доходы физических лиц </t>
  </si>
  <si>
    <t xml:space="preserve"> 10102000000000 110</t>
  </si>
  <si>
    <t>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</si>
  <si>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</si>
  <si>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 xml:space="preserve"> 10102010011000 110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</si>
  <si>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</si>
  <si>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 xml:space="preserve"> 10102010012000 110</t>
  </si>
  <si>
    <t xml:space="preserve"> 10102011010000 110</t>
  </si>
  <si>
    <t xml:space="preserve"> 10102021010000 110</t>
  </si>
  <si>
    <t>Приложение 3</t>
  </si>
  <si>
    <t>к решению Собрания</t>
  </si>
  <si>
    <t xml:space="preserve">депутатов Миасского </t>
  </si>
  <si>
    <t>городского округа</t>
  </si>
  <si>
    <t>РАСПРЕДЕЛЕНИЕ БЮДЖЕТНЫХ АССИГНОВАНИЙ НА 2010 ГОД</t>
  </si>
  <si>
    <t>ПО РАЗДЕЛАМ И ПОДРАЗДЕЛАМ, ЦЕЛЕВЫМ СТАТЬЯМ И ВИДАМ</t>
  </si>
  <si>
    <t>РАСХОДОВ КЛАССИФИКАЦИИ РАСХОДОВ БЮДЖЕТА</t>
  </si>
  <si>
    <t>МИАССКОГО ГОРОДСКОГО ОКРУГА</t>
  </si>
  <si>
    <t>Наименование</t>
  </si>
  <si>
    <t>Коды ведомственной классификации</t>
  </si>
  <si>
    <t>Сумма</t>
  </si>
  <si>
    <t>Исполнено</t>
  </si>
  <si>
    <t xml:space="preserve">% </t>
  </si>
  <si>
    <t>ведомство</t>
  </si>
  <si>
    <t>раздел</t>
  </si>
  <si>
    <t>подраздел</t>
  </si>
  <si>
    <t>целевая статья</t>
  </si>
  <si>
    <t>вид расходов</t>
  </si>
  <si>
    <t>на 2010 год  (тыс. руб.)</t>
  </si>
  <si>
    <t>за 2010 год                (тыс. руб.)</t>
  </si>
  <si>
    <t>исполнения (%)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</si>
  <si>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</si>
  <si>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</si>
  <si>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</si>
  <si>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</si>
  <si>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</si>
  <si>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</si>
  <si>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</si>
  <si>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</si>
  <si>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</si>
  <si>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</si>
  <si>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местного самоуправления</t>
  </si>
  <si>
    <t>03</t>
  </si>
  <si>
    <t>Центральный аппарат</t>
  </si>
  <si>
    <t xml:space="preserve"> 01 </t>
  </si>
  <si>
    <t>002 04 00</t>
  </si>
  <si>
    <t>Депутаты представительного органа муниципального образования</t>
  </si>
  <si>
    <t>002 12 00</t>
  </si>
  <si>
    <t>Другие общегосударственные вопросы</t>
  </si>
  <si>
    <t>15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</si>
  <si>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</si>
  <si>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</si>
  <si>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</si>
  <si>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216</t>
  </si>
  <si>
    <t>Образование</t>
  </si>
  <si>
    <t>07</t>
  </si>
  <si>
    <t>Молодежная политика и оздоровление детей</t>
  </si>
  <si>
    <t>Мероприятия по организации оздоровительной кампании детей и подростков</t>
  </si>
  <si>
    <t>432 00 00</t>
  </si>
  <si>
    <t>Оздоровление детей и подростков</t>
  </si>
  <si>
    <t>452</t>
  </si>
  <si>
    <t>Реализация 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</si>
  <si>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</si>
  <si>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</si>
  <si>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200</t>
  </si>
  <si>
    <t>Национальная экономика</t>
  </si>
  <si>
    <t>04</t>
  </si>
  <si>
    <t>Транспорт</t>
  </si>
  <si>
    <t>08</t>
  </si>
  <si>
    <t>Другие виды транспорта</t>
  </si>
  <si>
    <t>317 00 00</t>
  </si>
  <si>
    <t>Отдельные мероприятия по другим видам транспорта</t>
  </si>
  <si>
    <t>366</t>
  </si>
  <si>
    <t>Другие вопросы в области национальной экономики</t>
  </si>
  <si>
    <t>11</t>
  </si>
  <si>
    <t>Реализация государственных функций в области национальной экономики</t>
  </si>
  <si>
    <t>340 00 00</t>
  </si>
  <si>
    <t>Мероприятия по землестройству и землепользованию</t>
  </si>
  <si>
    <t>406</t>
  </si>
  <si>
    <t>Непрограмные инвестиции в основные фонды</t>
  </si>
  <si>
    <t>102 00 00</t>
  </si>
  <si>
    <t>Строительство объектов общегражданского назначения</t>
  </si>
  <si>
    <t>214</t>
  </si>
  <si>
    <t>Функционирование Правительства РВ, высших исполнительных органов государственной власти субъектов РФ, местных администраций</t>
  </si>
  <si>
    <t>Расходы за счет субвенций из областного бюджета на организацию работы комиссии по делам несовершеннолетних и защите их прав</t>
  </si>
  <si>
    <t>002 04 58</t>
  </si>
  <si>
    <t>Расходы на оплату ТЭР, услуг водоснабжения,водоотведения, потребляемых МБУ и эл.энергии, расходов на уличное освещение за счет субсидий из областного  бюджета</t>
  </si>
  <si>
    <t>002 04 68</t>
  </si>
  <si>
    <t xml:space="preserve">Расходы за счет субвенций из областного бюджета на комплектование, учет, использование и хранение архивных документов, отнесенных к государственной собственности Челябинской области </t>
  </si>
  <si>
    <t>002 04 86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</si>
  <si>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</si>
  <si>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002 04 97</t>
  </si>
  <si>
    <t>Глава местной администрации (исполнительно-распорядительного органа муниципального образования)</t>
  </si>
  <si>
    <t>002 08 00</t>
  </si>
  <si>
    <t>Резервные фонды местных администраций</t>
  </si>
  <si>
    <t>070 05 00</t>
  </si>
  <si>
    <t>Целевые программы муниципальных образований</t>
  </si>
  <si>
    <t>795 00 00</t>
  </si>
  <si>
    <t>Программа "Развитие муниципальной службы в МГО"</t>
  </si>
  <si>
    <t>795 00 10</t>
  </si>
  <si>
    <t>Судебная система</t>
  </si>
  <si>
    <t>05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</si>
  <si>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</si>
  <si>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 xml:space="preserve">00 140 00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</si>
  <si>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</si>
  <si>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</si>
  <si>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Организация работы финансовых органов муниципальных образований за счет субсидий из областного бюджета</t>
  </si>
  <si>
    <t>002 04 60</t>
  </si>
  <si>
    <t>Руководитель контрольно-счетной палаты муниципального образования и его заместители</t>
  </si>
  <si>
    <t>002 25 00</t>
  </si>
  <si>
    <t>Обеспечение проведения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</si>
  <si>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</si>
  <si>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</si>
  <si>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</si>
  <si>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 xml:space="preserve">Проведение выборов главы муниципального образования </t>
  </si>
  <si>
    <t>020 00 03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</si>
  <si>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</si>
  <si>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</si>
  <si>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</si>
  <si>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</si>
  <si>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</si>
  <si>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</si>
  <si>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</si>
  <si>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</si>
  <si>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12</t>
  </si>
  <si>
    <t>070 00 00</t>
  </si>
  <si>
    <t xml:space="preserve">Прочие расходы </t>
  </si>
  <si>
    <t>14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</si>
  <si>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</si>
  <si>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</si>
  <si>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</si>
  <si>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</si>
  <si>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Осуществление полномочий по подготовке проведения статистических переписей</t>
  </si>
  <si>
    <t>001 43 00</t>
  </si>
  <si>
    <t>Обеспечение деятельности подведомственных учреждений</t>
  </si>
  <si>
    <t>002 99 00</t>
  </si>
  <si>
    <t>Выполнение функций бюджетными учреждениями</t>
  </si>
  <si>
    <t>001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</si>
  <si>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</si>
  <si>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090 02 00</t>
  </si>
  <si>
    <t>092 03 00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</si>
  <si>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</si>
  <si>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строительства, собственности муниципальных образований</t>
  </si>
  <si>
    <t>102 01 02</t>
  </si>
  <si>
    <t>Бюджетные инвестиции</t>
  </si>
  <si>
    <t>003</t>
  </si>
  <si>
    <t>Дворцы и дома культуры, другие учреждения культуры и СМИ</t>
  </si>
  <si>
    <t>440 00 00</t>
  </si>
  <si>
    <t>440 99 00</t>
  </si>
  <si>
    <t>Программа "Миасс - безопасный город"</t>
  </si>
  <si>
    <t>795 00 01</t>
  </si>
  <si>
    <t>Программа "Муниципальная информационная автоматизированная  система"</t>
  </si>
  <si>
    <t>795 00 02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</si>
  <si>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</si>
  <si>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</si>
  <si>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</si>
  <si>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</si>
  <si>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</si>
  <si>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</si>
  <si>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</si>
  <si>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</si>
  <si>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Военный персонал</t>
  </si>
  <si>
    <t>202 58 00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</si>
  <si>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</si>
  <si>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 xml:space="preserve"> 10102021011000 110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</si>
  <si>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</si>
  <si>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 xml:space="preserve"> 10102021012000 110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</si>
  <si>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</si>
  <si>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 xml:space="preserve"> 10102021013000 110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</si>
  <si>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(прочие поступления)</t>
  </si>
  <si>
    <t>10102021014000 110</t>
  </si>
  <si>
    <t xml:space="preserve"> 10102022010000 110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</si>
  <si>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</si>
  <si>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 xml:space="preserve"> 10102022011000 110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</si>
  <si>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</si>
  <si>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 xml:space="preserve"> 10102022012000 110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</si>
  <si>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</si>
  <si>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10102022013000 110</t>
  </si>
  <si>
    <t xml:space="preserve">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</si>
  <si>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</si>
  <si>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 xml:space="preserve">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</si>
  <si>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</si>
  <si>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 xml:space="preserve"> 10102030012000 110</t>
  </si>
  <si>
    <t xml:space="preserve"> 10102040010000 110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</si>
  <si>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(сумма платежа)</t>
  </si>
  <si>
    <t xml:space="preserve"> 10102040011000 110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</si>
  <si>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 (пени, проценты)</t>
  </si>
  <si>
    <t xml:space="preserve"> 10102040012000 110</t>
  </si>
  <si>
    <t xml:space="preserve"> 10102050010000 110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</si>
  <si>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 (сумма платежа)</t>
  </si>
  <si>
    <t xml:space="preserve"> 10102050011000 110</t>
  </si>
  <si>
    <t xml:space="preserve"> 10102070010000 110</t>
  </si>
  <si>
    <t>Налог на доходы физических лиц с доходов, полученных физическими лицами,
являющимися иностранными гражданами, осуществляющими трудовую деятельность по найму у физических лиц на основании патента (сумма)</t>
  </si>
  <si>
    <t xml:space="preserve"> 10102070011000 110</t>
  </si>
  <si>
    <t>НАЛОГИ НА СОВОКУПНЫЙ ДОХОД</t>
  </si>
  <si>
    <t xml:space="preserve"> 10500000000000 000</t>
  </si>
  <si>
    <t>Налог, взимаемый в связи с применением упрощенной системы налогообложения</t>
  </si>
  <si>
    <t xml:space="preserve"> 10501000000000 110</t>
  </si>
  <si>
    <t xml:space="preserve"> 10501010010000 110</t>
  </si>
  <si>
    <t>Налог, взимаемый с налогоплательщиков, выбравших в качестве объекта налогообложения доходы (сумма платежа)</t>
  </si>
  <si>
    <t xml:space="preserve"> 10501010011000 110</t>
  </si>
  <si>
    <t>Налог, взимаемый с налогоплательщиков, выбравших в качестве объекта налогообложения доходы (пени, проценты)</t>
  </si>
  <si>
    <t xml:space="preserve"> 10501010012000 110</t>
  </si>
  <si>
    <t>Налог, взимаемый с налогоплательщиков, выбравших в качестве объекта налогообложения доходы (взыскания)</t>
  </si>
  <si>
    <t>10501010013000 110</t>
  </si>
  <si>
    <t xml:space="preserve"> 10501020010000 110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</si>
  <si>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платежа)</t>
  </si>
  <si>
    <t xml:space="preserve"> 10501020011000 110</t>
  </si>
  <si>
    <t>Налог, взимаемый с налогоплательщиков, выбравших в качестве объекта налогообложения доходы, уменьшенные на величину расходов (пени, проценты)</t>
  </si>
  <si>
    <t xml:space="preserve"> 10501020012000 110</t>
  </si>
  <si>
    <t>Налог, взимаемый с налогоплательщиков, выбравших в качестве объекта налогообложения доходы, уменьшенные на величину расходов (взыскания)</t>
  </si>
  <si>
    <t xml:space="preserve"> 10501020013000 110</t>
  </si>
  <si>
    <t xml:space="preserve"> 10502000000000 110</t>
  </si>
  <si>
    <t xml:space="preserve"> 10502000020000 110</t>
  </si>
  <si>
    <t>Единый налог на вмененный доход для отдельных видов деятельности (сумма платежа)</t>
  </si>
  <si>
    <t>10502000021000 110</t>
  </si>
  <si>
    <t>Единый налог на вмененный доход для отдельных видов деятельности (пени, проценты)</t>
  </si>
  <si>
    <t xml:space="preserve"> 10502000022000 110</t>
  </si>
  <si>
    <t xml:space="preserve">Функционирование органов в сфере национальной безопасности и  правоохранительной деятельности </t>
  </si>
  <si>
    <t>202 67 00</t>
  </si>
  <si>
    <t>Продовольственное обеспечение</t>
  </si>
  <si>
    <t>202 71 00</t>
  </si>
  <si>
    <t>Продовольственное обеспечение вне рамок государственного оборонного заказа</t>
  </si>
  <si>
    <t>202 71 02</t>
  </si>
  <si>
    <t>Вещевое обеспечение</t>
  </si>
  <si>
    <t xml:space="preserve">03 </t>
  </si>
  <si>
    <t>202 72 00</t>
  </si>
  <si>
    <t>Вещевое обеспечение вне рамок государственного оборонного заказа</t>
  </si>
  <si>
    <t>202 72 02</t>
  </si>
  <si>
    <t>Компенсация стоимости вещевого имущества</t>
  </si>
  <si>
    <t>202 72 03</t>
  </si>
  <si>
    <t>Пособия и компенсации военнослужащим, приравненным к ним лицам, а так же уволенным из их числа</t>
  </si>
  <si>
    <t>202 76 00</t>
  </si>
  <si>
    <t>Социальные выплаты</t>
  </si>
  <si>
    <t>005</t>
  </si>
  <si>
    <t xml:space="preserve">795 00 00 </t>
  </si>
  <si>
    <t>Комплексная программа профилактики правонарушений и усиления борьбы с преступностью на территории МГО на 2009-2010гг.</t>
  </si>
  <si>
    <t>795 00 64</t>
  </si>
  <si>
    <t>Муниципальная целевая программа "противопожарные мероприятия на 2008-2009гг.в УВД по Миасскому городскому округу"</t>
  </si>
  <si>
    <t xml:space="preserve">795 00 63 </t>
  </si>
  <si>
    <t>Защита населения и территории от последствий  чрезвычайных ситуаций природного и техногенного характера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</si>
  <si>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</si>
  <si>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</si>
  <si>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</si>
  <si>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</si>
  <si>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</si>
  <si>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Целевой финансовый резерв для предупреждения и ликвидации чрезвычайных ситуаций</t>
  </si>
  <si>
    <t>218 01 50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</si>
  <si>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</si>
  <si>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</si>
  <si>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</si>
  <si>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</si>
  <si>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Реализция государственных функций, связанных с обеспечением национальной безопасности и правоохранительной деятельности</t>
  </si>
  <si>
    <t>247 00 00</t>
  </si>
  <si>
    <t>247 99 00</t>
  </si>
  <si>
    <t>Целевая "Программа энергосбережения и повышения энергетической эффективности бюджетных организаций Миасского городского округа на 2010-2015 годы"</t>
  </si>
  <si>
    <t>795 00 27</t>
  </si>
  <si>
    <t>Субсидии юридическим лицам</t>
  </si>
  <si>
    <t>006</t>
  </si>
  <si>
    <t>Другие вопросы в области национальной безопасности и правоохранительной деятельности</t>
  </si>
  <si>
    <t>Региональные целевые программы</t>
  </si>
  <si>
    <t>522 00 00</t>
  </si>
  <si>
    <t>ОЦП "Снижение рисков и смягчение последствий чрезвычайных ситуаций природного и техногенного характера в Челябинской области</t>
  </si>
  <si>
    <t>522 13 00</t>
  </si>
  <si>
    <t>10</t>
  </si>
  <si>
    <t>Отдельные мероприятия в области автомобильного транспорта</t>
  </si>
  <si>
    <t>303 02 00</t>
  </si>
  <si>
    <t>Резервные фонды органов местного самоуправления</t>
  </si>
  <si>
    <t>184</t>
  </si>
  <si>
    <t>Компенсация расходов автотранспортных предприятий, связанных с предоставлением сезонных льгот пенсионерам-садоводам, пенсионерам-огородникам на автомобильном транспорте городских и пригородных (садовых) маршрутов за счет средств областного бюджета</t>
  </si>
  <si>
    <t>303 02 72</t>
  </si>
  <si>
    <t>317 01 00</t>
  </si>
  <si>
    <t>Финансирование расходов на организацию транспортного обслуживания населения  муниципальных образований в части приобретения подвижного состава за счет субсидии из областного бюджета</t>
  </si>
  <si>
    <t>317 01 12</t>
  </si>
  <si>
    <t>Закупка для государственных нужд техники, производимой на территории Российской Федерации</t>
  </si>
  <si>
    <t>340 07 00</t>
  </si>
  <si>
    <t>Закупка автотранспортных средств и коммунальной техники</t>
  </si>
  <si>
    <t xml:space="preserve">04 </t>
  </si>
  <si>
    <t>340 07 02</t>
  </si>
  <si>
    <t>Мероприятия в области строительства, архитектуры и градостроительства</t>
  </si>
  <si>
    <t>338 00 00</t>
  </si>
  <si>
    <t>Мероприятия по землеустройству и землепользованию</t>
  </si>
  <si>
    <t>340 03 00</t>
  </si>
  <si>
    <t>Программа "Поддержка и развитие малого предпринимательства  Миасского городского округа на 2009-2011гг."</t>
  </si>
  <si>
    <t>795 00 03</t>
  </si>
  <si>
    <t>ЦП "Доступное и комфортное жилье - гражданам России (Подпрограмма "Подготовка земельных участков для освоения в целях жилищного стр-ва")</t>
  </si>
  <si>
    <t>795 19 12</t>
  </si>
  <si>
    <t>Жилищно-коммунальное хозяйство</t>
  </si>
  <si>
    <t>Жилищное хозяйство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</si>
  <si>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</si>
  <si>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>098 00 00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</si>
  <si>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</si>
  <si>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098 01 00</t>
  </si>
  <si>
    <t xml:space="preserve">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</si>
  <si>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098 01 01</t>
  </si>
  <si>
    <t xml:space="preserve">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</si>
  <si>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098 01 02</t>
  </si>
  <si>
    <t>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средств, поступивших от государственной корпорации Фонд содействия реформированию жилищно-коммунально</t>
  </si>
  <si>
    <t>098 01 04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</si>
  <si>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</si>
  <si>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</si>
  <si>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 xml:space="preserve">Обеспечение мероприятий по капитальному ремонту многоквартирных домов за счет средств бюджетов </t>
  </si>
  <si>
    <t>098 02 01</t>
  </si>
  <si>
    <t>Субсидии юридическим лицам на капитальный ремонт многоквартирных домов</t>
  </si>
  <si>
    <t>910</t>
  </si>
  <si>
    <t>Обеспечение мероприятий по переселению граждан из аварийного жилищного фонда за счет средств бюджетов</t>
  </si>
  <si>
    <t>098 02 02</t>
  </si>
  <si>
    <t>Мероприятия по переселению граждан из аварийного жилищного фонда</t>
  </si>
  <si>
    <t>912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</si>
  <si>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</si>
  <si>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098 02 04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</si>
  <si>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</si>
  <si>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</si>
  <si>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</si>
  <si>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</si>
  <si>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Капитальный ремонт государственного жилищного фонда субъектов РФ и муниципального жилищного фонда</t>
  </si>
  <si>
    <t>350 02 00</t>
  </si>
  <si>
    <t>Областная целевая программа профилактики правонарушений и усилия борьбы с преступностью в Челябинской области на 2006-2008 годы"</t>
  </si>
  <si>
    <t>522 12 00</t>
  </si>
  <si>
    <t>Областная целевая программа по реализации национального проекта "Доступное и комфортное жилье - гражданам России" в Челябинской обл.</t>
  </si>
  <si>
    <t>522 19 00</t>
  </si>
  <si>
    <t>Подпрограмма "Мероприятия по переселению граждан из жилищного фонда, признанного непригодным для проживания"</t>
  </si>
  <si>
    <t>522 19 13</t>
  </si>
  <si>
    <t>Проведение капитального ремонта многоквартирных домов</t>
  </si>
  <si>
    <t>522 19 16</t>
  </si>
  <si>
    <t xml:space="preserve">ОАП "Капитальный ремонт многоквартирных домов в Челябинской области на 2008-2011 гг. </t>
  </si>
  <si>
    <t>522 21 00</t>
  </si>
  <si>
    <t>ОАП "Капитальный ремонт многоквартирных домов в Челябинской области на 2008-2011 гг. за счет средств Фонда реформирования ЖКХ</t>
  </si>
  <si>
    <t>522 21 22</t>
  </si>
  <si>
    <t>ОАП "Капитальный ремонт многоквартирных домов в Челябинской области на 2008-2011 гг. за счет средств областного бюджета</t>
  </si>
  <si>
    <t>522 21 23</t>
  </si>
  <si>
    <t>Капитальный ремонт государственного жилищного фонда субъектов Российской Федерации и муниципального жилищного фонда</t>
  </si>
  <si>
    <t>Мероприятия в области жилищного хозяйства</t>
  </si>
  <si>
    <t>350 03 00</t>
  </si>
  <si>
    <t>Программа "Кровля" МГО на 2006-2010гг</t>
  </si>
  <si>
    <t>795 00 07</t>
  </si>
  <si>
    <t>Программа  "Лифт МГО на 2008-2010"</t>
  </si>
  <si>
    <t>795 00 08</t>
  </si>
  <si>
    <t>Национальный проект "Доступное и комфортное жилье - гражданам России" на территории МГО на 2006-2010 гг.</t>
  </si>
  <si>
    <t xml:space="preserve">795 19 00 </t>
  </si>
  <si>
    <t>795 19 13</t>
  </si>
  <si>
    <t>Программа "Капитальный ремонт многоквартирных жилых домов" в МГО на 2008-2010 годы</t>
  </si>
  <si>
    <t>795 21 00</t>
  </si>
  <si>
    <t>Программа "Капитальное строительство на территории Миасского городского округа на 2009-2011 годы"</t>
  </si>
  <si>
    <t>795 25 00</t>
  </si>
  <si>
    <t>Коммунальное хозяйство</t>
  </si>
  <si>
    <t>Дорожное хозяйство</t>
  </si>
  <si>
    <t>351 00 00</t>
  </si>
  <si>
    <t>Отдельные мероприятия в области дорожного хозяйства</t>
  </si>
  <si>
    <t>365</t>
  </si>
  <si>
    <t>Закупка для государственных нужд техники,
производимой на территории Российской Федерации</t>
  </si>
  <si>
    <t>Закупка автотранспортных средств
и коммунальной техники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</si>
  <si>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</si>
  <si>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</si>
  <si>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</si>
  <si>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</si>
  <si>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</si>
  <si>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Мероприятия в области коммунального хозяйства</t>
  </si>
  <si>
    <t>351 05 00</t>
  </si>
  <si>
    <t xml:space="preserve">Подпрограмма "Модернизация объектов коммунальной инфраструктуры" </t>
  </si>
  <si>
    <t>522 19 11</t>
  </si>
  <si>
    <t>Программа "Содержание и благоустройство кладбищ Миасского городского округа на 2006-2010гг."</t>
  </si>
  <si>
    <t>795 00 06</t>
  </si>
  <si>
    <t>Программа экономии хозпитьевой воды, улучшение экологической обстановки МГО на 2008-2010гг.</t>
  </si>
  <si>
    <t>795 00 24</t>
  </si>
  <si>
    <t>Программа "О развитии энергосбережения в МГО на 2006-2010гг."</t>
  </si>
  <si>
    <t>795 00 25</t>
  </si>
  <si>
    <t xml:space="preserve">Национальный проект "Доступное и комфортное жилье - гражданам России" на территории МГО на 2006-2010 гг., </t>
  </si>
  <si>
    <t>795 19 00</t>
  </si>
  <si>
    <t>795 19 11</t>
  </si>
  <si>
    <t>Благоустройство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</si>
  <si>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за счет субсидий из областного бюджета </t>
  </si>
  <si>
    <t>315 02 03</t>
  </si>
  <si>
    <t xml:space="preserve">Содержание и ремонт автомобильных дорог общего пользования местного значения, за исключением автомобильных дорог общего пользования федерального и регионального значения </t>
  </si>
  <si>
    <t>915</t>
  </si>
  <si>
    <t>600 00 00</t>
  </si>
  <si>
    <t>Уличное освещение</t>
  </si>
  <si>
    <t>600 01 00</t>
  </si>
  <si>
    <t>600 01 68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</si>
  <si>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</si>
  <si>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</si>
  <si>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Обеспечение выполнения работ по внедрению и содержанию технических средств, организации и регулированию дорожного движения в муниципальных образованиях за счет субсидий из областного бюджета</t>
  </si>
  <si>
    <t>600 02 66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</si>
  <si>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</si>
  <si>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</si>
  <si>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</si>
  <si>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</si>
  <si>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Целевая программа "Содержание и благоустройство кладбищ Миасского городского округа на 2010г"</t>
  </si>
  <si>
    <t>Программа по поддержанию дорог и дорожных сооружений МГО в проезжем состоянии на 2008-2010гг.</t>
  </si>
  <si>
    <t>795 00 09</t>
  </si>
  <si>
    <t xml:space="preserve">Программа "Реконструкция и модернизация системы наружного освещения МГО с обеспечением приборного учета электроэнергии на 2008-2010гг" </t>
  </si>
  <si>
    <t>795 00 26</t>
  </si>
  <si>
    <t>Программа "Экология  Миасского городского округа" на 2010-2015гг.</t>
  </si>
  <si>
    <t xml:space="preserve">795 00 22 </t>
  </si>
  <si>
    <t>795 00 22</t>
  </si>
  <si>
    <t>Другие вопросы в области жилищно-коммунального хозяйства</t>
  </si>
  <si>
    <t xml:space="preserve">Бюджетные инвестиции </t>
  </si>
  <si>
    <t>102 02 00</t>
  </si>
  <si>
    <t>Реконструкция гидротехнических сооружений, находящихся в муниципальной собственности, за счет субсидий из областного бюджета</t>
  </si>
  <si>
    <t>102 02 23</t>
  </si>
  <si>
    <t>Федеральная целевая программа "Жилище"  на 2002-2010 годы</t>
  </si>
  <si>
    <t>104 00 00</t>
  </si>
  <si>
    <t>104 03 00</t>
  </si>
  <si>
    <t>Подпрограмма "Подготовка земельных участков для освоения в целях жилищного строительства"</t>
  </si>
  <si>
    <t>522 19 12</t>
  </si>
  <si>
    <t>Областная целевая Программа капитального строительства в Челябинской области на 2009-2011 годы</t>
  </si>
  <si>
    <t>522 25 00</t>
  </si>
  <si>
    <t>Развитие социальной и инженерной структуры муниципальных образований</t>
  </si>
  <si>
    <t>523 00 00</t>
  </si>
  <si>
    <t xml:space="preserve">Развитие социальной и инженерной структуры </t>
  </si>
  <si>
    <t>523 01 00</t>
  </si>
  <si>
    <t xml:space="preserve">Программа водоснабжения частного сектора  </t>
  </si>
  <si>
    <t>795 00 21</t>
  </si>
  <si>
    <t>Подпрограмма "Обеспечение земельных участков объектами коммунальной инфраструктуры"</t>
  </si>
  <si>
    <t>Целевая Программа "Капитальное строительство на территории Миасского городского округа на 2009-2011 годы"</t>
  </si>
  <si>
    <t>Охрана окружающей 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</si>
  <si>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</si>
  <si>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</si>
  <si>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</si>
  <si>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</si>
  <si>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Другие вопросы в области охраны окружающей среды</t>
  </si>
  <si>
    <t>ОЦП Природоохранных мероприятий оздоровления экологической обстановки в Челябинской области на 2006-2010гг.</t>
  </si>
  <si>
    <t>522 14 00</t>
  </si>
  <si>
    <t>Строительство объектов для нужд отрасли</t>
  </si>
  <si>
    <t>213</t>
  </si>
  <si>
    <t>Программа "Экология  Миасского городского округа" на 2006-2010гг.</t>
  </si>
  <si>
    <t>Природоохранные мероприятия</t>
  </si>
  <si>
    <t>025</t>
  </si>
  <si>
    <t>Программа "Сбор и утилизация твердых коммунальных и промышленных отходов"</t>
  </si>
  <si>
    <t>795 00 23</t>
  </si>
  <si>
    <t>443</t>
  </si>
  <si>
    <t>в том числе на ликвидацию чрезвычайных ситуаций</t>
  </si>
  <si>
    <t xml:space="preserve">                     на празднование 235-летия Миасса</t>
  </si>
  <si>
    <t>Общеэкономические вопросы</t>
  </si>
  <si>
    <t>Иные безвозмездные и безвозвратные перечисления</t>
  </si>
  <si>
    <t xml:space="preserve">520 00 00 </t>
  </si>
  <si>
    <t>Организация общественных работ</t>
  </si>
  <si>
    <t>Дошкольное образование</t>
  </si>
  <si>
    <t>Детские дошкольные учреждения</t>
  </si>
  <si>
    <t>420 00 00</t>
  </si>
  <si>
    <t>420 99 00</t>
  </si>
  <si>
    <t>Ремонт и противопожарные мероприятия в учреждениях образования муниципальных образований за счет субсидий из областного бюджета</t>
  </si>
  <si>
    <t>901</t>
  </si>
  <si>
    <t>Расходы за счет субсидий из областного бюджета на выплату ежемесячноцй надбавки к заработной плате молодым специалистам и оказание единовременной материальной помощи молодым специалистам</t>
  </si>
  <si>
    <t>420 99 01</t>
  </si>
  <si>
    <t>Реализация национального проекта "Образование" в Челябинской области</t>
  </si>
  <si>
    <t>908</t>
  </si>
  <si>
    <t xml:space="preserve">Обеспечение продуктами питания учреждений социальной сферы муниципальных образований </t>
  </si>
  <si>
    <t>420 99 62</t>
  </si>
  <si>
    <t>Организация воспитания и обучения детей-инвалидов на дому и в дошкольных учреждениях</t>
  </si>
  <si>
    <t>420 99 67</t>
  </si>
  <si>
    <t>Детские дошкольные учреждения за счет субсидий из областного бюджета</t>
  </si>
  <si>
    <t>420 99 71</t>
  </si>
  <si>
    <t>Областная целевая программа "Развитие дошкольного образования в Челябинской области" на 2006-2010 гг. за счет субсидий из областного бюджета</t>
  </si>
  <si>
    <t>522 15 00</t>
  </si>
  <si>
    <t>Общее образование</t>
  </si>
  <si>
    <t>Резервный фонд Президента Российской Федерации</t>
  </si>
  <si>
    <t>070 02 00</t>
  </si>
  <si>
    <t>Школы-детские сады, школы начальные, неполные средние и средние</t>
  </si>
  <si>
    <t>421 00 00</t>
  </si>
  <si>
    <t>421 99 00</t>
  </si>
  <si>
    <t>Обеспечение продуктами питания учреждений социальной сферы муниципальных образований из областного фонда продовольствия</t>
  </si>
  <si>
    <t>904</t>
  </si>
  <si>
    <t>421 99 01</t>
  </si>
  <si>
    <t>Мероприятия в области здравоохранения, спорта и физической культуры, туризма</t>
  </si>
  <si>
    <t>421 99 02</t>
  </si>
  <si>
    <t>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 за счет субсидии из областного бюджета</t>
  </si>
  <si>
    <t>421 99 59</t>
  </si>
  <si>
    <t>Расходы на оплату ТЭР, услуг водоснабжения,водоотведения, потребляемых МБУ и эл.энергии, расходуемой на уличное освещение за счет субсидий из областного  бюджета</t>
  </si>
  <si>
    <t>421 99 68</t>
  </si>
  <si>
    <t>Расходы на выплату библиотечным работникам лечебного пособия и ежемесячной надбавки к заработной плате за выслугу лет за счет субсидий из областного бюджета</t>
  </si>
  <si>
    <t>421 99 70</t>
  </si>
  <si>
    <t>Расходы на проведение ремонтных работ, строительных работ и работ по благоустройству с привлечением студенческих отрядов</t>
  </si>
  <si>
    <t>907</t>
  </si>
  <si>
    <t>Приобретение продуктов питания для детей в организованных органами местного самоуправления лагерях с дневным пребыванием детей и организацией двух-или трехразового питания за счет субсидий из областного бюджета</t>
  </si>
  <si>
    <t>421 99 75</t>
  </si>
  <si>
    <t>Организация отдыха детей в каникулярное время</t>
  </si>
  <si>
    <t>911</t>
  </si>
  <si>
    <t>Обеспечение деятельности школ-детских садов, школ начальных, неполных средних за счет субвенций местным бюджетам на обеспечение гарантий прав граждан в сфере образования</t>
  </si>
  <si>
    <t>421 99 88</t>
  </si>
  <si>
    <t>Учреждения по внешкольной работе с детьми</t>
  </si>
  <si>
    <t xml:space="preserve">423 00 00 </t>
  </si>
  <si>
    <t>423 99 00</t>
  </si>
  <si>
    <t>Ремонт и противопожарные мероприятия в учреждениях физической культуры и спорта муниципальных образований за счет субсидий из областного бюджета</t>
  </si>
  <si>
    <t>900</t>
  </si>
  <si>
    <t>423 99 01</t>
  </si>
  <si>
    <t>423 99 68</t>
  </si>
  <si>
    <t>Детские дома</t>
  </si>
  <si>
    <t>424 00 00</t>
  </si>
  <si>
    <t>424 99 00</t>
  </si>
  <si>
    <t>424  99 00</t>
  </si>
  <si>
    <t>424 99 70</t>
  </si>
  <si>
    <t>Расходы за счет субвенций из областного бюджета на содержание и обеспечение деятельности детских домов</t>
  </si>
  <si>
    <t>424 99 75</t>
  </si>
  <si>
    <t xml:space="preserve">Специальные (коррекционные) учреждения </t>
  </si>
  <si>
    <t>433 00 00</t>
  </si>
  <si>
    <t>433 99 00</t>
  </si>
  <si>
    <t>433 99 01</t>
  </si>
  <si>
    <t>433 99 70</t>
  </si>
  <si>
    <t xml:space="preserve">Расходы за счет субвенции из областного бюджета на организацию предоставления дошкольного и общего образования по основным общеобразовательным программамв муниципальных специальных (коррекционных) образовательных учреждениях для обучающихся воспитанников </t>
  </si>
  <si>
    <t>433 99 82</t>
  </si>
  <si>
    <t>Мероприятия в области образования</t>
  </si>
  <si>
    <t>436 00 00</t>
  </si>
  <si>
    <t>Проведение противоаварийных
мероприятий в зданиях государственных и муниципальных
общеобразовательных учреждений</t>
  </si>
  <si>
    <t>436 15 00</t>
  </si>
  <si>
    <t>Физкультурно-оздоровительная работа и спортивные мероприятия</t>
  </si>
  <si>
    <t>512 00 00</t>
  </si>
  <si>
    <t>512 97 00</t>
  </si>
  <si>
    <t>Мероприятия в области здравоохранения, спорта и физической культуры,туризма за счет субсидии из областного бюджета</t>
  </si>
  <si>
    <t>512 97 26</t>
  </si>
  <si>
    <t>520 00 00</t>
  </si>
  <si>
    <t>Ежемесячное денежное вознаграждение за классное руководство</t>
  </si>
  <si>
    <t>520 09 00</t>
  </si>
  <si>
    <t>Расходы за счет субвенции из областного бюджета на ежемесячное денежное вознаграждение за классное руководство</t>
  </si>
  <si>
    <t>520 09 43</t>
  </si>
  <si>
    <t>Внедрение ииновационных образовательных программ</t>
  </si>
  <si>
    <t>621</t>
  </si>
  <si>
    <t>Мероприятия в сфере образования</t>
  </si>
  <si>
    <t>022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</si>
  <si>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</si>
  <si>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</si>
  <si>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</si>
  <si>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</si>
  <si>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Проведение мероприятий для детей и молодежи за счет субсидий из областного бюджета</t>
  </si>
  <si>
    <t>431 01 39</t>
  </si>
  <si>
    <t>Проведение мероприятий по работе с детьми и молодежью для организации и проведения летних полевых лагерей и проведения походов за счет субсидии из областного бюджета</t>
  </si>
  <si>
    <t>431 01 77</t>
  </si>
  <si>
    <t>431 99 00</t>
  </si>
  <si>
    <t xml:space="preserve">Мероприятия по проведению оздоровительной кампании детей </t>
  </si>
  <si>
    <t xml:space="preserve">Оздоровление детей </t>
  </si>
  <si>
    <t>432 02 00</t>
  </si>
  <si>
    <t>432 02 75</t>
  </si>
  <si>
    <t>Организация отдыха детей в каникулярное время в загородных учреждениях, организующих отдых детей в каникулярное время за счет субсидии из областного бюджета</t>
  </si>
  <si>
    <t>432 02 76</t>
  </si>
  <si>
    <t>Межбюджетные трансферты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</si>
  <si>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</si>
  <si>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</si>
  <si>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</si>
  <si>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Организация и осуществление мероприятий по работе с детьми и молодежью за счет субсидий из областного бюджета</t>
  </si>
  <si>
    <t>521 01 39</t>
  </si>
  <si>
    <t>Мероприятия по работе с детьми и молодежью</t>
  </si>
  <si>
    <t>917</t>
  </si>
  <si>
    <t>Другие вопросы в области образования</t>
  </si>
  <si>
    <t>Бюджетные инвестиции в объекты капитального строительства собственности муниципальных образований</t>
  </si>
  <si>
    <t>Государственная поддержка в сфере образования</t>
  </si>
  <si>
    <t>436 01 00</t>
  </si>
  <si>
    <t>Расходы за счет субвенций из областного бюджета на государственную поддержку в сфере образования</t>
  </si>
  <si>
    <t>436 01 73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</si>
  <si>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</si>
  <si>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</si>
  <si>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</si>
  <si>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452 99 08</t>
  </si>
  <si>
    <t>452 99 68</t>
  </si>
  <si>
    <t>"Областная целевая программа "Развитие физической культуры и спорта в Челябинской области на 2009-2011 годы" за счет субсидии из областного бюджета</t>
  </si>
  <si>
    <t>522 08 00</t>
  </si>
  <si>
    <t>Областная целевая программа противодействия злоупотреблению наркотическими средствами и психотропными веществами и их незаконному обороту в Челябинской области на 2007-2009 годы за счет субсидий из областного бюджета</t>
  </si>
  <si>
    <t>522 09 00</t>
  </si>
  <si>
    <t>079</t>
  </si>
  <si>
    <t>Областная целевая программа "Дети Южного урала" на 2006-2010 годыза счет субсидий из областного бюджета</t>
  </si>
  <si>
    <t>522 16 00</t>
  </si>
  <si>
    <t>Областная целевая программа реализации национального проекта "Образование" в Челябинской области</t>
  </si>
  <si>
    <t>522 17 00</t>
  </si>
  <si>
    <t>Областная целевая программа реализации национального проекта "Образование" в Челябинской области за счет субсидии из областного бюджета</t>
  </si>
  <si>
    <t>Реализация НП "Образование" в Челябинской области</t>
  </si>
  <si>
    <t>Расходы за счет иных межбюджетных трансфертов  из областного бюджета на  поощрение лучших педагогических работников и учащихся -победителей конкурсов"  (Областная целевая Программа реализации национального проекта "Образование" в Челябинской области на 2009-2012 годы)</t>
  </si>
  <si>
    <t>522 17 02</t>
  </si>
  <si>
    <t xml:space="preserve">07 </t>
  </si>
  <si>
    <t>Программа "Профилактика противодействия незаконному обороту и употреблению наркотических средств"</t>
  </si>
  <si>
    <t>795 00 41</t>
  </si>
  <si>
    <t>Программа развития образования на 2010-2012гг.</t>
  </si>
  <si>
    <t>795 00 42</t>
  </si>
  <si>
    <t>Программа "Безопасность образовательного учреждения МГО на 2010-2012 " Ремонт и противопожарные мероприятия в образовательных учреждениях муниципальных образований за счет средств местного бюджета</t>
  </si>
  <si>
    <t>795 00 43</t>
  </si>
  <si>
    <t>Муниципальная целевая программа временной трудовой занятости молодежи "Трудовое лето 2010"</t>
  </si>
  <si>
    <t>795 00 66</t>
  </si>
  <si>
    <t xml:space="preserve">НП "Образование" в МГО на 2009-2010гг. </t>
  </si>
  <si>
    <t>795 17 44</t>
  </si>
  <si>
    <t>Культура, кинематография, средства массовой информации</t>
  </si>
  <si>
    <t xml:space="preserve">Культура </t>
  </si>
  <si>
    <t>Ремонт и противопожарные мероприятия в учреждениях культуры муниципальных образований за счет субсидий из областного бюджета</t>
  </si>
  <si>
    <t>902</t>
  </si>
  <si>
    <t>440 99 68</t>
  </si>
  <si>
    <t>Музей и постоянные выставки</t>
  </si>
  <si>
    <t>441 00 00</t>
  </si>
  <si>
    <t>441 99 00</t>
  </si>
  <si>
    <t>441 99 68</t>
  </si>
  <si>
    <t>Библиотеки</t>
  </si>
  <si>
    <t>442 00 00</t>
  </si>
  <si>
    <t>442 99 00</t>
  </si>
  <si>
    <t>442 99 68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</si>
  <si>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субсидий из областного бюджета</t>
  </si>
  <si>
    <t>442 99 70</t>
  </si>
  <si>
    <t>Комплектование книжных фондов библиотек муниципальных образований</t>
  </si>
  <si>
    <t>450 06 00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</si>
  <si>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</si>
  <si>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450 06 03</t>
  </si>
  <si>
    <t>Другие вопросы в области культуры, кинематографии и средств массовой информации</t>
  </si>
  <si>
    <t>Мероприятия по поддержке и развитию культуры, искусства, кинематографии средств массовой информации и архивного дела</t>
  </si>
  <si>
    <t>023</t>
  </si>
  <si>
    <t xml:space="preserve">Программа "Дети Миасского городского округа на 2006-2008гг." Подпрограмма "Одаренные дети" </t>
  </si>
  <si>
    <t>795 00 51</t>
  </si>
  <si>
    <t>Муниципальная целевая программа "Безопасность учреждений культуры" на 2010-2012 годы</t>
  </si>
  <si>
    <t>795 00 52</t>
  </si>
  <si>
    <t>Программа "Культура. Искусство. Творчество." на 2010-2012гг.</t>
  </si>
  <si>
    <t>795 00 53</t>
  </si>
  <si>
    <t>Проведение детей для детей и молодежи</t>
  </si>
  <si>
    <t>447</t>
  </si>
  <si>
    <t>Здравоохранение, физическая культура и спорт</t>
  </si>
  <si>
    <t>Стационарная медицинская помощь</t>
  </si>
  <si>
    <t>Учреждения, обеспечивающие предоставление услуг в сфере здравоохранения</t>
  </si>
  <si>
    <t>469 00 00</t>
  </si>
  <si>
    <t>469 99 00</t>
  </si>
  <si>
    <t>Больницы, клиники, госпитали,МСЧ</t>
  </si>
  <si>
    <t>470 00 00</t>
  </si>
  <si>
    <t>470 99 00</t>
  </si>
  <si>
    <t xml:space="preserve">09 </t>
  </si>
  <si>
    <t>Ремонт и противопожарные мероприятия в учреждениях здравоохранения муниципальных образований за счет субсидий из областного бюджета</t>
  </si>
  <si>
    <t>903</t>
  </si>
  <si>
    <t>470 99 68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</si>
  <si>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</si>
  <si>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</si>
  <si>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</si>
  <si>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</si>
  <si>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905</t>
  </si>
  <si>
    <t>Фельдшерско-акушерские пункты</t>
  </si>
  <si>
    <t>478 00 00</t>
  </si>
  <si>
    <t>478 99 00</t>
  </si>
  <si>
    <t>Денежные выплаты медицинскому персоналу фельдшерско-акушерских пунктов, врачам, фельдшерам и медицинским сестрам cкорой медицинской помощи</t>
  </si>
  <si>
    <t xml:space="preserve">520 18 00 </t>
  </si>
  <si>
    <t>Медицинская помощь в дневных стационарах всех типов</t>
  </si>
  <si>
    <t>Больницы, клиники, госпитали, медико-санитарные части</t>
  </si>
  <si>
    <t>Скорая медицинская помощь</t>
  </si>
  <si>
    <t>Станции скорой и неотложной помощи</t>
  </si>
  <si>
    <t>477 00 00</t>
  </si>
  <si>
    <t>477 99 00</t>
  </si>
  <si>
    <t>Физическая культура и спорт</t>
  </si>
  <si>
    <t xml:space="preserve">Физкультурно-оздоровительная работа и спортивные  мероприятия </t>
  </si>
  <si>
    <t>Программа "Развитие физической культуры и спорта в Миасском городском округе в 2007-2010гг"</t>
  </si>
  <si>
    <t>795 00 35</t>
  </si>
  <si>
    <t>Другие вопросы в области здравоохранения, физической культуры и спорта</t>
  </si>
  <si>
    <t>Областная целевая программа реализации Национального проекта "Здоровье" в Челябинской области</t>
  </si>
  <si>
    <t>522 18 00</t>
  </si>
  <si>
    <t xml:space="preserve">Нац.проект "Здоровье" на территории  Миасского городского округа на 2006-2010 гг. </t>
  </si>
  <si>
    <t>795 18 31</t>
  </si>
  <si>
    <t>Программа "Противопожарная безопасность учреждений здравоохранения Миасского городского округа на 2010-2012гг."</t>
  </si>
  <si>
    <t>795 00 32</t>
  </si>
  <si>
    <t>Программа "Профилактика клещевого энцефалита в Миасском городском округе на 2010-2012 гг."</t>
  </si>
  <si>
    <t>795 00 33</t>
  </si>
  <si>
    <t>Целевая программа "Улучшение качества жизни больных бронхиальной астмой" на 2006-2010 годы</t>
  </si>
  <si>
    <t>795 00 34</t>
  </si>
  <si>
    <t>Программа "Питание детей второго года жизни в Миасском городском округе на 2008-2010гг"</t>
  </si>
  <si>
    <t>795 00 36</t>
  </si>
  <si>
    <t>Программа "Организация круглосуточной, неотложной эндоскопической, отоларингологической, офтальмологической, урологической неврологической помощи в МГО на 2008 год"</t>
  </si>
  <si>
    <t>795 00 62</t>
  </si>
  <si>
    <t>Нац.проект "Здоровье" на территории  Миасского городского округа на 2010-2012 гг.</t>
  </si>
  <si>
    <t>ЦП "Капитальное строительство на территории Миасского городского округа на 2009-2011 годы"</t>
  </si>
  <si>
    <t>Социальная политика</t>
  </si>
  <si>
    <t>00</t>
  </si>
  <si>
    <t>Пенсионное обеспечение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</si>
  <si>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</si>
  <si>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</si>
  <si>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</si>
  <si>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</si>
  <si>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Социальное обслуживание населения</t>
  </si>
  <si>
    <t>Учреждения социального обслуживания населения</t>
  </si>
  <si>
    <t>507 00 00</t>
  </si>
  <si>
    <t>Расходы за счет субвенций из областного бюджета на содержание учреждений социального обслуживания населения</t>
  </si>
  <si>
    <t>507 99 00</t>
  </si>
  <si>
    <t>Расходы за счет бюджета округа на содержание учреждений социального обслуживания населения</t>
  </si>
  <si>
    <t>507 99 01</t>
  </si>
  <si>
    <t>508 00 00</t>
  </si>
  <si>
    <t>508 99 00</t>
  </si>
  <si>
    <t>Расходы за счет субвенции из областного бюджета на содержание учреждений социального обслуживания населения</t>
  </si>
  <si>
    <t>508 99 80</t>
  </si>
  <si>
    <t>Социальное обеспечение населения</t>
  </si>
  <si>
    <t>Федеральная целевая программа "Жилище"  на 2002-2010 годы (второй этап)</t>
  </si>
  <si>
    <t>Подпрограмма "Обеспечение жильем молодых семей"</t>
  </si>
  <si>
    <t>104 02 00</t>
  </si>
  <si>
    <t>Субсидии на обеспечение жильем</t>
  </si>
  <si>
    <t>501</t>
  </si>
  <si>
    <t>Социальная помощь</t>
  </si>
  <si>
    <t>505 00 00</t>
  </si>
  <si>
    <t>Расходы за счет субвенции из областного бюджета на обеспечение мер социальной поддержки граждан, работающих в сельских населенных пунктах и рабочих поселках Челябинской области</t>
  </si>
  <si>
    <t>505 00 53</t>
  </si>
  <si>
    <t>Расходы за счет субвенции из областного бюджета на предоставление дополнительных мер социальной поддержки отдельным категориям граждан</t>
  </si>
  <si>
    <t>505  00 54</t>
  </si>
  <si>
    <t>Расходы за счет субвенций из областного бюджета на обеспечение мер социальной поддержки граждан, имеющих звание "Ветеран труда Челябинской области"</t>
  </si>
  <si>
    <t>505 00 60</t>
  </si>
  <si>
    <t>Обеспечение социальных выплат, установленных Уставом Миасского городского округа, решениями Собрания депутатов Миасского городского округа, Законами Челябинской области</t>
  </si>
  <si>
    <t>505 00 81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</si>
  <si>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(Закон Челябинской области "О дополнительных мерах социальной защиты ветеранов в Челябинской области", ежемесячная денежная выплата на оплату жилья и коммунальных услуг и единовременная денежная выплата на цели отопления)</t>
  </si>
  <si>
    <t>505 02 11</t>
  </si>
  <si>
    <t>Расходы за счет субвенций из областного бюджета на предоставление дополнительных мер социальной поддержки отдельным категориям граждан  (другие меры социальной защиты ветеранов в Челябинской области)</t>
  </si>
  <si>
    <t>505 02 12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</si>
  <si>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</si>
  <si>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505 22 05</t>
  </si>
  <si>
    <t>Обеспечение мер социальной поддержки для лиц, награжденных знаком "Почетный донор СССР", "Почетный донор России"</t>
  </si>
  <si>
    <t>505 29 01</t>
  </si>
  <si>
    <t>от 27.05.2011 №3</t>
  </si>
  <si>
    <t>от 27.05.2011г.  №3</t>
  </si>
  <si>
    <t xml:space="preserve">от 27.05.2011 г.№3  </t>
  </si>
  <si>
    <t xml:space="preserve">от 27.05.2011 г.№3 </t>
  </si>
  <si>
    <t>Подпрограмма "Предоставление работникам бюджетной сферы безвозмездных субсидий на приобретение или стр-во жилья"</t>
  </si>
  <si>
    <t>522 19 15</t>
  </si>
  <si>
    <t>Программа "Осуществление дополнительных мер социальной поддержки населения МГО в части проезда в городском и пригородном транспорте общего пользования" на 2010 год</t>
  </si>
  <si>
    <t>795 00 65</t>
  </si>
  <si>
    <t>068</t>
  </si>
  <si>
    <t>795 19 14</t>
  </si>
  <si>
    <t>Подпрограмма "Предоставление работникам бюджетной сферы социальных выплат на приобретение или стр-во жилья"</t>
  </si>
  <si>
    <t>795 19 15</t>
  </si>
  <si>
    <t>Охрана семьи и детства</t>
  </si>
  <si>
    <t>Выплата единовременного пособия при всех формах устройства детей,лишенных родительского попечения, в семью</t>
  </si>
  <si>
    <t>505 05 02</t>
  </si>
  <si>
    <t>Иные  безвозмездные и безвозвратные перечисления</t>
  </si>
  <si>
    <t>Компенсация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</si>
  <si>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520 10 00 </t>
  </si>
  <si>
    <t>Расходы за счет субвенций из областного бюджета на компенсацию в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</t>
  </si>
  <si>
    <t xml:space="preserve">520 10 41 </t>
  </si>
  <si>
    <t xml:space="preserve">Содержание ребенка в семье опекуна и приемной семье, а также оплата труда приемного родителя </t>
  </si>
  <si>
    <t>520 13 00</t>
  </si>
  <si>
    <t>Расходы за счет субвенций из областного бюджета на выплату денежных средств на содержание ребенка в семье опекуна и приемной семье, оплату труда приемного родителя, а также на предоставление дополнительных гарантий</t>
  </si>
  <si>
    <t>Выплаты приемной семье на содержание подопечных детей</t>
  </si>
  <si>
    <t>520 13 11</t>
  </si>
  <si>
    <t>Содержание ребенка в семье опекуна и приемной семье, а также оплата труда приемного родителя</t>
  </si>
  <si>
    <t>909</t>
  </si>
  <si>
    <t>Оплата труда приемного родителя</t>
  </si>
  <si>
    <t>520 13 12</t>
  </si>
  <si>
    <t>Выплаты семьям опекунов на содержание подопечных детей</t>
  </si>
  <si>
    <t>520 13 13</t>
  </si>
  <si>
    <t>520 13 20</t>
  </si>
  <si>
    <t>Выплата денежных средств на реализацию права бесплатного проезда и содержание детей, находящихся под опекой (попечительством), а также на оплату труда приемного родителя</t>
  </si>
  <si>
    <t>Другие вопросы в области социальной политики</t>
  </si>
  <si>
    <t xml:space="preserve">Организация работы органов управления социальной защиты населения муниципальных образований </t>
  </si>
  <si>
    <t>002 04 46</t>
  </si>
  <si>
    <t>Расходы на обеспечение деятельности по предоставлению гражданам субсидий</t>
  </si>
  <si>
    <t>002 04 34</t>
  </si>
  <si>
    <t>Расходы за счет субвенции из областного бюджета на организацию и осуществление деятельности по опеке и попечительству</t>
  </si>
  <si>
    <t>002 04 44</t>
  </si>
  <si>
    <t>002 04 74</t>
  </si>
  <si>
    <t>Реформирование региональных и муниципальных финансов</t>
  </si>
  <si>
    <t>518 00 00</t>
  </si>
  <si>
    <t>Реформирование муниципальных финансов</t>
  </si>
  <si>
    <t>518 02 00</t>
  </si>
  <si>
    <t>Обеспечение выплаты заработной платы работникам бюджетных учреждений в соответствии с федеральным законодательством о минимальном размере оплаты труда, в связи с реформированием системы оплаты труда работников муниципальных бюджетных учреждений</t>
  </si>
  <si>
    <t>518 02 42</t>
  </si>
  <si>
    <t>ВСЕГО РАСХОДОВ</t>
  </si>
  <si>
    <t>ПРОФИЦИТ БЮДЖЕТА (со знаком "плюс") или ДЕФИЦИТ БЮДЖЕТА (со знаком "минус")</t>
  </si>
  <si>
    <t xml:space="preserve"> ИСТОЧНИКИ ВНУТРЕННЕГО ФИНАНСИРОВАНИЯ</t>
  </si>
  <si>
    <t>000</t>
  </si>
  <si>
    <t>000 00 00</t>
  </si>
  <si>
    <t>Бюджетные кредиты от других бюджетов бюджетной  системы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</si>
  <si>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</si>
  <si>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000 04 00</t>
  </si>
  <si>
    <t>700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</si>
  <si>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</si>
  <si>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800</t>
  </si>
  <si>
    <t>Продажа земельных участков, находящихся в государственной и муниципальной собственности</t>
  </si>
  <si>
    <t>Остатки средств бюджетов</t>
  </si>
  <si>
    <t>010 00 00</t>
  </si>
  <si>
    <t>Иные источники внутреннего финансирования  дефицитов бюджетов</t>
  </si>
  <si>
    <t xml:space="preserve"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</t>
  </si>
  <si>
    <t xml:space="preserve">040 00 40  </t>
  </si>
  <si>
    <t>Возврат бюджетных кредитов, предоставленных  юридическим лицам из бюджетов городских  округов в валюте Российской Федерации</t>
  </si>
  <si>
    <t xml:space="preserve">050 10 40  </t>
  </si>
  <si>
    <t>Приложение 4</t>
  </si>
  <si>
    <t xml:space="preserve"> </t>
  </si>
  <si>
    <t>ВЕДОМСТВЕННАЯ СТРУКТУРА</t>
  </si>
  <si>
    <t xml:space="preserve">РАСХОДОВ  БЮДЖЕТА  МИАССКОГО ГОРОДСКОГО ОКРУГА </t>
  </si>
  <si>
    <t>НА 2010 ГОД</t>
  </si>
  <si>
    <t>Главные распорядители, наименование БК</t>
  </si>
  <si>
    <t>на 2010 год                 (тыс. руб.)</t>
  </si>
  <si>
    <t>за 2010 года                (тыс. руб.)</t>
  </si>
  <si>
    <t xml:space="preserve"> Собрание депутатов Миасского городского округа</t>
  </si>
  <si>
    <t>291</t>
  </si>
  <si>
    <t>Контрольно - Счетная палата Миасского городского округа</t>
  </si>
  <si>
    <t>292</t>
  </si>
  <si>
    <t>Администрация Миасского городского округа</t>
  </si>
  <si>
    <t>283</t>
  </si>
  <si>
    <t>Расходы за счет субвенций из областного бюджета на образование и организацию деятельности административных комиссий</t>
  </si>
  <si>
    <t>002 04 54</t>
  </si>
  <si>
    <t>Обеспечение деятельности финансовых, налоговых и таможенных органов и органов надзора</t>
  </si>
  <si>
    <t>Воинские формирования</t>
  </si>
  <si>
    <t>Обеспечение функционирования органов в сфере национальной безопасности и правоохранительной деятельности</t>
  </si>
  <si>
    <t>2020000</t>
  </si>
  <si>
    <t>253</t>
  </si>
  <si>
    <t>423 00 00</t>
  </si>
  <si>
    <t>Областная целевая программа "Развитие дошкольного образования в Челябинской области" на 2006-2010 годы</t>
  </si>
  <si>
    <t>Другие вопросы в области культуры, кинематографии, средств массовой информации</t>
  </si>
  <si>
    <t>Здравоохранение, физическая культура  и спорт</t>
  </si>
  <si>
    <t>Больницы, клиники, госпитали, МСЧ</t>
  </si>
  <si>
    <t>506 00 00</t>
  </si>
  <si>
    <t>327</t>
  </si>
  <si>
    <t>505 33 00</t>
  </si>
  <si>
    <t>Обеспечение жилыми помещениями дете-сирот, детей, оставшихся без попечения родителей, атакже детей, находящихся под опекой (попечительством), не имеющих закрепленного жилого помещения</t>
  </si>
  <si>
    <t>505 85 00</t>
  </si>
  <si>
    <t>Областная целевая программа реализации национального проекта "Доступное и комфортное жилье  - гражданам России" в Челябинской области на 2008-2010гг. за счет субсидии из областного бюджета"</t>
  </si>
  <si>
    <t>Подпрграмма "Предоставление работникам бюджетной сферы социальных выплат на приобретение или строительство жилья"</t>
  </si>
  <si>
    <t xml:space="preserve">Финансовое управление Администрации Миасского городского округа </t>
  </si>
  <si>
    <t>284</t>
  </si>
  <si>
    <t>Управление социальной защиты населения Администрации Миасского городского округа</t>
  </si>
  <si>
    <t>285</t>
  </si>
  <si>
    <t>Расходы за счет субвенции из областного бюджета на обеспечение мер социальной поддержки граждан, имеющих звание "Ветерана труда Челябинской области" (ежеквартальные денежные выплаты на оплату проезда)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</si>
</sst>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?"/>
  </numFmts>
  <fonts count="28">
    <font>
      <sz val="10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sz val="9"/>
      <name val="Arial Cyr"/>
      <family val="2"/>
    </font>
    <font>
      <b/>
      <sz val="11"/>
      <name val="Arial Cyr"/>
      <family val="0"/>
    </font>
    <font>
      <sz val="12"/>
      <name val="Arial Cyr"/>
      <family val="2"/>
    </font>
    <font>
      <sz val="11"/>
      <color indexed="8"/>
      <name val="Arial"/>
      <family val="2"/>
    </font>
    <font>
      <sz val="11"/>
      <name val="Arial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1"/>
      <color indexed="8"/>
      <name val="Arial Cyr"/>
      <family val="0"/>
    </font>
    <font>
      <sz val="12"/>
      <name val="Arial"/>
      <family val="2"/>
    </font>
    <font>
      <i/>
      <sz val="10"/>
      <name val="Arial"/>
      <family val="2"/>
    </font>
    <font>
      <sz val="8"/>
      <name val="Arial Cyr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MS Sans Serif"/>
      <family val="2"/>
    </font>
    <font>
      <b/>
      <sz val="10"/>
      <name val="MS Sans Serif"/>
      <family val="2"/>
    </font>
    <font>
      <sz val="9"/>
      <name val="Arial Narrow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color indexed="8"/>
      <name val="MS Sans Serif"/>
      <family val="2"/>
    </font>
    <font>
      <sz val="10"/>
      <color indexed="8"/>
      <name val="Arial Cyr"/>
      <family val="0"/>
    </font>
    <font>
      <b/>
      <sz val="8.5"/>
      <name val="MS Sans Serif"/>
      <family val="2"/>
    </font>
    <font>
      <sz val="8.5"/>
      <name val="MS Sans Serif"/>
      <family val="2"/>
    </font>
    <font>
      <sz val="8.5"/>
      <color indexed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4" fillId="0" borderId="5" xfId="0" applyFont="1" applyBorder="1" applyAlignment="1">
      <alignment/>
    </xf>
    <xf numFmtId="49" fontId="5" fillId="0" borderId="6" xfId="0" applyNumberFormat="1" applyFont="1" applyBorder="1" applyAlignment="1">
      <alignment vertical="justify"/>
    </xf>
    <xf numFmtId="0" fontId="5" fillId="0" borderId="7" xfId="0" applyFont="1" applyBorder="1" applyAlignment="1">
      <alignment vertical="justify"/>
    </xf>
    <xf numFmtId="0" fontId="5" fillId="0" borderId="8" xfId="0" applyFont="1" applyBorder="1" applyAlignment="1">
      <alignment vertical="justify"/>
    </xf>
    <xf numFmtId="0" fontId="0" fillId="0" borderId="9" xfId="0" applyFill="1" applyBorder="1" applyAlignment="1">
      <alignment horizontal="center" vertical="justify"/>
    </xf>
    <xf numFmtId="0" fontId="0" fillId="0" borderId="9" xfId="0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14" xfId="0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center" wrapText="1"/>
    </xf>
    <xf numFmtId="4" fontId="0" fillId="2" borderId="0" xfId="0" applyNumberFormat="1" applyFill="1" applyAlignment="1">
      <alignment/>
    </xf>
    <xf numFmtId="0" fontId="0" fillId="2" borderId="0" xfId="0" applyFill="1" applyAlignment="1">
      <alignment/>
    </xf>
    <xf numFmtId="0" fontId="4" fillId="0" borderId="14" xfId="0" applyFont="1" applyBorder="1" applyAlignment="1">
      <alignment vertical="center" wrapText="1"/>
    </xf>
    <xf numFmtId="49" fontId="4" fillId="0" borderId="15" xfId="0" applyNumberFormat="1" applyFont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14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0" fillId="0" borderId="0" xfId="0" applyFill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vertical="center" wrapText="1"/>
    </xf>
    <xf numFmtId="49" fontId="6" fillId="0" borderId="15" xfId="0" applyNumberFormat="1" applyFont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vertical="center" wrapText="1"/>
    </xf>
    <xf numFmtId="164" fontId="7" fillId="0" borderId="17" xfId="0" applyNumberFormat="1" applyFont="1" applyFill="1" applyBorder="1" applyAlignment="1">
      <alignment horizontal="center" vertical="center" wrapText="1"/>
    </xf>
    <xf numFmtId="49" fontId="6" fillId="2" borderId="15" xfId="0" applyNumberFormat="1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49" fontId="11" fillId="2" borderId="15" xfId="0" applyNumberFormat="1" applyFont="1" applyFill="1" applyBorder="1" applyAlignment="1">
      <alignment vertical="center" wrapText="1"/>
    </xf>
    <xf numFmtId="4" fontId="11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lef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164" fontId="7" fillId="0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0" fontId="6" fillId="0" borderId="14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49" fontId="4" fillId="0" borderId="19" xfId="0" applyNumberFormat="1" applyFont="1" applyBorder="1" applyAlignment="1">
      <alignment vertical="center" wrapText="1"/>
    </xf>
    <xf numFmtId="49" fontId="9" fillId="0" borderId="14" xfId="0" applyNumberFormat="1" applyFont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vertical="center" wrapText="1"/>
    </xf>
    <xf numFmtId="49" fontId="10" fillId="0" borderId="15" xfId="0" applyNumberFormat="1" applyFont="1" applyFill="1" applyBorder="1" applyAlignment="1">
      <alignment vertical="center" wrapText="1"/>
    </xf>
    <xf numFmtId="4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9" fontId="9" fillId="0" borderId="19" xfId="0" applyNumberFormat="1" applyFont="1" applyBorder="1" applyAlignment="1">
      <alignment horizontal="center" vertical="center" wrapText="1"/>
    </xf>
    <xf numFmtId="164" fontId="13" fillId="0" borderId="17" xfId="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49" fontId="9" fillId="0" borderId="15" xfId="0" applyNumberFormat="1" applyFont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14" fillId="0" borderId="15" xfId="0" applyNumberFormat="1" applyFont="1" applyBorder="1" applyAlignment="1">
      <alignment horizontal="justify" vertical="center" wrapText="1"/>
    </xf>
    <xf numFmtId="49" fontId="9" fillId="0" borderId="15" xfId="0" applyNumberFormat="1" applyFont="1" applyBorder="1" applyAlignment="1">
      <alignment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/>
    </xf>
    <xf numFmtId="0" fontId="9" fillId="0" borderId="0" xfId="0" applyFont="1" applyAlignment="1">
      <alignment/>
    </xf>
    <xf numFmtId="49" fontId="4" fillId="2" borderId="15" xfId="0" applyNumberFormat="1" applyFont="1" applyFill="1" applyBorder="1" applyAlignment="1">
      <alignment vertical="center" wrapText="1"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vertical="center" wrapText="1"/>
    </xf>
    <xf numFmtId="49" fontId="10" fillId="0" borderId="16" xfId="0" applyNumberFormat="1" applyFont="1" applyFill="1" applyBorder="1" applyAlignment="1">
      <alignment horizontal="center" vertical="center" wrapText="1"/>
    </xf>
    <xf numFmtId="164" fontId="10" fillId="0" borderId="17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49" fontId="6" fillId="0" borderId="15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165" fontId="7" fillId="0" borderId="17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2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49" fontId="10" fillId="0" borderId="15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4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vertical="center" wrapText="1"/>
    </xf>
    <xf numFmtId="0" fontId="4" fillId="0" borderId="14" xfId="0" applyNumberFormat="1" applyFont="1" applyBorder="1" applyAlignment="1">
      <alignment vertical="center" wrapText="1"/>
    </xf>
    <xf numFmtId="4" fontId="0" fillId="0" borderId="0" xfId="0" applyNumberFormat="1" applyFon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left" wrapText="1"/>
    </xf>
    <xf numFmtId="49" fontId="4" fillId="0" borderId="15" xfId="0" applyNumberFormat="1" applyFont="1" applyBorder="1" applyAlignment="1">
      <alignment horizontal="left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164" fontId="7" fillId="0" borderId="17" xfId="0" applyNumberFormat="1" applyFont="1" applyFill="1" applyBorder="1" applyAlignment="1">
      <alignment horizontal="center"/>
    </xf>
    <xf numFmtId="164" fontId="7" fillId="0" borderId="23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vertical="justify"/>
    </xf>
    <xf numFmtId="49" fontId="6" fillId="0" borderId="7" xfId="0" applyNumberFormat="1" applyFont="1" applyBorder="1" applyAlignment="1">
      <alignment/>
    </xf>
    <xf numFmtId="49" fontId="6" fillId="0" borderId="7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/>
    </xf>
    <xf numFmtId="164" fontId="3" fillId="0" borderId="24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wrapText="1"/>
    </xf>
    <xf numFmtId="49" fontId="0" fillId="0" borderId="7" xfId="0" applyNumberFormat="1" applyBorder="1" applyAlignment="1">
      <alignment/>
    </xf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/>
    </xf>
    <xf numFmtId="164" fontId="3" fillId="0" borderId="9" xfId="0" applyNumberFormat="1" applyFont="1" applyFill="1" applyBorder="1" applyAlignment="1">
      <alignment horizontal="center"/>
    </xf>
    <xf numFmtId="164" fontId="3" fillId="0" borderId="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justify" wrapText="1"/>
    </xf>
    <xf numFmtId="49" fontId="0" fillId="0" borderId="25" xfId="0" applyNumberFormat="1" applyBorder="1" applyAlignment="1">
      <alignment/>
    </xf>
    <xf numFmtId="49" fontId="0" fillId="0" borderId="25" xfId="0" applyNumberFormat="1" applyBorder="1" applyAlignment="1">
      <alignment horizontal="center"/>
    </xf>
    <xf numFmtId="49" fontId="0" fillId="0" borderId="2" xfId="0" applyNumberFormat="1" applyBorder="1" applyAlignment="1">
      <alignment/>
    </xf>
    <xf numFmtId="164" fontId="7" fillId="0" borderId="4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left" vertical="justify" wrapText="1"/>
    </xf>
    <xf numFmtId="49" fontId="0" fillId="0" borderId="26" xfId="0" applyNumberFormat="1" applyBorder="1" applyAlignment="1">
      <alignment horizontal="center"/>
    </xf>
    <xf numFmtId="164" fontId="7" fillId="0" borderId="9" xfId="0" applyNumberFormat="1" applyFont="1" applyFill="1" applyBorder="1" applyAlignment="1">
      <alignment horizontal="center"/>
    </xf>
    <xf numFmtId="164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justify" wrapText="1"/>
    </xf>
    <xf numFmtId="49" fontId="0" fillId="0" borderId="11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165" fontId="7" fillId="0" borderId="17" xfId="0" applyNumberFormat="1" applyFont="1" applyFill="1" applyBorder="1" applyAlignment="1">
      <alignment horizontal="center"/>
    </xf>
    <xf numFmtId="165" fontId="7" fillId="0" borderId="17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justify" wrapText="1"/>
    </xf>
    <xf numFmtId="49" fontId="0" fillId="0" borderId="15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4" fillId="0" borderId="10" xfId="0" applyFont="1" applyBorder="1" applyAlignment="1">
      <alignment horizontal="left" vertical="justify" wrapText="1"/>
    </xf>
    <xf numFmtId="165" fontId="7" fillId="0" borderId="13" xfId="0" applyNumberFormat="1" applyFont="1" applyFill="1" applyBorder="1" applyAlignment="1">
      <alignment horizontal="center"/>
    </xf>
    <xf numFmtId="165" fontId="7" fillId="0" borderId="1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4" fillId="0" borderId="20" xfId="0" applyFont="1" applyBorder="1" applyAlignment="1">
      <alignment vertical="top" wrapText="1"/>
    </xf>
    <xf numFmtId="49" fontId="0" fillId="0" borderId="21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165" fontId="7" fillId="0" borderId="23" xfId="0" applyNumberFormat="1" applyFont="1" applyFill="1" applyBorder="1" applyAlignment="1">
      <alignment horizontal="center"/>
    </xf>
    <xf numFmtId="165" fontId="7" fillId="0" borderId="23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justify"/>
    </xf>
    <xf numFmtId="0" fontId="9" fillId="0" borderId="14" xfId="0" applyNumberFormat="1" applyFont="1" applyBorder="1" applyAlignment="1">
      <alignment vertical="justify"/>
    </xf>
    <xf numFmtId="0" fontId="0" fillId="0" borderId="15" xfId="0" applyBorder="1" applyAlignment="1">
      <alignment horizontal="center"/>
    </xf>
    <xf numFmtId="0" fontId="0" fillId="0" borderId="28" xfId="0" applyBorder="1" applyAlignment="1">
      <alignment horizontal="center"/>
    </xf>
    <xf numFmtId="0" fontId="4" fillId="0" borderId="30" xfId="0" applyFont="1" applyBorder="1" applyAlignment="1">
      <alignment vertical="justify"/>
    </xf>
    <xf numFmtId="49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164" fontId="7" fillId="0" borderId="33" xfId="0" applyNumberFormat="1" applyFont="1" applyFill="1" applyBorder="1" applyAlignment="1">
      <alignment horizontal="center"/>
    </xf>
    <xf numFmtId="164" fontId="7" fillId="0" borderId="3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9" fontId="4" fillId="0" borderId="34" xfId="0" applyNumberFormat="1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49" fontId="5" fillId="0" borderId="20" xfId="0" applyNumberFormat="1" applyFont="1" applyBorder="1" applyAlignment="1">
      <alignment vertical="justify"/>
    </xf>
    <xf numFmtId="0" fontId="5" fillId="0" borderId="38" xfId="0" applyFont="1" applyBorder="1" applyAlignment="1">
      <alignment vertical="justify"/>
    </xf>
    <xf numFmtId="0" fontId="5" fillId="0" borderId="39" xfId="0" applyFont="1" applyBorder="1" applyAlignment="1">
      <alignment vertical="justify"/>
    </xf>
    <xf numFmtId="0" fontId="6" fillId="0" borderId="40" xfId="0" applyFont="1" applyBorder="1" applyAlignment="1">
      <alignment vertical="center" wrapText="1"/>
    </xf>
    <xf numFmtId="49" fontId="6" fillId="0" borderId="41" xfId="0" applyNumberFormat="1" applyFont="1" applyBorder="1" applyAlignment="1">
      <alignment vertical="center" wrapText="1"/>
    </xf>
    <xf numFmtId="0" fontId="4" fillId="0" borderId="41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164" fontId="3" fillId="0" borderId="42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 wrapText="1"/>
    </xf>
    <xf numFmtId="164" fontId="13" fillId="0" borderId="17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165" fontId="7" fillId="0" borderId="17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49" fontId="9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 wrapText="1"/>
    </xf>
    <xf numFmtId="164" fontId="7" fillId="0" borderId="23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wrapText="1"/>
    </xf>
    <xf numFmtId="49" fontId="6" fillId="0" borderId="7" xfId="0" applyNumberFormat="1" applyFont="1" applyBorder="1" applyAlignment="1">
      <alignment vertical="center" wrapText="1"/>
    </xf>
    <xf numFmtId="49" fontId="6" fillId="0" borderId="7" xfId="0" applyNumberFormat="1" applyFont="1" applyFill="1" applyBorder="1" applyAlignment="1">
      <alignment horizontal="center" vertical="center" wrapText="1"/>
    </xf>
    <xf numFmtId="49" fontId="6" fillId="0" borderId="8" xfId="0" applyNumberFormat="1" applyFont="1" applyFill="1" applyBorder="1" applyAlignment="1">
      <alignment horizontal="center" vertic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left" wrapText="1"/>
    </xf>
    <xf numFmtId="49" fontId="0" fillId="0" borderId="44" xfId="0" applyNumberFormat="1" applyBorder="1" applyAlignment="1">
      <alignment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/>
    </xf>
    <xf numFmtId="166" fontId="5" fillId="0" borderId="0" xfId="18" applyNumberFormat="1" applyFont="1" applyAlignment="1">
      <alignment horizontal="right" vertical="center"/>
    </xf>
    <xf numFmtId="166" fontId="15" fillId="0" borderId="0" xfId="18" applyNumberFormat="1" applyFont="1" applyAlignment="1">
      <alignment horizontal="right" vertical="center"/>
    </xf>
    <xf numFmtId="0" fontId="17" fillId="0" borderId="0" xfId="0" applyFont="1" applyAlignment="1">
      <alignment/>
    </xf>
    <xf numFmtId="0" fontId="0" fillId="0" borderId="0" xfId="0" applyAlignment="1">
      <alignment horizontal="right"/>
    </xf>
    <xf numFmtId="49" fontId="18" fillId="0" borderId="15" xfId="0" applyNumberFormat="1" applyFont="1" applyBorder="1" applyAlignment="1">
      <alignment horizontal="center" vertical="center" wrapText="1"/>
    </xf>
    <xf numFmtId="164" fontId="19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0" fillId="0" borderId="16" xfId="0" applyNumberFormat="1" applyFont="1" applyBorder="1" applyAlignment="1">
      <alignment horizontal="left" vertical="center" wrapText="1"/>
    </xf>
    <xf numFmtId="49" fontId="20" fillId="0" borderId="22" xfId="0" applyNumberFormat="1" applyFont="1" applyBorder="1" applyAlignment="1">
      <alignment horizontal="center" vertical="center" wrapText="1"/>
    </xf>
    <xf numFmtId="49" fontId="20" fillId="0" borderId="46" xfId="0" applyNumberFormat="1" applyFont="1" applyBorder="1" applyAlignment="1">
      <alignment horizontal="center" vertical="center" wrapText="1"/>
    </xf>
    <xf numFmtId="49" fontId="20" fillId="0" borderId="47" xfId="0" applyNumberFormat="1" applyFont="1" applyBorder="1" applyAlignment="1">
      <alignment horizontal="center" vertical="center" wrapText="1"/>
    </xf>
    <xf numFmtId="164" fontId="20" fillId="0" borderId="19" xfId="0" applyNumberFormat="1" applyFont="1" applyBorder="1" applyAlignment="1">
      <alignment horizontal="center" vertical="center" wrapText="1"/>
    </xf>
    <xf numFmtId="167" fontId="20" fillId="0" borderId="16" xfId="0" applyNumberFormat="1" applyFont="1" applyBorder="1" applyAlignment="1">
      <alignment horizontal="left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4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39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4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1" fillId="0" borderId="0" xfId="0" applyFont="1" applyFill="1" applyAlignment="1">
      <alignment horizontal="right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6" fillId="0" borderId="0" xfId="0" applyFont="1" applyAlignment="1">
      <alignment wrapText="1"/>
    </xf>
    <xf numFmtId="0" fontId="6" fillId="0" borderId="50" xfId="0" applyFont="1" applyBorder="1" applyAlignment="1">
      <alignment/>
    </xf>
    <xf numFmtId="164" fontId="21" fillId="0" borderId="15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left" vertical="center" wrapText="1"/>
    </xf>
    <xf numFmtId="49" fontId="22" fillId="0" borderId="15" xfId="0" applyNumberFormat="1" applyFont="1" applyBorder="1" applyAlignment="1">
      <alignment horizontal="center" vertical="center"/>
    </xf>
    <xf numFmtId="164" fontId="22" fillId="0" borderId="15" xfId="0" applyNumberFormat="1" applyFont="1" applyBorder="1" applyAlignment="1">
      <alignment horizontal="center" vertical="center"/>
    </xf>
    <xf numFmtId="49" fontId="15" fillId="0" borderId="15" xfId="0" applyNumberFormat="1" applyFont="1" applyBorder="1" applyAlignment="1">
      <alignment horizontal="left" vertical="center" wrapText="1"/>
    </xf>
    <xf numFmtId="49" fontId="15" fillId="0" borderId="15" xfId="0" applyNumberFormat="1" applyFont="1" applyBorder="1" applyAlignment="1">
      <alignment horizontal="center" vertical="center"/>
    </xf>
    <xf numFmtId="164" fontId="15" fillId="0" borderId="15" xfId="0" applyNumberFormat="1" applyFont="1" applyBorder="1" applyAlignment="1">
      <alignment horizontal="center" vertical="center"/>
    </xf>
    <xf numFmtId="167" fontId="15" fillId="0" borderId="15" xfId="0" applyNumberFormat="1" applyFont="1" applyBorder="1" applyAlignment="1">
      <alignment horizontal="left" vertical="center" wrapText="1"/>
    </xf>
    <xf numFmtId="0" fontId="15" fillId="0" borderId="15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left" vertical="center"/>
    </xf>
    <xf numFmtId="49" fontId="25" fillId="0" borderId="15" xfId="0" applyNumberFormat="1" applyFont="1" applyFill="1" applyBorder="1" applyAlignment="1">
      <alignment horizontal="left" vertical="center" wrapText="1"/>
    </xf>
    <xf numFmtId="49" fontId="25" fillId="0" borderId="15" xfId="0" applyNumberFormat="1" applyFont="1" applyFill="1" applyBorder="1" applyAlignment="1">
      <alignment horizontal="center" vertical="center"/>
    </xf>
    <xf numFmtId="164" fontId="25" fillId="0" borderId="15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49" fontId="26" fillId="0" borderId="15" xfId="0" applyNumberFormat="1" applyFont="1" applyFill="1" applyBorder="1" applyAlignment="1">
      <alignment horizontal="left" vertical="center" wrapText="1"/>
    </xf>
    <xf numFmtId="49" fontId="26" fillId="0" borderId="15" xfId="0" applyNumberFormat="1" applyFont="1" applyFill="1" applyBorder="1" applyAlignment="1">
      <alignment horizontal="center" vertical="center"/>
    </xf>
    <xf numFmtId="164" fontId="26" fillId="0" borderId="15" xfId="0" applyNumberFormat="1" applyFont="1" applyFill="1" applyBorder="1" applyAlignment="1">
      <alignment vertical="center"/>
    </xf>
    <xf numFmtId="4" fontId="26" fillId="0" borderId="15" xfId="0" applyNumberFormat="1" applyFont="1" applyFill="1" applyBorder="1" applyAlignment="1">
      <alignment horizontal="left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" fontId="26" fillId="0" borderId="21" xfId="0" applyNumberFormat="1" applyFont="1" applyFill="1" applyBorder="1" applyAlignment="1">
      <alignment horizontal="left" vertical="center" wrapText="1"/>
    </xf>
    <xf numFmtId="164" fontId="26" fillId="0" borderId="19" xfId="0" applyNumberFormat="1" applyFont="1" applyFill="1" applyBorder="1" applyAlignment="1">
      <alignment vertical="center"/>
    </xf>
    <xf numFmtId="4" fontId="26" fillId="0" borderId="11" xfId="0" applyNumberFormat="1" applyFont="1" applyFill="1" applyBorder="1" applyAlignment="1">
      <alignment horizontal="left" vertical="center" wrapText="1"/>
    </xf>
    <xf numFmtId="164" fontId="26" fillId="0" borderId="15" xfId="0" applyNumberFormat="1" applyFont="1" applyFill="1" applyBorder="1" applyAlignment="1">
      <alignment horizontal="right" vertical="center"/>
    </xf>
    <xf numFmtId="4" fontId="26" fillId="0" borderId="15" xfId="0" applyNumberFormat="1" applyFont="1" applyFill="1" applyBorder="1" applyAlignment="1">
      <alignment vertical="center"/>
    </xf>
    <xf numFmtId="167" fontId="26" fillId="0" borderId="15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6" fillId="0" borderId="0" xfId="0" applyFont="1" applyFill="1" applyAlignment="1">
      <alignment/>
    </xf>
    <xf numFmtId="4" fontId="27" fillId="0" borderId="15" xfId="0" applyNumberFormat="1" applyFont="1" applyFill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49" fontId="18" fillId="0" borderId="47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left" vertical="center" wrapText="1"/>
    </xf>
    <xf numFmtId="49" fontId="18" fillId="0" borderId="48" xfId="0" applyNumberFormat="1" applyFont="1" applyBorder="1" applyAlignment="1">
      <alignment horizontal="left" vertical="center" wrapText="1"/>
    </xf>
    <xf numFmtId="49" fontId="18" fillId="0" borderId="19" xfId="0" applyNumberFormat="1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49" fontId="21" fillId="0" borderId="16" xfId="0" applyNumberFormat="1" applyFont="1" applyBorder="1" applyAlignment="1">
      <alignment horizontal="left" vertical="center" wrapText="1"/>
    </xf>
    <xf numFmtId="49" fontId="21" fillId="0" borderId="19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5" fillId="0" borderId="0" xfId="0" applyFont="1" applyFill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561975</xdr:colOff>
      <xdr:row>23</xdr:row>
      <xdr:rowOff>0</xdr:rowOff>
    </xdr:from>
    <xdr:ext cx="6191250" cy="0"/>
    <xdr:grpSp>
      <xdr:nvGrpSpPr>
        <xdr:cNvPr id="1" name="Group 1"/>
        <xdr:cNvGrpSpPr>
          <a:grpSpLocks/>
        </xdr:cNvGrpSpPr>
      </xdr:nvGrpSpPr>
      <xdr:grpSpPr>
        <a:xfrm>
          <a:off x="25126950" y="4343400"/>
          <a:ext cx="6191250" cy="0"/>
          <a:chOff x="1" y="744"/>
          <a:chExt cx="578" cy="33"/>
        </a:xfrm>
        <a:solidFill>
          <a:srgbClr val="FFFFFF"/>
        </a:solidFill>
      </xdr:grpSpPr>
      <xdr:sp>
        <xdr:nvSpPr>
          <xdr:cNvPr id="2" name="558"/>
          <xdr:cNvSpPr>
            <a:spLocks/>
          </xdr:cNvSpPr>
        </xdr:nvSpPr>
        <xdr:spPr>
          <a:xfrm>
            <a:off x="1" y="744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ОФР</a:t>
            </a:r>
          </a:p>
        </xdr:txBody>
      </xdr:sp>
      <xdr:sp>
        <xdr:nvSpPr>
          <xdr:cNvPr id="3" name="559"/>
          <xdr:cNvSpPr>
            <a:spLocks/>
          </xdr:cNvSpPr>
        </xdr:nvSpPr>
        <xdr:spPr>
          <a:xfrm>
            <a:off x="239" y="744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560"/>
          <xdr:cNvSpPr>
            <a:spLocks/>
          </xdr:cNvSpPr>
        </xdr:nvSpPr>
        <xdr:spPr>
          <a:xfrm>
            <a:off x="375" y="744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Л.Е.</a:t>
            </a:r>
          </a:p>
        </xdr:txBody>
      </xdr:sp>
      <xdr:sp>
        <xdr:nvSpPr>
          <xdr:cNvPr id="5" name="564"/>
          <xdr:cNvSpPr>
            <a:spLocks/>
          </xdr:cNvSpPr>
        </xdr:nvSpPr>
        <xdr:spPr>
          <a:xfrm>
            <a:off x="239" y="761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565"/>
          <xdr:cNvSpPr>
            <a:spLocks/>
          </xdr:cNvSpPr>
        </xdr:nvSpPr>
        <xdr:spPr>
          <a:xfrm>
            <a:off x="375" y="761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566"/>
          <xdr:cNvSpPr>
            <a:spLocks/>
          </xdr:cNvSpPr>
        </xdr:nvSpPr>
        <xdr:spPr>
          <a:xfrm>
            <a:off x="239" y="761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567"/>
          <xdr:cNvSpPr>
            <a:spLocks/>
          </xdr:cNvSpPr>
        </xdr:nvSpPr>
        <xdr:spPr>
          <a:xfrm>
            <a:off x="375" y="761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18</xdr:col>
      <xdr:colOff>409575</xdr:colOff>
      <xdr:row>27</xdr:row>
      <xdr:rowOff>0</xdr:rowOff>
    </xdr:from>
    <xdr:ext cx="6191250" cy="0"/>
    <xdr:grpSp>
      <xdr:nvGrpSpPr>
        <xdr:cNvPr id="9" name="Group 9"/>
        <xdr:cNvGrpSpPr>
          <a:grpSpLocks/>
        </xdr:cNvGrpSpPr>
      </xdr:nvGrpSpPr>
      <xdr:grpSpPr>
        <a:xfrm>
          <a:off x="16059150" y="4343400"/>
          <a:ext cx="6191250" cy="0"/>
          <a:chOff x="1" y="801"/>
          <a:chExt cx="578" cy="33"/>
        </a:xfrm>
        <a:solidFill>
          <a:srgbClr val="FFFFFF"/>
        </a:solidFill>
      </xdr:grpSpPr>
      <xdr:sp>
        <xdr:nvSpPr>
          <xdr:cNvPr id="10" name="601"/>
          <xdr:cNvSpPr>
            <a:spLocks/>
          </xdr:cNvSpPr>
        </xdr:nvSpPr>
        <xdr:spPr>
          <a:xfrm>
            <a:off x="1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11" name="602"/>
          <xdr:cNvSpPr>
            <a:spLocks/>
          </xdr:cNvSpPr>
        </xdr:nvSpPr>
        <xdr:spPr>
          <a:xfrm>
            <a:off x="239" y="801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603"/>
          <xdr:cNvSpPr>
            <a:spLocks/>
          </xdr:cNvSpPr>
        </xdr:nvSpPr>
        <xdr:spPr>
          <a:xfrm>
            <a:off x="375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 Е.</a:t>
            </a:r>
          </a:p>
        </xdr:txBody>
      </xdr:sp>
      <xdr:sp>
        <xdr:nvSpPr>
          <xdr:cNvPr id="13" name="607"/>
          <xdr:cNvSpPr>
            <a:spLocks/>
          </xdr:cNvSpPr>
        </xdr:nvSpPr>
        <xdr:spPr>
          <a:xfrm>
            <a:off x="239" y="818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608"/>
          <xdr:cNvSpPr>
            <a:spLocks/>
          </xdr:cNvSpPr>
        </xdr:nvSpPr>
        <xdr:spPr>
          <a:xfrm>
            <a:off x="375" y="818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" name="609"/>
          <xdr:cNvSpPr>
            <a:spLocks/>
          </xdr:cNvSpPr>
        </xdr:nvSpPr>
        <xdr:spPr>
          <a:xfrm>
            <a:off x="239" y="818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610"/>
          <xdr:cNvSpPr>
            <a:spLocks/>
          </xdr:cNvSpPr>
        </xdr:nvSpPr>
        <xdr:spPr>
          <a:xfrm>
            <a:off x="375" y="818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31</xdr:col>
      <xdr:colOff>561975</xdr:colOff>
      <xdr:row>23</xdr:row>
      <xdr:rowOff>0</xdr:rowOff>
    </xdr:from>
    <xdr:ext cx="6191250" cy="0"/>
    <xdr:grpSp>
      <xdr:nvGrpSpPr>
        <xdr:cNvPr id="17" name="Group 17"/>
        <xdr:cNvGrpSpPr>
          <a:grpSpLocks/>
        </xdr:cNvGrpSpPr>
      </xdr:nvGrpSpPr>
      <xdr:grpSpPr>
        <a:xfrm>
          <a:off x="25126950" y="4343400"/>
          <a:ext cx="6191250" cy="0"/>
          <a:chOff x="1" y="744"/>
          <a:chExt cx="578" cy="33"/>
        </a:xfrm>
        <a:solidFill>
          <a:srgbClr val="FFFFFF"/>
        </a:solidFill>
      </xdr:grpSpPr>
      <xdr:sp>
        <xdr:nvSpPr>
          <xdr:cNvPr id="18" name="558"/>
          <xdr:cNvSpPr>
            <a:spLocks/>
          </xdr:cNvSpPr>
        </xdr:nvSpPr>
        <xdr:spPr>
          <a:xfrm>
            <a:off x="1" y="744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ОФР</a:t>
            </a:r>
          </a:p>
        </xdr:txBody>
      </xdr:sp>
      <xdr:sp>
        <xdr:nvSpPr>
          <xdr:cNvPr id="19" name="559"/>
          <xdr:cNvSpPr>
            <a:spLocks/>
          </xdr:cNvSpPr>
        </xdr:nvSpPr>
        <xdr:spPr>
          <a:xfrm>
            <a:off x="239" y="744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0" name="560"/>
          <xdr:cNvSpPr>
            <a:spLocks/>
          </xdr:cNvSpPr>
        </xdr:nvSpPr>
        <xdr:spPr>
          <a:xfrm>
            <a:off x="375" y="744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Л.Е.</a:t>
            </a:r>
          </a:p>
        </xdr:txBody>
      </xdr:sp>
      <xdr:sp>
        <xdr:nvSpPr>
          <xdr:cNvPr id="21" name="564"/>
          <xdr:cNvSpPr>
            <a:spLocks/>
          </xdr:cNvSpPr>
        </xdr:nvSpPr>
        <xdr:spPr>
          <a:xfrm>
            <a:off x="239" y="761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2" name="565"/>
          <xdr:cNvSpPr>
            <a:spLocks/>
          </xdr:cNvSpPr>
        </xdr:nvSpPr>
        <xdr:spPr>
          <a:xfrm>
            <a:off x="375" y="761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3" name="566"/>
          <xdr:cNvSpPr>
            <a:spLocks/>
          </xdr:cNvSpPr>
        </xdr:nvSpPr>
        <xdr:spPr>
          <a:xfrm>
            <a:off x="239" y="761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4" name="567"/>
          <xdr:cNvSpPr>
            <a:spLocks/>
          </xdr:cNvSpPr>
        </xdr:nvSpPr>
        <xdr:spPr>
          <a:xfrm>
            <a:off x="375" y="761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18</xdr:col>
      <xdr:colOff>409575</xdr:colOff>
      <xdr:row>27</xdr:row>
      <xdr:rowOff>0</xdr:rowOff>
    </xdr:from>
    <xdr:ext cx="6191250" cy="0"/>
    <xdr:grpSp>
      <xdr:nvGrpSpPr>
        <xdr:cNvPr id="25" name="Group 25"/>
        <xdr:cNvGrpSpPr>
          <a:grpSpLocks/>
        </xdr:cNvGrpSpPr>
      </xdr:nvGrpSpPr>
      <xdr:grpSpPr>
        <a:xfrm>
          <a:off x="16059150" y="4343400"/>
          <a:ext cx="6191250" cy="0"/>
          <a:chOff x="1" y="801"/>
          <a:chExt cx="578" cy="33"/>
        </a:xfrm>
        <a:solidFill>
          <a:srgbClr val="FFFFFF"/>
        </a:solidFill>
      </xdr:grpSpPr>
      <xdr:sp>
        <xdr:nvSpPr>
          <xdr:cNvPr id="26" name="601"/>
          <xdr:cNvSpPr>
            <a:spLocks/>
          </xdr:cNvSpPr>
        </xdr:nvSpPr>
        <xdr:spPr>
          <a:xfrm>
            <a:off x="1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Исполнитель</a:t>
            </a:r>
          </a:p>
        </xdr:txBody>
      </xdr:sp>
      <xdr:sp>
        <xdr:nvSpPr>
          <xdr:cNvPr id="27" name="602"/>
          <xdr:cNvSpPr>
            <a:spLocks/>
          </xdr:cNvSpPr>
        </xdr:nvSpPr>
        <xdr:spPr>
          <a:xfrm>
            <a:off x="239" y="801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28" name="603"/>
          <xdr:cNvSpPr>
            <a:spLocks/>
          </xdr:cNvSpPr>
        </xdr:nvSpPr>
        <xdr:spPr>
          <a:xfrm>
            <a:off x="375" y="80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 Е.</a:t>
            </a:r>
          </a:p>
        </xdr:txBody>
      </xdr:sp>
      <xdr:sp>
        <xdr:nvSpPr>
          <xdr:cNvPr id="29" name="607"/>
          <xdr:cNvSpPr>
            <a:spLocks/>
          </xdr:cNvSpPr>
        </xdr:nvSpPr>
        <xdr:spPr>
          <a:xfrm>
            <a:off x="239" y="818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0" name="608"/>
          <xdr:cNvSpPr>
            <a:spLocks/>
          </xdr:cNvSpPr>
        </xdr:nvSpPr>
        <xdr:spPr>
          <a:xfrm>
            <a:off x="375" y="818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1" name="609"/>
          <xdr:cNvSpPr>
            <a:spLocks/>
          </xdr:cNvSpPr>
        </xdr:nvSpPr>
        <xdr:spPr>
          <a:xfrm>
            <a:off x="239" y="818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2" name="610"/>
          <xdr:cNvSpPr>
            <a:spLocks/>
          </xdr:cNvSpPr>
        </xdr:nvSpPr>
        <xdr:spPr>
          <a:xfrm>
            <a:off x="375" y="818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24</xdr:row>
      <xdr:rowOff>0</xdr:rowOff>
    </xdr:from>
    <xdr:ext cx="6191250" cy="0"/>
    <xdr:grpSp>
      <xdr:nvGrpSpPr>
        <xdr:cNvPr id="1" name="Group 1"/>
        <xdr:cNvGrpSpPr>
          <a:grpSpLocks/>
        </xdr:cNvGrpSpPr>
      </xdr:nvGrpSpPr>
      <xdr:grpSpPr>
        <a:xfrm>
          <a:off x="6048375" y="6124575"/>
          <a:ext cx="6191250" cy="0"/>
          <a:chOff x="1" y="744"/>
          <a:chExt cx="578" cy="33"/>
        </a:xfrm>
        <a:solidFill>
          <a:srgbClr val="FFFFFF"/>
        </a:solidFill>
      </xdr:grpSpPr>
      <xdr:sp>
        <xdr:nvSpPr>
          <xdr:cNvPr id="2" name="558"/>
          <xdr:cNvSpPr>
            <a:spLocks/>
          </xdr:cNvSpPr>
        </xdr:nvSpPr>
        <xdr:spPr>
          <a:xfrm>
            <a:off x="1" y="744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ОФР</a:t>
            </a:r>
          </a:p>
        </xdr:txBody>
      </xdr:sp>
      <xdr:sp>
        <xdr:nvSpPr>
          <xdr:cNvPr id="3" name="559"/>
          <xdr:cNvSpPr>
            <a:spLocks/>
          </xdr:cNvSpPr>
        </xdr:nvSpPr>
        <xdr:spPr>
          <a:xfrm>
            <a:off x="239" y="744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560"/>
          <xdr:cNvSpPr>
            <a:spLocks/>
          </xdr:cNvSpPr>
        </xdr:nvSpPr>
        <xdr:spPr>
          <a:xfrm>
            <a:off x="375" y="744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Л.Е.</a:t>
            </a:r>
          </a:p>
        </xdr:txBody>
      </xdr:sp>
      <xdr:sp>
        <xdr:nvSpPr>
          <xdr:cNvPr id="5" name="564"/>
          <xdr:cNvSpPr>
            <a:spLocks/>
          </xdr:cNvSpPr>
        </xdr:nvSpPr>
        <xdr:spPr>
          <a:xfrm>
            <a:off x="239" y="761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565"/>
          <xdr:cNvSpPr>
            <a:spLocks/>
          </xdr:cNvSpPr>
        </xdr:nvSpPr>
        <xdr:spPr>
          <a:xfrm>
            <a:off x="375" y="761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" name="566"/>
          <xdr:cNvSpPr>
            <a:spLocks/>
          </xdr:cNvSpPr>
        </xdr:nvSpPr>
        <xdr:spPr>
          <a:xfrm>
            <a:off x="239" y="761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567"/>
          <xdr:cNvSpPr>
            <a:spLocks/>
          </xdr:cNvSpPr>
        </xdr:nvSpPr>
        <xdr:spPr>
          <a:xfrm>
            <a:off x="375" y="761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4</xdr:col>
      <xdr:colOff>0</xdr:colOff>
      <xdr:row>24</xdr:row>
      <xdr:rowOff>0</xdr:rowOff>
    </xdr:from>
    <xdr:ext cx="6191250" cy="0"/>
    <xdr:grpSp>
      <xdr:nvGrpSpPr>
        <xdr:cNvPr id="9" name="Group 17"/>
        <xdr:cNvGrpSpPr>
          <a:grpSpLocks/>
        </xdr:cNvGrpSpPr>
      </xdr:nvGrpSpPr>
      <xdr:grpSpPr>
        <a:xfrm>
          <a:off x="6048375" y="6124575"/>
          <a:ext cx="6191250" cy="0"/>
          <a:chOff x="1" y="744"/>
          <a:chExt cx="578" cy="33"/>
        </a:xfrm>
        <a:solidFill>
          <a:srgbClr val="FFFFFF"/>
        </a:solidFill>
      </xdr:grpSpPr>
      <xdr:sp>
        <xdr:nvSpPr>
          <xdr:cNvPr id="10" name="558"/>
          <xdr:cNvSpPr>
            <a:spLocks/>
          </xdr:cNvSpPr>
        </xdr:nvSpPr>
        <xdr:spPr>
          <a:xfrm>
            <a:off x="1" y="744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ОФР</a:t>
            </a:r>
          </a:p>
        </xdr:txBody>
      </xdr:sp>
      <xdr:sp>
        <xdr:nvSpPr>
          <xdr:cNvPr id="11" name="559"/>
          <xdr:cNvSpPr>
            <a:spLocks/>
          </xdr:cNvSpPr>
        </xdr:nvSpPr>
        <xdr:spPr>
          <a:xfrm>
            <a:off x="239" y="744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2" name="560"/>
          <xdr:cNvSpPr>
            <a:spLocks/>
          </xdr:cNvSpPr>
        </xdr:nvSpPr>
        <xdr:spPr>
          <a:xfrm>
            <a:off x="375" y="744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Парфентьева Л.Е.</a:t>
            </a:r>
          </a:p>
        </xdr:txBody>
      </xdr:sp>
      <xdr:sp>
        <xdr:nvSpPr>
          <xdr:cNvPr id="13" name="564"/>
          <xdr:cNvSpPr>
            <a:spLocks/>
          </xdr:cNvSpPr>
        </xdr:nvSpPr>
        <xdr:spPr>
          <a:xfrm>
            <a:off x="239" y="761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565"/>
          <xdr:cNvSpPr>
            <a:spLocks/>
          </xdr:cNvSpPr>
        </xdr:nvSpPr>
        <xdr:spPr>
          <a:xfrm>
            <a:off x="375" y="761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5" name="566"/>
          <xdr:cNvSpPr>
            <a:spLocks/>
          </xdr:cNvSpPr>
        </xdr:nvSpPr>
        <xdr:spPr>
          <a:xfrm>
            <a:off x="239" y="761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567"/>
          <xdr:cNvSpPr>
            <a:spLocks/>
          </xdr:cNvSpPr>
        </xdr:nvSpPr>
        <xdr:spPr>
          <a:xfrm>
            <a:off x="375" y="761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0;%20&#1087;&#1086;&#1103;&#1089;&#1085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0;%20&#1091;&#1090;&#1086;&#1095;&#1085;&#1077;&#1085;&#1080;&#1102;%202008%20&#1075;&#1086;&#1076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дминистраторы доходов"/>
      <sheetName val="администраторы источники"/>
      <sheetName val="функцион."/>
      <sheetName val="ведомствен."/>
      <sheetName val="гарантии"/>
      <sheetName val="Заимствов."/>
      <sheetName val="Источники"/>
      <sheetName val="нормативы"/>
    </sheetNames>
    <sheetDataSet>
      <sheetData sheetId="3">
        <row r="16">
          <cell r="G16">
            <v>1266.4999999999998</v>
          </cell>
          <cell r="H16">
            <v>1261.5</v>
          </cell>
        </row>
        <row r="20">
          <cell r="G20">
            <v>12900.5</v>
          </cell>
          <cell r="H20">
            <v>12468.3</v>
          </cell>
        </row>
        <row r="22">
          <cell r="G22">
            <v>163.1</v>
          </cell>
          <cell r="H22">
            <v>163.1</v>
          </cell>
        </row>
        <row r="24">
          <cell r="G24">
            <v>677.8000000000001</v>
          </cell>
          <cell r="H24">
            <v>652.7</v>
          </cell>
        </row>
        <row r="36">
          <cell r="G36">
            <v>378.4</v>
          </cell>
          <cell r="H36">
            <v>378.2</v>
          </cell>
        </row>
        <row r="42">
          <cell r="G42">
            <v>3170.0999999999995</v>
          </cell>
          <cell r="H42">
            <v>3169.9</v>
          </cell>
        </row>
        <row r="44">
          <cell r="G44">
            <v>718.4</v>
          </cell>
          <cell r="H44">
            <v>715.7</v>
          </cell>
        </row>
        <row r="50">
          <cell r="G50">
            <v>71943.9</v>
          </cell>
          <cell r="H50">
            <v>71422.5</v>
          </cell>
        </row>
        <row r="51">
          <cell r="G51">
            <v>739</v>
          </cell>
          <cell r="H51">
            <v>739</v>
          </cell>
        </row>
        <row r="53">
          <cell r="G53">
            <v>42</v>
          </cell>
          <cell r="H53">
            <v>42</v>
          </cell>
        </row>
        <row r="55">
          <cell r="G55">
            <v>75.8</v>
          </cell>
          <cell r="H55">
            <v>75.8</v>
          </cell>
        </row>
        <row r="57">
          <cell r="G57">
            <v>1066.8</v>
          </cell>
          <cell r="H57">
            <v>1115.8</v>
          </cell>
        </row>
        <row r="59">
          <cell r="G59">
            <v>264.8</v>
          </cell>
          <cell r="H59">
            <v>264.8</v>
          </cell>
        </row>
        <row r="62">
          <cell r="G62">
            <v>266</v>
          </cell>
          <cell r="H62">
            <v>264.4</v>
          </cell>
        </row>
        <row r="73">
          <cell r="G73">
            <v>2142.4</v>
          </cell>
          <cell r="H73">
            <v>2142.4</v>
          </cell>
        </row>
        <row r="75">
          <cell r="G75">
            <v>2077.4</v>
          </cell>
          <cell r="H75">
            <v>2077.4</v>
          </cell>
        </row>
        <row r="79">
          <cell r="G79">
            <v>6776.3</v>
          </cell>
          <cell r="H79">
            <v>6776.3</v>
          </cell>
        </row>
        <row r="81">
          <cell r="G81">
            <v>759.4</v>
          </cell>
          <cell r="H81">
            <v>759.4</v>
          </cell>
        </row>
        <row r="84">
          <cell r="G84">
            <v>1094.7000000000003</v>
          </cell>
          <cell r="H84">
            <v>981.4</v>
          </cell>
        </row>
        <row r="87">
          <cell r="G87">
            <v>730.8000000000001</v>
          </cell>
          <cell r="H87">
            <v>730.8</v>
          </cell>
        </row>
        <row r="90">
          <cell r="G90">
            <v>1156</v>
          </cell>
          <cell r="H90">
            <v>1155</v>
          </cell>
        </row>
        <row r="91">
          <cell r="G91">
            <v>1738.6999999999998</v>
          </cell>
          <cell r="H91">
            <v>1731</v>
          </cell>
        </row>
        <row r="97">
          <cell r="G97">
            <v>1874.2</v>
          </cell>
          <cell r="H97">
            <v>1869.7</v>
          </cell>
        </row>
        <row r="100">
          <cell r="G100">
            <v>2000</v>
          </cell>
          <cell r="H100">
            <v>2000</v>
          </cell>
        </row>
        <row r="114">
          <cell r="G114">
            <v>687</v>
          </cell>
          <cell r="H114">
            <v>687</v>
          </cell>
        </row>
        <row r="116">
          <cell r="G116">
            <v>15685.699999999999</v>
          </cell>
          <cell r="H116">
            <v>15685.7</v>
          </cell>
        </row>
        <row r="119">
          <cell r="G119">
            <v>300.5</v>
          </cell>
          <cell r="H119">
            <v>300.2</v>
          </cell>
        </row>
        <row r="122">
          <cell r="G122">
            <v>8771.6</v>
          </cell>
          <cell r="H122">
            <v>8770.8</v>
          </cell>
        </row>
        <row r="125">
          <cell r="G125">
            <v>281.7</v>
          </cell>
          <cell r="H125">
            <v>281.7</v>
          </cell>
        </row>
        <row r="133">
          <cell r="G133">
            <v>28400</v>
          </cell>
          <cell r="H133">
            <v>27701.9</v>
          </cell>
        </row>
        <row r="137">
          <cell r="G137">
            <v>37000</v>
          </cell>
          <cell r="H137">
            <v>37698.1</v>
          </cell>
        </row>
        <row r="148">
          <cell r="G148">
            <v>690.1999999999998</v>
          </cell>
          <cell r="H148">
            <v>690.2</v>
          </cell>
        </row>
        <row r="153">
          <cell r="G153">
            <v>405</v>
          </cell>
          <cell r="H153">
            <v>405</v>
          </cell>
        </row>
        <row r="160">
          <cell r="G160">
            <v>34568</v>
          </cell>
          <cell r="H160">
            <v>34568</v>
          </cell>
        </row>
        <row r="162">
          <cell r="G162">
            <v>108161.9</v>
          </cell>
          <cell r="H162">
            <v>106999</v>
          </cell>
        </row>
        <row r="164">
          <cell r="G164">
            <v>33679.7</v>
          </cell>
          <cell r="H164">
            <v>33517.4</v>
          </cell>
        </row>
        <row r="167">
          <cell r="G167">
            <v>518.4000000000001</v>
          </cell>
          <cell r="H167">
            <v>518</v>
          </cell>
        </row>
        <row r="168">
          <cell r="G168">
            <v>2932</v>
          </cell>
          <cell r="H168">
            <v>2932</v>
          </cell>
        </row>
        <row r="173">
          <cell r="G173">
            <v>17720.100000000002</v>
          </cell>
          <cell r="H173">
            <v>17720.1</v>
          </cell>
        </row>
        <row r="174">
          <cell r="G174">
            <v>10788.899999999998</v>
          </cell>
          <cell r="H174">
            <v>10672.8</v>
          </cell>
        </row>
        <row r="176">
          <cell r="G176">
            <v>9059.4</v>
          </cell>
          <cell r="H176">
            <v>5983.7</v>
          </cell>
        </row>
        <row r="198">
          <cell r="G198">
            <v>788.9</v>
          </cell>
          <cell r="H198">
            <v>788.3</v>
          </cell>
        </row>
        <row r="204">
          <cell r="G204">
            <v>682.1</v>
          </cell>
          <cell r="H204">
            <v>620.3</v>
          </cell>
        </row>
        <row r="207">
          <cell r="G207">
            <v>350</v>
          </cell>
          <cell r="H207">
            <v>269.7</v>
          </cell>
        </row>
        <row r="209">
          <cell r="G209">
            <v>438.5</v>
          </cell>
          <cell r="H209">
            <v>438.5</v>
          </cell>
        </row>
        <row r="216">
          <cell r="G216">
            <v>9483.599999999999</v>
          </cell>
          <cell r="H216">
            <v>9483.6</v>
          </cell>
        </row>
        <row r="223">
          <cell r="G223">
            <v>32886.2</v>
          </cell>
          <cell r="H223">
            <v>22328.5</v>
          </cell>
        </row>
        <row r="224">
          <cell r="G224">
            <v>22142.7</v>
          </cell>
          <cell r="H224">
            <v>21930.6</v>
          </cell>
        </row>
        <row r="242">
          <cell r="G242">
            <v>1500</v>
          </cell>
          <cell r="H242">
            <v>1500</v>
          </cell>
        </row>
        <row r="243">
          <cell r="G243">
            <v>34533.1</v>
          </cell>
          <cell r="H243">
            <v>34529.1</v>
          </cell>
        </row>
        <row r="247">
          <cell r="G247">
            <v>14894.8</v>
          </cell>
          <cell r="H247">
            <v>14894.8</v>
          </cell>
        </row>
        <row r="248">
          <cell r="G248">
            <v>204286.90000000002</v>
          </cell>
          <cell r="H248">
            <v>204286.9</v>
          </cell>
        </row>
        <row r="250">
          <cell r="G250">
            <v>2672.3</v>
          </cell>
          <cell r="H250">
            <v>2671.8</v>
          </cell>
        </row>
        <row r="252">
          <cell r="G252">
            <v>0</v>
          </cell>
        </row>
        <row r="253">
          <cell r="G253">
            <v>817.3</v>
          </cell>
          <cell r="H253">
            <v>817.3</v>
          </cell>
        </row>
        <row r="255">
          <cell r="G255">
            <v>440</v>
          </cell>
          <cell r="H255">
            <v>440</v>
          </cell>
        </row>
        <row r="256">
          <cell r="G256">
            <v>14503.2</v>
          </cell>
          <cell r="H256">
            <v>14412.1</v>
          </cell>
        </row>
        <row r="259">
          <cell r="G259">
            <v>546.8</v>
          </cell>
          <cell r="H259">
            <v>546.8</v>
          </cell>
        </row>
        <row r="263">
          <cell r="G263">
            <v>1300</v>
          </cell>
          <cell r="H263">
            <v>1300</v>
          </cell>
        </row>
        <row r="267">
          <cell r="G267">
            <v>105</v>
          </cell>
          <cell r="H267">
            <v>105</v>
          </cell>
        </row>
        <row r="274">
          <cell r="G274">
            <v>4000</v>
          </cell>
          <cell r="H274">
            <v>3941.5</v>
          </cell>
        </row>
        <row r="278">
          <cell r="G278">
            <v>6039.400000000001</v>
          </cell>
          <cell r="H278">
            <v>5276.4</v>
          </cell>
        </row>
        <row r="286">
          <cell r="G286">
            <v>4919</v>
          </cell>
          <cell r="H286">
            <v>4227.9</v>
          </cell>
        </row>
        <row r="288">
          <cell r="G288">
            <v>1341.5</v>
          </cell>
          <cell r="H288">
            <v>1339</v>
          </cell>
        </row>
        <row r="293">
          <cell r="G293">
            <v>2329.5</v>
          </cell>
          <cell r="H293">
            <v>2282.4</v>
          </cell>
        </row>
        <row r="296">
          <cell r="G296">
            <v>880.8</v>
          </cell>
          <cell r="H296">
            <v>880.8</v>
          </cell>
        </row>
        <row r="303">
          <cell r="G303">
            <v>3177.4</v>
          </cell>
          <cell r="H303">
            <v>3177.1</v>
          </cell>
        </row>
        <row r="315">
          <cell r="G315">
            <v>0</v>
          </cell>
        </row>
        <row r="316">
          <cell r="G316">
            <v>1214.9</v>
          </cell>
          <cell r="H316">
            <v>535.7</v>
          </cell>
        </row>
        <row r="350">
          <cell r="G350">
            <v>3265.2</v>
          </cell>
          <cell r="H350">
            <v>3265.2</v>
          </cell>
        </row>
        <row r="355">
          <cell r="G355">
            <v>150</v>
          </cell>
          <cell r="H355">
            <v>150</v>
          </cell>
        </row>
        <row r="366">
          <cell r="G366">
            <v>495.7</v>
          </cell>
          <cell r="H366">
            <v>495.7</v>
          </cell>
        </row>
        <row r="373">
          <cell r="G373">
            <v>3225.1</v>
          </cell>
          <cell r="H373">
            <v>3221.2</v>
          </cell>
        </row>
        <row r="377">
          <cell r="G377">
            <v>23.80000000000001</v>
          </cell>
          <cell r="H377">
            <v>23.80000000000001</v>
          </cell>
        </row>
        <row r="384">
          <cell r="G384">
            <v>199.5</v>
          </cell>
          <cell r="H384">
            <v>199.5</v>
          </cell>
        </row>
        <row r="387">
          <cell r="G387">
            <v>1350.6</v>
          </cell>
          <cell r="H387">
            <v>1350.6</v>
          </cell>
        </row>
        <row r="397">
          <cell r="G397">
            <v>1782.4999999999998</v>
          </cell>
          <cell r="H397">
            <v>1782.5</v>
          </cell>
        </row>
        <row r="401">
          <cell r="G401">
            <v>76.19999999999982</v>
          </cell>
          <cell r="H401">
            <v>76.2</v>
          </cell>
        </row>
        <row r="405">
          <cell r="G405">
            <v>1900</v>
          </cell>
          <cell r="H405">
            <v>1722.9</v>
          </cell>
        </row>
        <row r="413">
          <cell r="G413">
            <v>2387.8</v>
          </cell>
          <cell r="H413">
            <v>2387.8</v>
          </cell>
        </row>
        <row r="420">
          <cell r="G420">
            <v>5628.5</v>
          </cell>
          <cell r="H420">
            <v>5628.5</v>
          </cell>
        </row>
        <row r="427">
          <cell r="G427">
            <v>2986.1</v>
          </cell>
          <cell r="H427">
            <v>2986.1</v>
          </cell>
        </row>
        <row r="429">
          <cell r="G429">
            <v>1957.2</v>
          </cell>
          <cell r="H429">
            <v>1957.2</v>
          </cell>
        </row>
        <row r="435">
          <cell r="G435">
            <v>1860.7</v>
          </cell>
          <cell r="H435">
            <v>1860.7</v>
          </cell>
        </row>
        <row r="436">
          <cell r="G436">
            <v>978.5999999999999</v>
          </cell>
          <cell r="H436">
            <v>978.6</v>
          </cell>
        </row>
        <row r="442">
          <cell r="G442">
            <v>579.8</v>
          </cell>
          <cell r="H442">
            <v>579.8</v>
          </cell>
        </row>
        <row r="444">
          <cell r="G444">
            <v>13286.6</v>
          </cell>
          <cell r="H444">
            <v>13286.6</v>
          </cell>
        </row>
        <row r="448">
          <cell r="G448">
            <v>5372.9</v>
          </cell>
          <cell r="H448">
            <v>5372.9</v>
          </cell>
        </row>
        <row r="452">
          <cell r="G452">
            <v>1017.5000000000007</v>
          </cell>
        </row>
        <row r="454">
          <cell r="G454">
            <v>580</v>
          </cell>
          <cell r="H454">
            <v>580</v>
          </cell>
        </row>
        <row r="473">
          <cell r="G473">
            <v>2.3</v>
          </cell>
          <cell r="H473">
            <v>2.3</v>
          </cell>
        </row>
        <row r="477">
          <cell r="G477">
            <v>69</v>
          </cell>
          <cell r="H477">
            <v>69</v>
          </cell>
        </row>
        <row r="481">
          <cell r="G481">
            <v>6.9</v>
          </cell>
          <cell r="H481">
            <v>6.9</v>
          </cell>
        </row>
        <row r="485">
          <cell r="G485">
            <v>18.4</v>
          </cell>
          <cell r="H485">
            <v>18.4</v>
          </cell>
        </row>
        <row r="490">
          <cell r="G490">
            <v>62.1</v>
          </cell>
          <cell r="H490">
            <v>62.1</v>
          </cell>
        </row>
        <row r="494">
          <cell r="G494">
            <v>80.5</v>
          </cell>
          <cell r="H494">
            <v>80.4</v>
          </cell>
        </row>
        <row r="498">
          <cell r="G498">
            <v>2239.5</v>
          </cell>
          <cell r="H498">
            <v>2239.5</v>
          </cell>
        </row>
        <row r="500">
          <cell r="G500">
            <v>2129.5</v>
          </cell>
          <cell r="H500">
            <v>2129.5</v>
          </cell>
        </row>
        <row r="505">
          <cell r="G505">
            <v>29.9</v>
          </cell>
          <cell r="H505">
            <v>29.9</v>
          </cell>
        </row>
        <row r="510">
          <cell r="G510">
            <v>5543</v>
          </cell>
          <cell r="H510">
            <v>5540.6</v>
          </cell>
        </row>
        <row r="514">
          <cell r="G514">
            <v>4452.8</v>
          </cell>
          <cell r="H514">
            <v>4450.9</v>
          </cell>
        </row>
        <row r="517">
          <cell r="G517">
            <v>1361.6</v>
          </cell>
          <cell r="H517">
            <v>1354.1</v>
          </cell>
        </row>
        <row r="520">
          <cell r="G520">
            <v>342.7</v>
          </cell>
          <cell r="H520">
            <v>342.5</v>
          </cell>
        </row>
        <row r="522">
          <cell r="G522">
            <v>42.4</v>
          </cell>
          <cell r="H522">
            <v>36.2</v>
          </cell>
        </row>
        <row r="524">
          <cell r="G524">
            <v>40943.4</v>
          </cell>
          <cell r="H524">
            <v>40943.4</v>
          </cell>
        </row>
        <row r="527">
          <cell r="G527">
            <v>259.9</v>
          </cell>
          <cell r="H527">
            <v>259.8</v>
          </cell>
        </row>
        <row r="537">
          <cell r="G537">
            <v>119.8</v>
          </cell>
          <cell r="H537">
            <v>119.8</v>
          </cell>
        </row>
        <row r="540">
          <cell r="G540">
            <v>13.8</v>
          </cell>
          <cell r="H540">
            <v>11.5</v>
          </cell>
        </row>
        <row r="544">
          <cell r="G544">
            <v>303.6</v>
          </cell>
          <cell r="H544">
            <v>303.5</v>
          </cell>
        </row>
        <row r="549">
          <cell r="G549">
            <v>455.4</v>
          </cell>
          <cell r="H549">
            <v>455.2</v>
          </cell>
        </row>
        <row r="555">
          <cell r="G555">
            <v>52.9</v>
          </cell>
          <cell r="H555">
            <v>52.9</v>
          </cell>
        </row>
        <row r="561">
          <cell r="G561">
            <v>294.4</v>
          </cell>
          <cell r="H561">
            <v>294.2</v>
          </cell>
        </row>
        <row r="568">
          <cell r="G568">
            <v>41.4</v>
          </cell>
          <cell r="H568">
            <v>41.4</v>
          </cell>
        </row>
        <row r="576">
          <cell r="G576">
            <v>2787.6</v>
          </cell>
          <cell r="H576">
            <v>2786.4</v>
          </cell>
        </row>
        <row r="584">
          <cell r="G584">
            <v>2764.6</v>
          </cell>
          <cell r="H584">
            <v>2763.4</v>
          </cell>
        </row>
        <row r="591">
          <cell r="G591">
            <v>358.8</v>
          </cell>
          <cell r="H591">
            <v>358.6</v>
          </cell>
        </row>
        <row r="595">
          <cell r="G595">
            <v>36.8</v>
          </cell>
          <cell r="H595">
            <v>36.8</v>
          </cell>
        </row>
        <row r="605">
          <cell r="G605">
            <v>565.8</v>
          </cell>
          <cell r="H605">
            <v>565.5</v>
          </cell>
        </row>
        <row r="613">
          <cell r="G613">
            <v>2.3</v>
          </cell>
          <cell r="H613">
            <v>2.3</v>
          </cell>
        </row>
        <row r="616">
          <cell r="G616">
            <v>80.5</v>
          </cell>
          <cell r="H616">
            <v>80.5</v>
          </cell>
        </row>
        <row r="621">
          <cell r="G621">
            <v>1657.3</v>
          </cell>
          <cell r="H621">
            <v>1657.3</v>
          </cell>
        </row>
        <row r="630">
          <cell r="G630">
            <v>446.2</v>
          </cell>
          <cell r="H630">
            <v>446.1</v>
          </cell>
        </row>
        <row r="632">
          <cell r="G632">
            <v>24840.2</v>
          </cell>
          <cell r="H632">
            <v>24840.2</v>
          </cell>
        </row>
        <row r="636">
          <cell r="G636">
            <v>200</v>
          </cell>
          <cell r="H636">
            <v>200</v>
          </cell>
        </row>
        <row r="645">
          <cell r="G645">
            <v>1086.4</v>
          </cell>
          <cell r="H645">
            <v>985.6</v>
          </cell>
        </row>
        <row r="647">
          <cell r="G647">
            <v>664.2</v>
          </cell>
          <cell r="H647">
            <v>635</v>
          </cell>
        </row>
        <row r="649">
          <cell r="G649">
            <v>1864.4</v>
          </cell>
          <cell r="H649">
            <v>1864.4</v>
          </cell>
        </row>
        <row r="651">
          <cell r="G651">
            <v>8908</v>
          </cell>
          <cell r="H651">
            <v>8809.3</v>
          </cell>
        </row>
        <row r="653">
          <cell r="G653">
            <v>25032.4</v>
          </cell>
          <cell r="H653">
            <v>25032.4</v>
          </cell>
        </row>
        <row r="655">
          <cell r="G655">
            <v>18414</v>
          </cell>
          <cell r="H655">
            <v>17559.4</v>
          </cell>
        </row>
        <row r="657">
          <cell r="G657">
            <v>64667.1</v>
          </cell>
          <cell r="H657">
            <v>64667.1</v>
          </cell>
        </row>
        <row r="659">
          <cell r="G659">
            <v>4349.5</v>
          </cell>
          <cell r="H659">
            <v>697.6</v>
          </cell>
        </row>
        <row r="661">
          <cell r="G661">
            <v>6540.5</v>
          </cell>
          <cell r="H661">
            <v>5477.2</v>
          </cell>
        </row>
        <row r="667">
          <cell r="G667">
            <v>27897</v>
          </cell>
          <cell r="H667">
            <v>27954</v>
          </cell>
        </row>
        <row r="669">
          <cell r="G669">
            <v>6044.1</v>
          </cell>
          <cell r="H669">
            <v>5887</v>
          </cell>
        </row>
        <row r="672">
          <cell r="G672">
            <v>89.4</v>
          </cell>
          <cell r="H672">
            <v>14.1</v>
          </cell>
        </row>
        <row r="674">
          <cell r="G674">
            <v>128347.5</v>
          </cell>
          <cell r="H674">
            <v>128347.5</v>
          </cell>
        </row>
        <row r="676">
          <cell r="G676">
            <v>77445.7</v>
          </cell>
          <cell r="H676">
            <v>71628</v>
          </cell>
        </row>
        <row r="679">
          <cell r="G679">
            <v>50153.1</v>
          </cell>
          <cell r="H679">
            <v>49950.7</v>
          </cell>
        </row>
        <row r="683">
          <cell r="G683">
            <v>39535.5</v>
          </cell>
          <cell r="H683">
            <v>39219.6</v>
          </cell>
        </row>
        <row r="685">
          <cell r="G685">
            <v>42198.8</v>
          </cell>
          <cell r="H685">
            <v>42073.4</v>
          </cell>
        </row>
        <row r="693">
          <cell r="G693">
            <v>110177.7</v>
          </cell>
          <cell r="H693">
            <v>110177.7</v>
          </cell>
        </row>
        <row r="695">
          <cell r="G695">
            <v>2332.6</v>
          </cell>
          <cell r="H695">
            <v>1814</v>
          </cell>
        </row>
        <row r="697">
          <cell r="G697">
            <v>1503.5999999999995</v>
          </cell>
          <cell r="H697">
            <v>1490.9</v>
          </cell>
        </row>
        <row r="701">
          <cell r="G701">
            <v>7962.9</v>
          </cell>
          <cell r="H701">
            <v>7962.9</v>
          </cell>
        </row>
        <row r="703">
          <cell r="G703">
            <v>1544.3</v>
          </cell>
          <cell r="H703">
            <v>1438.6</v>
          </cell>
        </row>
        <row r="707">
          <cell r="G707">
            <v>4460</v>
          </cell>
          <cell r="H707">
            <v>4417.1</v>
          </cell>
        </row>
        <row r="715">
          <cell r="G715">
            <v>518</v>
          </cell>
          <cell r="H715">
            <v>307.2</v>
          </cell>
        </row>
        <row r="717">
          <cell r="G717">
            <v>692.6999999999999</v>
          </cell>
          <cell r="H717">
            <v>330.6</v>
          </cell>
        </row>
        <row r="723">
          <cell r="G723">
            <v>23004.4</v>
          </cell>
          <cell r="H723">
            <v>22142.3</v>
          </cell>
        </row>
        <row r="727">
          <cell r="G727">
            <v>324.2</v>
          </cell>
          <cell r="H727">
            <v>324.1</v>
          </cell>
        </row>
        <row r="731">
          <cell r="G731">
            <v>3496.7</v>
          </cell>
          <cell r="H731">
            <v>3496.7</v>
          </cell>
        </row>
        <row r="735">
          <cell r="G735">
            <v>14349</v>
          </cell>
          <cell r="H735">
            <v>14349</v>
          </cell>
        </row>
        <row r="737">
          <cell r="G737">
            <v>2979.7000000000003</v>
          </cell>
          <cell r="H737">
            <v>2979.7000000000003</v>
          </cell>
        </row>
        <row r="743">
          <cell r="G743">
            <v>4082.6</v>
          </cell>
          <cell r="H743">
            <v>4082.6</v>
          </cell>
        </row>
        <row r="745">
          <cell r="G745">
            <v>567.2</v>
          </cell>
          <cell r="H745">
            <v>508.3</v>
          </cell>
        </row>
        <row r="748">
          <cell r="G748">
            <v>0</v>
          </cell>
          <cell r="H748">
            <v>0</v>
          </cell>
        </row>
        <row r="754">
          <cell r="G754">
            <v>2376.9</v>
          </cell>
          <cell r="H754">
            <v>2376.9</v>
          </cell>
        </row>
        <row r="757">
          <cell r="G757">
            <v>5546.1</v>
          </cell>
          <cell r="H757">
            <v>5546.1</v>
          </cell>
        </row>
        <row r="766">
          <cell r="G766">
            <v>352.5</v>
          </cell>
          <cell r="H766">
            <v>352.3</v>
          </cell>
        </row>
        <row r="771">
          <cell r="G771">
            <v>36640</v>
          </cell>
          <cell r="H771">
            <v>35933.8</v>
          </cell>
        </row>
        <row r="775">
          <cell r="G775">
            <v>6535.1</v>
          </cell>
          <cell r="H775">
            <v>6535.1</v>
          </cell>
        </row>
        <row r="776">
          <cell r="G776">
            <v>3654.7</v>
          </cell>
          <cell r="H776">
            <v>3584.3</v>
          </cell>
        </row>
        <row r="782">
          <cell r="G782">
            <v>14053.9</v>
          </cell>
          <cell r="H782">
            <v>21626.5</v>
          </cell>
        </row>
        <row r="785">
          <cell r="G785">
            <v>9413.5</v>
          </cell>
          <cell r="H785">
            <v>9412.5</v>
          </cell>
        </row>
        <row r="788">
          <cell r="G788">
            <v>0</v>
          </cell>
          <cell r="H788">
            <v>0</v>
          </cell>
        </row>
        <row r="797">
          <cell r="G797">
            <v>254.4</v>
          </cell>
          <cell r="H797">
            <v>254.4</v>
          </cell>
        </row>
        <row r="803">
          <cell r="G803">
            <v>189.9</v>
          </cell>
          <cell r="H803">
            <v>189.9</v>
          </cell>
        </row>
        <row r="804">
          <cell r="G804">
            <v>0</v>
          </cell>
        </row>
        <row r="813">
          <cell r="G813">
            <v>0</v>
          </cell>
          <cell r="H813">
            <v>0</v>
          </cell>
        </row>
        <row r="819">
          <cell r="G819">
            <v>6841.9</v>
          </cell>
          <cell r="H819">
            <v>6841.9</v>
          </cell>
        </row>
        <row r="829">
          <cell r="G829">
            <v>20.9</v>
          </cell>
          <cell r="H829">
            <v>20.9</v>
          </cell>
        </row>
        <row r="831">
          <cell r="G831">
            <v>45</v>
          </cell>
          <cell r="H831">
            <v>45</v>
          </cell>
        </row>
        <row r="833">
          <cell r="G833">
            <v>85.4</v>
          </cell>
        </row>
        <row r="835">
          <cell r="G835">
            <v>264</v>
          </cell>
          <cell r="H835">
            <v>263.9</v>
          </cell>
        </row>
        <row r="839">
          <cell r="G839">
            <v>55.1</v>
          </cell>
          <cell r="H839">
            <v>55.1</v>
          </cell>
        </row>
        <row r="840">
          <cell r="G840">
            <v>24.2</v>
          </cell>
          <cell r="H840">
            <v>22.1</v>
          </cell>
        </row>
        <row r="841">
          <cell r="G841">
            <v>12.7</v>
          </cell>
          <cell r="H841">
            <v>12.7</v>
          </cell>
        </row>
        <row r="845">
          <cell r="G845">
            <v>0</v>
          </cell>
          <cell r="H845">
            <v>0</v>
          </cell>
        </row>
        <row r="848">
          <cell r="G848">
            <v>524.9</v>
          </cell>
          <cell r="H848">
            <v>524.9</v>
          </cell>
        </row>
        <row r="852">
          <cell r="G852">
            <v>1832.8</v>
          </cell>
          <cell r="H852">
            <v>1832.8</v>
          </cell>
        </row>
        <row r="854">
          <cell r="G854">
            <v>5.3</v>
          </cell>
          <cell r="H854">
            <v>5.3</v>
          </cell>
        </row>
        <row r="857">
          <cell r="G857">
            <v>275.9</v>
          </cell>
          <cell r="H857">
            <v>275.9</v>
          </cell>
        </row>
        <row r="863">
          <cell r="G863">
            <v>5085</v>
          </cell>
          <cell r="H863">
            <v>5085</v>
          </cell>
        </row>
        <row r="865">
          <cell r="G865">
            <v>34803.2</v>
          </cell>
          <cell r="H865">
            <v>34699.1</v>
          </cell>
        </row>
        <row r="867">
          <cell r="G867">
            <v>13707.7</v>
          </cell>
          <cell r="H867">
            <v>13660.1</v>
          </cell>
        </row>
        <row r="870">
          <cell r="G870">
            <v>97.5</v>
          </cell>
          <cell r="H870">
            <v>97.5</v>
          </cell>
        </row>
        <row r="873">
          <cell r="G873">
            <v>1060</v>
          </cell>
          <cell r="H873">
            <v>1060</v>
          </cell>
        </row>
        <row r="875">
          <cell r="G875">
            <v>165.4</v>
          </cell>
          <cell r="H875">
            <v>165.4</v>
          </cell>
        </row>
        <row r="877">
          <cell r="G877">
            <v>1661</v>
          </cell>
          <cell r="H877">
            <v>1640.9</v>
          </cell>
        </row>
        <row r="880">
          <cell r="G880">
            <v>1400</v>
          </cell>
          <cell r="H880">
            <v>1400</v>
          </cell>
        </row>
        <row r="890">
          <cell r="G890">
            <v>271659.7</v>
          </cell>
          <cell r="H890">
            <v>271554.6</v>
          </cell>
        </row>
        <row r="892">
          <cell r="G892">
            <v>579.3</v>
          </cell>
          <cell r="H892">
            <v>496.5</v>
          </cell>
        </row>
        <row r="895">
          <cell r="G895">
            <v>24134</v>
          </cell>
          <cell r="H895">
            <v>24134</v>
          </cell>
        </row>
        <row r="897">
          <cell r="G897">
            <v>2341.6</v>
          </cell>
          <cell r="H897">
            <v>1656.6</v>
          </cell>
        </row>
        <row r="900">
          <cell r="G900">
            <v>2500</v>
          </cell>
          <cell r="H900">
            <v>2500</v>
          </cell>
        </row>
        <row r="903">
          <cell r="G903">
            <v>14127.7</v>
          </cell>
          <cell r="H903">
            <v>12958.1</v>
          </cell>
        </row>
        <row r="912">
          <cell r="G912">
            <v>96008.9</v>
          </cell>
          <cell r="H912">
            <v>94121</v>
          </cell>
        </row>
        <row r="913">
          <cell r="G913">
            <v>1016.5</v>
          </cell>
          <cell r="H913">
            <v>850</v>
          </cell>
        </row>
        <row r="921">
          <cell r="G921">
            <v>9564.4</v>
          </cell>
          <cell r="H921">
            <v>8946.1</v>
          </cell>
        </row>
        <row r="924">
          <cell r="G924">
            <v>799</v>
          </cell>
          <cell r="H924">
            <v>584.3</v>
          </cell>
        </row>
        <row r="929">
          <cell r="G929">
            <v>289624.6</v>
          </cell>
          <cell r="H929">
            <v>289406.5</v>
          </cell>
        </row>
        <row r="933">
          <cell r="G933">
            <v>50793.9</v>
          </cell>
          <cell r="H933">
            <v>50793.9</v>
          </cell>
        </row>
        <row r="935">
          <cell r="G935">
            <v>202.2</v>
          </cell>
          <cell r="H935">
            <v>179.4</v>
          </cell>
        </row>
        <row r="945">
          <cell r="G945">
            <v>62</v>
          </cell>
          <cell r="H945">
            <v>52.6</v>
          </cell>
        </row>
        <row r="947">
          <cell r="G947">
            <v>27.6</v>
          </cell>
          <cell r="H947">
            <v>17.8</v>
          </cell>
        </row>
        <row r="949">
          <cell r="G949">
            <v>21522.2</v>
          </cell>
          <cell r="H949">
            <v>21478.2</v>
          </cell>
        </row>
        <row r="956">
          <cell r="G956">
            <v>11615.1</v>
          </cell>
          <cell r="H956">
            <v>10189.6</v>
          </cell>
        </row>
        <row r="958">
          <cell r="G958">
            <v>994.1999999999998</v>
          </cell>
          <cell r="H958">
            <v>994.1999999999998</v>
          </cell>
        </row>
        <row r="962">
          <cell r="G962">
            <v>964</v>
          </cell>
          <cell r="H962">
            <v>964</v>
          </cell>
        </row>
        <row r="963">
          <cell r="G963">
            <v>371.9</v>
          </cell>
          <cell r="H963">
            <v>371.9</v>
          </cell>
        </row>
        <row r="966">
          <cell r="G966">
            <v>351.90000000000003</v>
          </cell>
          <cell r="H966">
            <v>351.9</v>
          </cell>
        </row>
        <row r="969">
          <cell r="G969">
            <v>444.6</v>
          </cell>
          <cell r="H969">
            <v>444.6</v>
          </cell>
        </row>
        <row r="972">
          <cell r="G972">
            <v>1163.9</v>
          </cell>
          <cell r="H972">
            <v>1163.9</v>
          </cell>
        </row>
        <row r="975">
          <cell r="G975">
            <v>2757.3</v>
          </cell>
          <cell r="H975">
            <v>2757.3</v>
          </cell>
        </row>
        <row r="977">
          <cell r="G977">
            <v>6986.3</v>
          </cell>
          <cell r="H977">
            <v>6986.3</v>
          </cell>
        </row>
        <row r="979">
          <cell r="G979">
            <v>17698.5</v>
          </cell>
          <cell r="H979">
            <v>17698.5</v>
          </cell>
        </row>
        <row r="985">
          <cell r="G985">
            <v>2757.6</v>
          </cell>
          <cell r="H985">
            <v>2711.9</v>
          </cell>
        </row>
        <row r="988">
          <cell r="G988">
            <v>25834</v>
          </cell>
          <cell r="H988">
            <v>25832.2</v>
          </cell>
        </row>
        <row r="990">
          <cell r="G990">
            <v>121.5</v>
          </cell>
        </row>
        <row r="995">
          <cell r="G995">
            <v>346</v>
          </cell>
          <cell r="H995">
            <v>346</v>
          </cell>
        </row>
        <row r="1008">
          <cell r="G1008">
            <v>73.2</v>
          </cell>
          <cell r="H1008">
            <v>73.2</v>
          </cell>
        </row>
        <row r="1010">
          <cell r="G1010">
            <v>626</v>
          </cell>
          <cell r="H1010">
            <v>626</v>
          </cell>
        </row>
        <row r="1013">
          <cell r="G1013">
            <v>600</v>
          </cell>
          <cell r="H1013">
            <v>600</v>
          </cell>
        </row>
        <row r="1014">
          <cell r="G1014">
            <v>194.9</v>
          </cell>
          <cell r="H1014">
            <v>194.9</v>
          </cell>
        </row>
        <row r="1015">
          <cell r="G1015">
            <v>19514.9</v>
          </cell>
          <cell r="H1015">
            <v>19514.6</v>
          </cell>
        </row>
        <row r="1016">
          <cell r="G1016">
            <v>4777.599999999999</v>
          </cell>
          <cell r="H1016">
            <v>4777.6</v>
          </cell>
        </row>
        <row r="1017">
          <cell r="G1017">
            <v>2532.3</v>
          </cell>
          <cell r="H1017">
            <v>2532.3</v>
          </cell>
        </row>
        <row r="1018">
          <cell r="G1018">
            <v>702</v>
          </cell>
          <cell r="H1018">
            <v>702</v>
          </cell>
        </row>
        <row r="1023">
          <cell r="G1023">
            <v>3335.6</v>
          </cell>
          <cell r="H1023">
            <v>3130</v>
          </cell>
        </row>
        <row r="1028">
          <cell r="G1028">
            <v>17383.6</v>
          </cell>
          <cell r="H1028">
            <v>15863.9</v>
          </cell>
        </row>
        <row r="1034">
          <cell r="G1034">
            <v>25134.9</v>
          </cell>
          <cell r="H1034">
            <v>25116.9</v>
          </cell>
        </row>
        <row r="1042">
          <cell r="G1042">
            <v>108.1</v>
          </cell>
          <cell r="H1042">
            <v>108.1</v>
          </cell>
        </row>
        <row r="1045">
          <cell r="G1045">
            <v>199.3</v>
          </cell>
          <cell r="H1045">
            <v>199.3</v>
          </cell>
        </row>
        <row r="1050">
          <cell r="G1050">
            <v>21558.5</v>
          </cell>
          <cell r="H1050">
            <v>21442.6</v>
          </cell>
        </row>
        <row r="1056">
          <cell r="G1056">
            <v>3118.4</v>
          </cell>
          <cell r="H1056">
            <v>3115.7</v>
          </cell>
        </row>
        <row r="1062">
          <cell r="G1062">
            <v>13717.6</v>
          </cell>
          <cell r="H1062">
            <v>13694</v>
          </cell>
        </row>
        <row r="1067">
          <cell r="G1067">
            <v>2097.7</v>
          </cell>
          <cell r="H1067">
            <v>1645.7</v>
          </cell>
        </row>
        <row r="1069">
          <cell r="G1069">
            <v>268</v>
          </cell>
          <cell r="H1069">
            <v>268</v>
          </cell>
        </row>
        <row r="1071">
          <cell r="G1071">
            <v>102</v>
          </cell>
          <cell r="H1071">
            <v>102</v>
          </cell>
        </row>
        <row r="1075">
          <cell r="G1075">
            <v>900</v>
          </cell>
          <cell r="H1075">
            <v>900</v>
          </cell>
        </row>
        <row r="1078">
          <cell r="G1078">
            <v>5485.2</v>
          </cell>
          <cell r="H1078">
            <v>5253.4</v>
          </cell>
        </row>
        <row r="1084">
          <cell r="G1084">
            <v>800.4</v>
          </cell>
          <cell r="H1084">
            <v>800.4</v>
          </cell>
        </row>
        <row r="1085">
          <cell r="G1085">
            <v>3957</v>
          </cell>
          <cell r="H1085">
            <v>3932</v>
          </cell>
        </row>
        <row r="1099">
          <cell r="G1099">
            <v>147.2</v>
          </cell>
          <cell r="H1099">
            <v>146.8</v>
          </cell>
        </row>
        <row r="1102">
          <cell r="G1102">
            <v>68966.1</v>
          </cell>
          <cell r="H1102">
            <v>67896.9</v>
          </cell>
        </row>
        <row r="1110">
          <cell r="G1110">
            <v>34992.6</v>
          </cell>
          <cell r="H1110">
            <v>34341.6</v>
          </cell>
        </row>
        <row r="1117">
          <cell r="G1117">
            <v>10916.7</v>
          </cell>
          <cell r="H1117">
            <v>10855.3</v>
          </cell>
        </row>
        <row r="1121">
          <cell r="G1121">
            <v>2637.1</v>
          </cell>
          <cell r="H1121">
            <v>2629.9</v>
          </cell>
        </row>
        <row r="1125">
          <cell r="G1125">
            <v>531.2</v>
          </cell>
          <cell r="H1125">
            <v>477.2</v>
          </cell>
        </row>
        <row r="1129">
          <cell r="G1129">
            <v>13014.5</v>
          </cell>
          <cell r="H1129">
            <v>12996.3</v>
          </cell>
        </row>
        <row r="1133">
          <cell r="G1133">
            <v>60</v>
          </cell>
          <cell r="H1133">
            <v>60</v>
          </cell>
        </row>
        <row r="1136">
          <cell r="G1136">
            <v>49280.3</v>
          </cell>
          <cell r="H1136">
            <v>49167.9</v>
          </cell>
        </row>
        <row r="1140">
          <cell r="G1140">
            <v>8350.2</v>
          </cell>
          <cell r="H1140">
            <v>8116.2</v>
          </cell>
        </row>
        <row r="1146">
          <cell r="G1146">
            <v>9799.1</v>
          </cell>
          <cell r="H1146">
            <v>9748</v>
          </cell>
        </row>
        <row r="1159">
          <cell r="G1159">
            <v>3431.4</v>
          </cell>
          <cell r="H1159">
            <v>3430.9</v>
          </cell>
        </row>
        <row r="1160">
          <cell r="G1160">
            <v>395.5</v>
          </cell>
          <cell r="H1160">
            <v>393.4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."/>
      <sheetName val="Ведомств."/>
      <sheetName val="Госполномочия"/>
      <sheetName val="заимст"/>
    </sheetNames>
    <sheetDataSet>
      <sheetData sheetId="1">
        <row r="83">
          <cell r="F83" t="str">
            <v>500</v>
          </cell>
        </row>
        <row r="141">
          <cell r="F141" t="str">
            <v>003</v>
          </cell>
        </row>
        <row r="180">
          <cell r="F180" t="str">
            <v>500</v>
          </cell>
        </row>
        <row r="188">
          <cell r="F188" t="str">
            <v>500</v>
          </cell>
        </row>
        <row r="218">
          <cell r="F218" t="str">
            <v>915</v>
          </cell>
        </row>
        <row r="241">
          <cell r="F241" t="str">
            <v>003</v>
          </cell>
        </row>
        <row r="586">
          <cell r="F586" t="str">
            <v>908</v>
          </cell>
        </row>
        <row r="701">
          <cell r="F701" t="str">
            <v>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4"/>
  <sheetViews>
    <sheetView workbookViewId="0" topLeftCell="A16">
      <selection activeCell="F1" sqref="A1:F22"/>
    </sheetView>
  </sheetViews>
  <sheetFormatPr defaultColWidth="9.00390625" defaultRowHeight="12.75"/>
  <cols>
    <col min="1" max="1" width="45.375" style="264" customWidth="1"/>
    <col min="2" max="2" width="4.625" style="0" customWidth="1"/>
    <col min="3" max="3" width="14.625" style="0" customWidth="1"/>
    <col min="4" max="4" width="5.125" style="0" customWidth="1"/>
    <col min="5" max="5" width="18.25390625" style="8" customWidth="1"/>
    <col min="7" max="7" width="13.125" style="0" bestFit="1" customWidth="1"/>
  </cols>
  <sheetData>
    <row r="1" spans="5:6" ht="12.75">
      <c r="E1" s="3" t="s">
        <v>640</v>
      </c>
      <c r="F1" s="3"/>
    </row>
    <row r="2" spans="5:6" ht="12.75">
      <c r="E2" s="281" t="s">
        <v>657</v>
      </c>
      <c r="F2" s="3"/>
    </row>
    <row r="3" spans="1:256" ht="12.75" customHeight="1">
      <c r="A3" s="262"/>
      <c r="B3" s="263"/>
      <c r="C3" s="263"/>
      <c r="D3" s="263"/>
      <c r="E3" s="281" t="s">
        <v>658</v>
      </c>
      <c r="F3" s="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3"/>
      <c r="DP3" s="263"/>
      <c r="DQ3" s="263"/>
      <c r="DR3" s="263"/>
      <c r="DS3" s="263"/>
      <c r="DT3" s="263"/>
      <c r="DU3" s="263"/>
      <c r="DV3" s="263"/>
      <c r="DW3" s="263"/>
      <c r="DX3" s="263"/>
      <c r="DY3" s="263"/>
      <c r="DZ3" s="263"/>
      <c r="EA3" s="263"/>
      <c r="EB3" s="263"/>
      <c r="EC3" s="263"/>
      <c r="ED3" s="263"/>
      <c r="EE3" s="263"/>
      <c r="EF3" s="263"/>
      <c r="EG3" s="263"/>
      <c r="EH3" s="263"/>
      <c r="EI3" s="263"/>
      <c r="EJ3" s="263"/>
      <c r="EK3" s="263"/>
      <c r="EL3" s="263"/>
      <c r="EM3" s="263"/>
      <c r="EN3" s="263"/>
      <c r="EO3" s="263"/>
      <c r="EP3" s="263"/>
      <c r="EQ3" s="263"/>
      <c r="ER3" s="263"/>
      <c r="ES3" s="263"/>
      <c r="ET3" s="263"/>
      <c r="EU3" s="263"/>
      <c r="EV3" s="263"/>
      <c r="EW3" s="263"/>
      <c r="EX3" s="263"/>
      <c r="EY3" s="263"/>
      <c r="EZ3" s="263"/>
      <c r="FA3" s="263"/>
      <c r="FB3" s="263"/>
      <c r="FC3" s="263"/>
      <c r="FD3" s="263"/>
      <c r="FE3" s="263"/>
      <c r="FF3" s="263"/>
      <c r="FG3" s="263"/>
      <c r="FH3" s="263"/>
      <c r="FI3" s="263"/>
      <c r="FJ3" s="263"/>
      <c r="FK3" s="263"/>
      <c r="FL3" s="263"/>
      <c r="FM3" s="263"/>
      <c r="FN3" s="263"/>
      <c r="FO3" s="263"/>
      <c r="FP3" s="263"/>
      <c r="FQ3" s="263"/>
      <c r="FR3" s="263"/>
      <c r="FS3" s="263"/>
      <c r="FT3" s="263"/>
      <c r="FU3" s="263"/>
      <c r="FV3" s="263"/>
      <c r="FW3" s="263"/>
      <c r="FX3" s="263"/>
      <c r="FY3" s="263"/>
      <c r="FZ3" s="263"/>
      <c r="GA3" s="263"/>
      <c r="GB3" s="263"/>
      <c r="GC3" s="263"/>
      <c r="GD3" s="263"/>
      <c r="GE3" s="263"/>
      <c r="GF3" s="263"/>
      <c r="GG3" s="263"/>
      <c r="GH3" s="263"/>
      <c r="GI3" s="263"/>
      <c r="GJ3" s="263"/>
      <c r="GK3" s="263"/>
      <c r="GL3" s="263"/>
      <c r="GM3" s="263"/>
      <c r="GN3" s="263"/>
      <c r="GO3" s="263"/>
      <c r="GP3" s="263"/>
      <c r="GQ3" s="263"/>
      <c r="GR3" s="263"/>
      <c r="GS3" s="263"/>
      <c r="GT3" s="263"/>
      <c r="GU3" s="263"/>
      <c r="GV3" s="263"/>
      <c r="GW3" s="263"/>
      <c r="GX3" s="263"/>
      <c r="GY3" s="263"/>
      <c r="GZ3" s="263"/>
      <c r="HA3" s="263"/>
      <c r="HB3" s="263"/>
      <c r="HC3" s="263"/>
      <c r="HD3" s="263"/>
      <c r="HE3" s="263"/>
      <c r="HF3" s="263"/>
      <c r="HG3" s="263"/>
      <c r="HH3" s="263"/>
      <c r="HI3" s="263"/>
      <c r="HJ3" s="263"/>
      <c r="HK3" s="263"/>
      <c r="HL3" s="263"/>
      <c r="HM3" s="263"/>
      <c r="HN3" s="263"/>
      <c r="HO3" s="263"/>
      <c r="HP3" s="263"/>
      <c r="HQ3" s="263"/>
      <c r="HR3" s="263"/>
      <c r="HS3" s="263"/>
      <c r="HT3" s="263"/>
      <c r="HU3" s="263"/>
      <c r="HV3" s="263"/>
      <c r="HW3" s="263"/>
      <c r="HX3" s="263"/>
      <c r="HY3" s="263"/>
      <c r="HZ3" s="263"/>
      <c r="IA3" s="263"/>
      <c r="IB3" s="263"/>
      <c r="IC3" s="263"/>
      <c r="ID3" s="263"/>
      <c r="IE3" s="263"/>
      <c r="IF3" s="263"/>
      <c r="IG3" s="263"/>
      <c r="IH3" s="263"/>
      <c r="II3" s="263"/>
      <c r="IJ3" s="263"/>
      <c r="IK3" s="263"/>
      <c r="IL3" s="263"/>
      <c r="IM3" s="263"/>
      <c r="IN3" s="263"/>
      <c r="IO3" s="263"/>
      <c r="IP3" s="263"/>
      <c r="IQ3" s="263"/>
      <c r="IR3" s="263"/>
      <c r="IS3" s="263"/>
      <c r="IT3" s="263"/>
      <c r="IU3" s="263"/>
      <c r="IV3" s="263"/>
    </row>
    <row r="4" spans="1:256" ht="12.75" customHeight="1">
      <c r="A4" s="262"/>
      <c r="B4" s="263"/>
      <c r="C4" s="263"/>
      <c r="D4" s="263"/>
      <c r="E4" s="281" t="s">
        <v>659</v>
      </c>
      <c r="F4" s="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  <c r="AE4" s="263"/>
      <c r="AF4" s="263"/>
      <c r="AG4" s="263"/>
      <c r="AH4" s="263"/>
      <c r="AI4" s="263"/>
      <c r="AJ4" s="263"/>
      <c r="AK4" s="263"/>
      <c r="AL4" s="263"/>
      <c r="AM4" s="263"/>
      <c r="AN4" s="263"/>
      <c r="AO4" s="263"/>
      <c r="AP4" s="263"/>
      <c r="AQ4" s="263"/>
      <c r="AR4" s="263"/>
      <c r="AS4" s="263"/>
      <c r="AT4" s="263"/>
      <c r="AU4" s="263"/>
      <c r="AV4" s="263"/>
      <c r="AW4" s="263"/>
      <c r="AX4" s="263"/>
      <c r="AY4" s="263"/>
      <c r="AZ4" s="263"/>
      <c r="BA4" s="263"/>
      <c r="BB4" s="263"/>
      <c r="BC4" s="263"/>
      <c r="BD4" s="263"/>
      <c r="BE4" s="263"/>
      <c r="BF4" s="263"/>
      <c r="BG4" s="263"/>
      <c r="BH4" s="263"/>
      <c r="BI4" s="263"/>
      <c r="BJ4" s="263"/>
      <c r="BK4" s="263"/>
      <c r="BL4" s="263"/>
      <c r="BM4" s="263"/>
      <c r="BN4" s="263"/>
      <c r="BO4" s="263"/>
      <c r="BP4" s="263"/>
      <c r="BQ4" s="263"/>
      <c r="BR4" s="263"/>
      <c r="BS4" s="263"/>
      <c r="BT4" s="263"/>
      <c r="BU4" s="263"/>
      <c r="BV4" s="263"/>
      <c r="BW4" s="263"/>
      <c r="BX4" s="263"/>
      <c r="BY4" s="263"/>
      <c r="BZ4" s="263"/>
      <c r="CA4" s="263"/>
      <c r="CB4" s="263"/>
      <c r="CC4" s="263"/>
      <c r="CD4" s="263"/>
      <c r="CE4" s="263"/>
      <c r="CF4" s="263"/>
      <c r="CG4" s="263"/>
      <c r="CH4" s="263"/>
      <c r="CI4" s="263"/>
      <c r="CJ4" s="263"/>
      <c r="CK4" s="263"/>
      <c r="CL4" s="263"/>
      <c r="CM4" s="263"/>
      <c r="CN4" s="263"/>
      <c r="CO4" s="263"/>
      <c r="CP4" s="263"/>
      <c r="CQ4" s="263"/>
      <c r="CR4" s="263"/>
      <c r="CS4" s="263"/>
      <c r="CT4" s="263"/>
      <c r="CU4" s="263"/>
      <c r="CV4" s="263"/>
      <c r="CW4" s="263"/>
      <c r="CX4" s="263"/>
      <c r="CY4" s="263"/>
      <c r="CZ4" s="263"/>
      <c r="DA4" s="263"/>
      <c r="DB4" s="263"/>
      <c r="DC4" s="263"/>
      <c r="DD4" s="263"/>
      <c r="DE4" s="263"/>
      <c r="DF4" s="263"/>
      <c r="DG4" s="263"/>
      <c r="DH4" s="263"/>
      <c r="DI4" s="263"/>
      <c r="DJ4" s="263"/>
      <c r="DK4" s="263"/>
      <c r="DL4" s="263"/>
      <c r="DM4" s="263"/>
      <c r="DN4" s="263"/>
      <c r="DO4" s="263"/>
      <c r="DP4" s="263"/>
      <c r="DQ4" s="263"/>
      <c r="DR4" s="263"/>
      <c r="DS4" s="263"/>
      <c r="DT4" s="263"/>
      <c r="DU4" s="263"/>
      <c r="DV4" s="263"/>
      <c r="DW4" s="263"/>
      <c r="DX4" s="263"/>
      <c r="DY4" s="263"/>
      <c r="DZ4" s="263"/>
      <c r="EA4" s="263"/>
      <c r="EB4" s="263"/>
      <c r="EC4" s="263"/>
      <c r="ED4" s="263"/>
      <c r="EE4" s="263"/>
      <c r="EF4" s="263"/>
      <c r="EG4" s="263"/>
      <c r="EH4" s="263"/>
      <c r="EI4" s="263"/>
      <c r="EJ4" s="263"/>
      <c r="EK4" s="263"/>
      <c r="EL4" s="263"/>
      <c r="EM4" s="263"/>
      <c r="EN4" s="263"/>
      <c r="EO4" s="263"/>
      <c r="EP4" s="263"/>
      <c r="EQ4" s="263"/>
      <c r="ER4" s="263"/>
      <c r="ES4" s="263"/>
      <c r="ET4" s="263"/>
      <c r="EU4" s="263"/>
      <c r="EV4" s="263"/>
      <c r="EW4" s="263"/>
      <c r="EX4" s="263"/>
      <c r="EY4" s="263"/>
      <c r="EZ4" s="263"/>
      <c r="FA4" s="263"/>
      <c r="FB4" s="263"/>
      <c r="FC4" s="263"/>
      <c r="FD4" s="263"/>
      <c r="FE4" s="263"/>
      <c r="FF4" s="263"/>
      <c r="FG4" s="263"/>
      <c r="FH4" s="263"/>
      <c r="FI4" s="263"/>
      <c r="FJ4" s="263"/>
      <c r="FK4" s="263"/>
      <c r="FL4" s="263"/>
      <c r="FM4" s="263"/>
      <c r="FN4" s="263"/>
      <c r="FO4" s="263"/>
      <c r="FP4" s="263"/>
      <c r="FQ4" s="263"/>
      <c r="FR4" s="263"/>
      <c r="FS4" s="263"/>
      <c r="FT4" s="263"/>
      <c r="FU4" s="263"/>
      <c r="FV4" s="263"/>
      <c r="FW4" s="263"/>
      <c r="FX4" s="263"/>
      <c r="FY4" s="263"/>
      <c r="FZ4" s="263"/>
      <c r="GA4" s="263"/>
      <c r="GB4" s="263"/>
      <c r="GC4" s="263"/>
      <c r="GD4" s="263"/>
      <c r="GE4" s="263"/>
      <c r="GF4" s="263"/>
      <c r="GG4" s="263"/>
      <c r="GH4" s="263"/>
      <c r="GI4" s="263"/>
      <c r="GJ4" s="263"/>
      <c r="GK4" s="263"/>
      <c r="GL4" s="263"/>
      <c r="GM4" s="263"/>
      <c r="GN4" s="263"/>
      <c r="GO4" s="263"/>
      <c r="GP4" s="263"/>
      <c r="GQ4" s="263"/>
      <c r="GR4" s="263"/>
      <c r="GS4" s="263"/>
      <c r="GT4" s="263"/>
      <c r="GU4" s="263"/>
      <c r="GV4" s="263"/>
      <c r="GW4" s="263"/>
      <c r="GX4" s="263"/>
      <c r="GY4" s="263"/>
      <c r="GZ4" s="263"/>
      <c r="HA4" s="263"/>
      <c r="HB4" s="263"/>
      <c r="HC4" s="263"/>
      <c r="HD4" s="263"/>
      <c r="HE4" s="263"/>
      <c r="HF4" s="263"/>
      <c r="HG4" s="263"/>
      <c r="HH4" s="263"/>
      <c r="HI4" s="263"/>
      <c r="HJ4" s="263"/>
      <c r="HK4" s="263"/>
      <c r="HL4" s="263"/>
      <c r="HM4" s="263"/>
      <c r="HN4" s="263"/>
      <c r="HO4" s="263"/>
      <c r="HP4" s="263"/>
      <c r="HQ4" s="263"/>
      <c r="HR4" s="263"/>
      <c r="HS4" s="263"/>
      <c r="HT4" s="263"/>
      <c r="HU4" s="263"/>
      <c r="HV4" s="263"/>
      <c r="HW4" s="263"/>
      <c r="HX4" s="263"/>
      <c r="HY4" s="263"/>
      <c r="HZ4" s="263"/>
      <c r="IA4" s="263"/>
      <c r="IB4" s="263"/>
      <c r="IC4" s="263"/>
      <c r="ID4" s="263"/>
      <c r="IE4" s="263"/>
      <c r="IF4" s="263"/>
      <c r="IG4" s="263"/>
      <c r="IH4" s="263"/>
      <c r="II4" s="263"/>
      <c r="IJ4" s="263"/>
      <c r="IK4" s="263"/>
      <c r="IL4" s="263"/>
      <c r="IM4" s="263"/>
      <c r="IN4" s="263"/>
      <c r="IO4" s="263"/>
      <c r="IP4" s="263"/>
      <c r="IQ4" s="263"/>
      <c r="IR4" s="263"/>
      <c r="IS4" s="263"/>
      <c r="IT4" s="263"/>
      <c r="IU4" s="263"/>
      <c r="IV4" s="263"/>
    </row>
    <row r="5" spans="1:256" ht="12.75" customHeight="1">
      <c r="A5" s="262"/>
      <c r="B5" s="263"/>
      <c r="C5" s="263"/>
      <c r="D5" s="282"/>
      <c r="E5" s="282" t="s">
        <v>1344</v>
      </c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3"/>
      <c r="AS5" s="263"/>
      <c r="AT5" s="263"/>
      <c r="AU5" s="263"/>
      <c r="AV5" s="263"/>
      <c r="AW5" s="263"/>
      <c r="AX5" s="263"/>
      <c r="AY5" s="263"/>
      <c r="AZ5" s="263"/>
      <c r="BA5" s="263"/>
      <c r="BB5" s="263"/>
      <c r="BC5" s="263"/>
      <c r="BD5" s="263"/>
      <c r="BE5" s="263"/>
      <c r="BF5" s="263"/>
      <c r="BG5" s="263"/>
      <c r="BH5" s="263"/>
      <c r="BI5" s="263"/>
      <c r="BJ5" s="263"/>
      <c r="BK5" s="263"/>
      <c r="BL5" s="263"/>
      <c r="BM5" s="263"/>
      <c r="BN5" s="263"/>
      <c r="BO5" s="263"/>
      <c r="BP5" s="263"/>
      <c r="BQ5" s="263"/>
      <c r="BR5" s="263"/>
      <c r="BS5" s="263"/>
      <c r="BT5" s="263"/>
      <c r="BU5" s="263"/>
      <c r="BV5" s="263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3"/>
      <c r="CN5" s="263"/>
      <c r="CO5" s="263"/>
      <c r="CP5" s="263"/>
      <c r="CQ5" s="263"/>
      <c r="CR5" s="263"/>
      <c r="CS5" s="263"/>
      <c r="CT5" s="263"/>
      <c r="CU5" s="263"/>
      <c r="CV5" s="263"/>
      <c r="CW5" s="263"/>
      <c r="CX5" s="263"/>
      <c r="CY5" s="263"/>
      <c r="CZ5" s="263"/>
      <c r="DA5" s="263"/>
      <c r="DB5" s="263"/>
      <c r="DC5" s="263"/>
      <c r="DD5" s="263"/>
      <c r="DE5" s="263"/>
      <c r="DF5" s="263"/>
      <c r="DG5" s="263"/>
      <c r="DH5" s="263"/>
      <c r="DI5" s="263"/>
      <c r="DJ5" s="263"/>
      <c r="DK5" s="263"/>
      <c r="DL5" s="263"/>
      <c r="DM5" s="263"/>
      <c r="DN5" s="263"/>
      <c r="DO5" s="263"/>
      <c r="DP5" s="263"/>
      <c r="DQ5" s="263"/>
      <c r="DR5" s="263"/>
      <c r="DS5" s="263"/>
      <c r="DT5" s="263"/>
      <c r="DU5" s="263"/>
      <c r="DV5" s="263"/>
      <c r="DW5" s="263"/>
      <c r="DX5" s="263"/>
      <c r="DY5" s="263"/>
      <c r="DZ5" s="263"/>
      <c r="EA5" s="263"/>
      <c r="EB5" s="263"/>
      <c r="EC5" s="263"/>
      <c r="ED5" s="263"/>
      <c r="EE5" s="263"/>
      <c r="EF5" s="263"/>
      <c r="EG5" s="263"/>
      <c r="EH5" s="263"/>
      <c r="EI5" s="263"/>
      <c r="EJ5" s="263"/>
      <c r="EK5" s="263"/>
      <c r="EL5" s="263"/>
      <c r="EM5" s="263"/>
      <c r="EN5" s="263"/>
      <c r="EO5" s="263"/>
      <c r="EP5" s="263"/>
      <c r="EQ5" s="263"/>
      <c r="ER5" s="263"/>
      <c r="ES5" s="263"/>
      <c r="ET5" s="263"/>
      <c r="EU5" s="263"/>
      <c r="EV5" s="263"/>
      <c r="EW5" s="263"/>
      <c r="EX5" s="263"/>
      <c r="EY5" s="263"/>
      <c r="EZ5" s="263"/>
      <c r="FA5" s="263"/>
      <c r="FB5" s="263"/>
      <c r="FC5" s="263"/>
      <c r="FD5" s="263"/>
      <c r="FE5" s="263"/>
      <c r="FF5" s="263"/>
      <c r="FG5" s="263"/>
      <c r="FH5" s="263"/>
      <c r="FI5" s="263"/>
      <c r="FJ5" s="263"/>
      <c r="FK5" s="263"/>
      <c r="FL5" s="263"/>
      <c r="FM5" s="263"/>
      <c r="FN5" s="263"/>
      <c r="FO5" s="263"/>
      <c r="FP5" s="263"/>
      <c r="FQ5" s="263"/>
      <c r="FR5" s="263"/>
      <c r="FS5" s="263"/>
      <c r="FT5" s="263"/>
      <c r="FU5" s="263"/>
      <c r="FV5" s="263"/>
      <c r="FW5" s="263"/>
      <c r="FX5" s="263"/>
      <c r="FY5" s="263"/>
      <c r="FZ5" s="263"/>
      <c r="GA5" s="263"/>
      <c r="GB5" s="263"/>
      <c r="GC5" s="263"/>
      <c r="GD5" s="263"/>
      <c r="GE5" s="263"/>
      <c r="GF5" s="263"/>
      <c r="GG5" s="263"/>
      <c r="GH5" s="263"/>
      <c r="GI5" s="263"/>
      <c r="GJ5" s="263"/>
      <c r="GK5" s="263"/>
      <c r="GL5" s="263"/>
      <c r="GM5" s="263"/>
      <c r="GN5" s="263"/>
      <c r="GO5" s="263"/>
      <c r="GP5" s="263"/>
      <c r="GQ5" s="263"/>
      <c r="GR5" s="263"/>
      <c r="GS5" s="263"/>
      <c r="GT5" s="263"/>
      <c r="GU5" s="263"/>
      <c r="GV5" s="263"/>
      <c r="GW5" s="263"/>
      <c r="GX5" s="263"/>
      <c r="GY5" s="263"/>
      <c r="GZ5" s="263"/>
      <c r="HA5" s="263"/>
      <c r="HB5" s="263"/>
      <c r="HC5" s="263"/>
      <c r="HD5" s="263"/>
      <c r="HE5" s="263"/>
      <c r="HF5" s="263"/>
      <c r="HG5" s="263"/>
      <c r="HH5" s="263"/>
      <c r="HI5" s="263"/>
      <c r="HJ5" s="263"/>
      <c r="HK5" s="263"/>
      <c r="HL5" s="263"/>
      <c r="HM5" s="263"/>
      <c r="HN5" s="263"/>
      <c r="HO5" s="263"/>
      <c r="HP5" s="263"/>
      <c r="HQ5" s="263"/>
      <c r="HR5" s="263"/>
      <c r="HS5" s="263"/>
      <c r="HT5" s="263"/>
      <c r="HU5" s="263"/>
      <c r="HV5" s="263"/>
      <c r="HW5" s="263"/>
      <c r="HX5" s="263"/>
      <c r="HY5" s="263"/>
      <c r="HZ5" s="263"/>
      <c r="IA5" s="263"/>
      <c r="IB5" s="263"/>
      <c r="IC5" s="263"/>
      <c r="ID5" s="263"/>
      <c r="IE5" s="263"/>
      <c r="IF5" s="263"/>
      <c r="IG5" s="263"/>
      <c r="IH5" s="263"/>
      <c r="II5" s="263"/>
      <c r="IJ5" s="263"/>
      <c r="IK5" s="263"/>
      <c r="IL5" s="263"/>
      <c r="IM5" s="263"/>
      <c r="IN5" s="263"/>
      <c r="IO5" s="263"/>
      <c r="IP5" s="263"/>
      <c r="IQ5" s="263"/>
      <c r="IR5" s="263"/>
      <c r="IS5" s="263"/>
      <c r="IT5" s="263"/>
      <c r="IU5" s="263"/>
      <c r="IV5" s="263"/>
    </row>
    <row r="6" spans="1:5" ht="40.5" customHeight="1">
      <c r="A6" s="320" t="s">
        <v>441</v>
      </c>
      <c r="B6" s="320"/>
      <c r="C6" s="320"/>
      <c r="D6" s="320"/>
      <c r="E6" s="320"/>
    </row>
    <row r="7" ht="12.75" customHeight="1"/>
    <row r="8" ht="12.75" customHeight="1">
      <c r="E8" s="265" t="s">
        <v>442</v>
      </c>
    </row>
    <row r="9" spans="1:5" ht="42" customHeight="1">
      <c r="A9" s="266" t="s">
        <v>443</v>
      </c>
      <c r="B9" s="321" t="s">
        <v>444</v>
      </c>
      <c r="C9" s="322"/>
      <c r="D9" s="323"/>
      <c r="E9" s="266" t="s">
        <v>666</v>
      </c>
    </row>
    <row r="10" spans="1:5" s="268" customFormat="1" ht="23.25" customHeight="1">
      <c r="A10" s="324" t="s">
        <v>445</v>
      </c>
      <c r="B10" s="325"/>
      <c r="C10" s="325"/>
      <c r="D10" s="326"/>
      <c r="E10" s="267">
        <f>SUM(E11:E134)</f>
        <v>2894885.8160000006</v>
      </c>
    </row>
    <row r="11" spans="1:5" ht="67.5" customHeight="1">
      <c r="A11" s="269" t="s">
        <v>446</v>
      </c>
      <c r="B11" s="270" t="s">
        <v>447</v>
      </c>
      <c r="C11" s="271" t="s">
        <v>448</v>
      </c>
      <c r="D11" s="272" t="s">
        <v>449</v>
      </c>
      <c r="E11" s="273">
        <v>9227</v>
      </c>
    </row>
    <row r="12" spans="1:5" ht="54">
      <c r="A12" s="269" t="s">
        <v>450</v>
      </c>
      <c r="B12" s="270" t="s">
        <v>447</v>
      </c>
      <c r="C12" s="271" t="s">
        <v>451</v>
      </c>
      <c r="D12" s="272" t="s">
        <v>449</v>
      </c>
      <c r="E12" s="273">
        <v>84.9</v>
      </c>
    </row>
    <row r="13" spans="1:5" ht="94.5">
      <c r="A13" s="274" t="s">
        <v>452</v>
      </c>
      <c r="B13" s="275" t="s">
        <v>447</v>
      </c>
      <c r="C13" s="276" t="s">
        <v>453</v>
      </c>
      <c r="D13" s="277" t="s">
        <v>449</v>
      </c>
      <c r="E13" s="273">
        <v>574535</v>
      </c>
    </row>
    <row r="14" spans="1:5" ht="81">
      <c r="A14" s="274" t="s">
        <v>454</v>
      </c>
      <c r="B14" s="275" t="s">
        <v>447</v>
      </c>
      <c r="C14" s="276" t="s">
        <v>455</v>
      </c>
      <c r="D14" s="277" t="s">
        <v>449</v>
      </c>
      <c r="E14" s="273">
        <v>5479.8</v>
      </c>
    </row>
    <row r="15" spans="1:5" ht="40.5">
      <c r="A15" s="269" t="s">
        <v>456</v>
      </c>
      <c r="B15" s="278" t="s">
        <v>447</v>
      </c>
      <c r="C15" s="279" t="s">
        <v>457</v>
      </c>
      <c r="D15" s="280" t="s">
        <v>449</v>
      </c>
      <c r="E15" s="273">
        <v>129.9</v>
      </c>
    </row>
    <row r="16" spans="1:5" ht="81">
      <c r="A16" s="274" t="s">
        <v>458</v>
      </c>
      <c r="B16" s="275" t="s">
        <v>447</v>
      </c>
      <c r="C16" s="276" t="s">
        <v>459</v>
      </c>
      <c r="D16" s="277" t="s">
        <v>449</v>
      </c>
      <c r="E16" s="273">
        <v>-23.6</v>
      </c>
    </row>
    <row r="17" spans="1:5" ht="94.5">
      <c r="A17" s="274" t="s">
        <v>460</v>
      </c>
      <c r="B17" s="278" t="s">
        <v>447</v>
      </c>
      <c r="C17" s="279" t="s">
        <v>461</v>
      </c>
      <c r="D17" s="280" t="s">
        <v>449</v>
      </c>
      <c r="E17" s="273">
        <v>0.1</v>
      </c>
    </row>
    <row r="18" spans="1:5" ht="67.5">
      <c r="A18" s="269" t="s">
        <v>462</v>
      </c>
      <c r="B18" s="275" t="s">
        <v>447</v>
      </c>
      <c r="C18" s="276" t="s">
        <v>463</v>
      </c>
      <c r="D18" s="277" t="s">
        <v>449</v>
      </c>
      <c r="E18" s="273">
        <v>40</v>
      </c>
    </row>
    <row r="19" spans="1:6" ht="27">
      <c r="A19" s="269" t="s">
        <v>464</v>
      </c>
      <c r="B19" s="278" t="s">
        <v>447</v>
      </c>
      <c r="C19" s="279" t="s">
        <v>465</v>
      </c>
      <c r="D19" s="280" t="s">
        <v>449</v>
      </c>
      <c r="E19" s="273">
        <v>39307.4</v>
      </c>
      <c r="F19" s="55"/>
    </row>
    <row r="20" spans="1:5" ht="40.5">
      <c r="A20" s="269" t="s">
        <v>466</v>
      </c>
      <c r="B20" s="275" t="s">
        <v>447</v>
      </c>
      <c r="C20" s="276" t="s">
        <v>467</v>
      </c>
      <c r="D20" s="277" t="s">
        <v>449</v>
      </c>
      <c r="E20" s="273">
        <v>9479</v>
      </c>
    </row>
    <row r="21" spans="1:5" ht="27">
      <c r="A21" s="269" t="s">
        <v>468</v>
      </c>
      <c r="B21" s="278" t="s">
        <v>447</v>
      </c>
      <c r="C21" s="279" t="s">
        <v>469</v>
      </c>
      <c r="D21" s="280" t="s">
        <v>449</v>
      </c>
      <c r="E21" s="273">
        <v>64653.4</v>
      </c>
    </row>
    <row r="22" spans="1:6" ht="13.5">
      <c r="A22" s="269" t="s">
        <v>470</v>
      </c>
      <c r="B22" s="275" t="s">
        <v>447</v>
      </c>
      <c r="C22" s="276" t="s">
        <v>471</v>
      </c>
      <c r="D22" s="277" t="s">
        <v>449</v>
      </c>
      <c r="E22" s="273">
        <v>29.9</v>
      </c>
      <c r="F22" s="55"/>
    </row>
    <row r="23" spans="1:5" ht="40.5">
      <c r="A23" s="269" t="s">
        <v>472</v>
      </c>
      <c r="B23" s="278" t="s">
        <v>447</v>
      </c>
      <c r="C23" s="279" t="s">
        <v>473</v>
      </c>
      <c r="D23" s="280" t="s">
        <v>449</v>
      </c>
      <c r="E23" s="273">
        <v>20222.2</v>
      </c>
    </row>
    <row r="24" spans="1:6" ht="13.5">
      <c r="A24" s="269" t="s">
        <v>474</v>
      </c>
      <c r="B24" s="275" t="s">
        <v>447</v>
      </c>
      <c r="C24" s="276" t="s">
        <v>475</v>
      </c>
      <c r="D24" s="277" t="s">
        <v>449</v>
      </c>
      <c r="E24" s="273">
        <v>7867.3</v>
      </c>
      <c r="F24" s="55"/>
    </row>
    <row r="25" spans="1:5" ht="13.5">
      <c r="A25" s="269" t="s">
        <v>476</v>
      </c>
      <c r="B25" s="278" t="s">
        <v>447</v>
      </c>
      <c r="C25" s="279" t="s">
        <v>477</v>
      </c>
      <c r="D25" s="280" t="s">
        <v>449</v>
      </c>
      <c r="E25" s="273">
        <v>21222.6</v>
      </c>
    </row>
    <row r="26" spans="1:5" ht="13.5">
      <c r="A26" s="269" t="s">
        <v>478</v>
      </c>
      <c r="B26" s="275" t="s">
        <v>447</v>
      </c>
      <c r="C26" s="276" t="s">
        <v>479</v>
      </c>
      <c r="D26" s="277" t="s">
        <v>449</v>
      </c>
      <c r="E26" s="273">
        <v>-121.4</v>
      </c>
    </row>
    <row r="27" spans="1:5" ht="54">
      <c r="A27" s="269" t="s">
        <v>480</v>
      </c>
      <c r="B27" s="278" t="s">
        <v>447</v>
      </c>
      <c r="C27" s="279" t="s">
        <v>481</v>
      </c>
      <c r="D27" s="280" t="s">
        <v>449</v>
      </c>
      <c r="E27" s="273">
        <v>7912.1</v>
      </c>
    </row>
    <row r="28" spans="1:5" ht="54">
      <c r="A28" s="269" t="s">
        <v>482</v>
      </c>
      <c r="B28" s="275" t="s">
        <v>447</v>
      </c>
      <c r="C28" s="276" t="s">
        <v>483</v>
      </c>
      <c r="D28" s="277" t="s">
        <v>449</v>
      </c>
      <c r="E28" s="273">
        <v>58450.8</v>
      </c>
    </row>
    <row r="29" spans="1:5" ht="13.5">
      <c r="A29" s="269" t="s">
        <v>484</v>
      </c>
      <c r="B29" s="278" t="s">
        <v>447</v>
      </c>
      <c r="C29" s="279" t="s">
        <v>485</v>
      </c>
      <c r="D29" s="280" t="s">
        <v>449</v>
      </c>
      <c r="E29" s="273">
        <v>2436.4</v>
      </c>
    </row>
    <row r="30" spans="1:5" ht="27">
      <c r="A30" s="269" t="s">
        <v>486</v>
      </c>
      <c r="B30" s="275" t="s">
        <v>447</v>
      </c>
      <c r="C30" s="276" t="s">
        <v>487</v>
      </c>
      <c r="D30" s="277" t="s">
        <v>449</v>
      </c>
      <c r="E30" s="273">
        <v>976.8</v>
      </c>
    </row>
    <row r="31" spans="1:5" ht="40.5">
      <c r="A31" s="269" t="s">
        <v>488</v>
      </c>
      <c r="B31" s="278" t="s">
        <v>447</v>
      </c>
      <c r="C31" s="279" t="s">
        <v>489</v>
      </c>
      <c r="D31" s="280" t="s">
        <v>449</v>
      </c>
      <c r="E31" s="273">
        <v>7402.3</v>
      </c>
    </row>
    <row r="32" spans="1:5" ht="81">
      <c r="A32" s="274" t="s">
        <v>490</v>
      </c>
      <c r="B32" s="275" t="s">
        <v>1423</v>
      </c>
      <c r="C32" s="276" t="s">
        <v>491</v>
      </c>
      <c r="D32" s="277" t="s">
        <v>449</v>
      </c>
      <c r="E32" s="273">
        <v>44</v>
      </c>
    </row>
    <row r="33" spans="1:6" ht="81">
      <c r="A33" s="274" t="s">
        <v>492</v>
      </c>
      <c r="B33" s="278" t="s">
        <v>493</v>
      </c>
      <c r="C33" s="279" t="s">
        <v>494</v>
      </c>
      <c r="D33" s="280" t="s">
        <v>449</v>
      </c>
      <c r="E33" s="273">
        <v>627.7</v>
      </c>
      <c r="F33" s="55"/>
    </row>
    <row r="34" spans="1:5" ht="81">
      <c r="A34" s="274" t="s">
        <v>492</v>
      </c>
      <c r="B34" s="275" t="s">
        <v>424</v>
      </c>
      <c r="C34" s="276" t="s">
        <v>494</v>
      </c>
      <c r="D34" s="277" t="s">
        <v>449</v>
      </c>
      <c r="E34" s="273">
        <v>42691.7</v>
      </c>
    </row>
    <row r="35" spans="1:5" ht="27">
      <c r="A35" s="269" t="s">
        <v>495</v>
      </c>
      <c r="B35" s="278" t="s">
        <v>1423</v>
      </c>
      <c r="C35" s="279" t="s">
        <v>496</v>
      </c>
      <c r="D35" s="280" t="s">
        <v>449</v>
      </c>
      <c r="E35" s="273">
        <v>6</v>
      </c>
    </row>
    <row r="36" spans="1:5" ht="27">
      <c r="A36" s="269" t="s">
        <v>495</v>
      </c>
      <c r="B36" s="275" t="s">
        <v>414</v>
      </c>
      <c r="C36" s="276" t="s">
        <v>496</v>
      </c>
      <c r="D36" s="277" t="s">
        <v>449</v>
      </c>
      <c r="E36" s="273">
        <v>12</v>
      </c>
    </row>
    <row r="37" spans="1:5" ht="40.5">
      <c r="A37" s="269" t="s">
        <v>497</v>
      </c>
      <c r="B37" s="278" t="s">
        <v>447</v>
      </c>
      <c r="C37" s="279" t="s">
        <v>498</v>
      </c>
      <c r="D37" s="280" t="s">
        <v>449</v>
      </c>
      <c r="E37" s="273">
        <v>-1.1</v>
      </c>
    </row>
    <row r="38" spans="1:6" ht="13.5">
      <c r="A38" s="269" t="s">
        <v>499</v>
      </c>
      <c r="B38" s="275" t="s">
        <v>447</v>
      </c>
      <c r="C38" s="276" t="s">
        <v>500</v>
      </c>
      <c r="D38" s="277" t="s">
        <v>449</v>
      </c>
      <c r="E38" s="273">
        <v>0.1</v>
      </c>
      <c r="F38" s="55"/>
    </row>
    <row r="39" spans="1:6" ht="27">
      <c r="A39" s="269" t="s">
        <v>501</v>
      </c>
      <c r="B39" s="275" t="s">
        <v>447</v>
      </c>
      <c r="C39" s="276" t="s">
        <v>502</v>
      </c>
      <c r="D39" s="277" t="s">
        <v>449</v>
      </c>
      <c r="E39" s="273">
        <v>1110.1</v>
      </c>
      <c r="F39" s="55"/>
    </row>
    <row r="40" spans="1:6" ht="13.5">
      <c r="A40" s="269" t="s">
        <v>503</v>
      </c>
      <c r="B40" s="278" t="s">
        <v>447</v>
      </c>
      <c r="C40" s="279" t="s">
        <v>504</v>
      </c>
      <c r="D40" s="280" t="s">
        <v>449</v>
      </c>
      <c r="E40" s="273">
        <v>3.2</v>
      </c>
      <c r="F40" s="55"/>
    </row>
    <row r="41" spans="1:6" ht="27">
      <c r="A41" s="269" t="s">
        <v>505</v>
      </c>
      <c r="B41" s="275" t="s">
        <v>447</v>
      </c>
      <c r="C41" s="276" t="s">
        <v>506</v>
      </c>
      <c r="D41" s="277" t="s">
        <v>449</v>
      </c>
      <c r="E41" s="273">
        <v>0.2</v>
      </c>
      <c r="F41" s="55"/>
    </row>
    <row r="42" spans="1:6" ht="27">
      <c r="A42" s="269" t="s">
        <v>507</v>
      </c>
      <c r="B42" s="278" t="s">
        <v>447</v>
      </c>
      <c r="C42" s="279" t="s">
        <v>508</v>
      </c>
      <c r="D42" s="280" t="s">
        <v>449</v>
      </c>
      <c r="E42" s="273">
        <v>-0.9</v>
      </c>
      <c r="F42" s="55"/>
    </row>
    <row r="43" spans="1:6" ht="54">
      <c r="A43" s="269" t="s">
        <v>509</v>
      </c>
      <c r="B43" s="275" t="s">
        <v>447</v>
      </c>
      <c r="C43" s="276" t="s">
        <v>510</v>
      </c>
      <c r="D43" s="277" t="s">
        <v>449</v>
      </c>
      <c r="E43" s="273">
        <v>-0.2</v>
      </c>
      <c r="F43" s="55"/>
    </row>
    <row r="44" spans="1:5" ht="27">
      <c r="A44" s="269" t="s">
        <v>511</v>
      </c>
      <c r="B44" s="278" t="s">
        <v>447</v>
      </c>
      <c r="C44" s="279" t="s">
        <v>512</v>
      </c>
      <c r="D44" s="280" t="s">
        <v>449</v>
      </c>
      <c r="E44" s="273">
        <v>2.9</v>
      </c>
    </row>
    <row r="45" spans="1:5" ht="67.5">
      <c r="A45" s="274" t="s">
        <v>513</v>
      </c>
      <c r="B45" s="275" t="s">
        <v>1423</v>
      </c>
      <c r="C45" s="276" t="s">
        <v>514</v>
      </c>
      <c r="D45" s="277" t="s">
        <v>515</v>
      </c>
      <c r="E45" s="273">
        <v>59007.3</v>
      </c>
    </row>
    <row r="46" spans="1:5" ht="67.5">
      <c r="A46" s="274" t="s">
        <v>513</v>
      </c>
      <c r="B46" s="278" t="s">
        <v>414</v>
      </c>
      <c r="C46" s="279" t="s">
        <v>514</v>
      </c>
      <c r="D46" s="280" t="s">
        <v>515</v>
      </c>
      <c r="E46" s="273">
        <v>11617.6</v>
      </c>
    </row>
    <row r="47" spans="1:5" ht="67.5">
      <c r="A47" s="269" t="s">
        <v>516</v>
      </c>
      <c r="B47" s="275" t="s">
        <v>1423</v>
      </c>
      <c r="C47" s="276" t="s">
        <v>517</v>
      </c>
      <c r="D47" s="277" t="s">
        <v>515</v>
      </c>
      <c r="E47" s="273">
        <v>3035.7</v>
      </c>
    </row>
    <row r="48" spans="1:5" ht="67.5">
      <c r="A48" s="269" t="s">
        <v>516</v>
      </c>
      <c r="B48" s="278" t="s">
        <v>414</v>
      </c>
      <c r="C48" s="279" t="s">
        <v>517</v>
      </c>
      <c r="D48" s="280" t="s">
        <v>515</v>
      </c>
      <c r="E48" s="273">
        <v>400.2</v>
      </c>
    </row>
    <row r="49" spans="1:5" ht="54">
      <c r="A49" s="269" t="s">
        <v>518</v>
      </c>
      <c r="B49" s="275" t="s">
        <v>1423</v>
      </c>
      <c r="C49" s="276" t="s">
        <v>519</v>
      </c>
      <c r="D49" s="277" t="s">
        <v>515</v>
      </c>
      <c r="E49" s="273">
        <v>90.5</v>
      </c>
    </row>
    <row r="50" spans="1:5" ht="67.5">
      <c r="A50" s="269" t="s">
        <v>520</v>
      </c>
      <c r="B50" s="278" t="s">
        <v>1423</v>
      </c>
      <c r="C50" s="279" t="s">
        <v>521</v>
      </c>
      <c r="D50" s="280" t="s">
        <v>515</v>
      </c>
      <c r="E50" s="273">
        <v>14313.1</v>
      </c>
    </row>
    <row r="51" spans="1:5" ht="67.5">
      <c r="A51" s="269" t="s">
        <v>520</v>
      </c>
      <c r="B51" s="275" t="s">
        <v>414</v>
      </c>
      <c r="C51" s="276" t="s">
        <v>521</v>
      </c>
      <c r="D51" s="277" t="s">
        <v>515</v>
      </c>
      <c r="E51" s="273">
        <v>2224</v>
      </c>
    </row>
    <row r="52" spans="1:5" ht="13.5">
      <c r="A52" s="269" t="s">
        <v>522</v>
      </c>
      <c r="B52" s="278" t="s">
        <v>523</v>
      </c>
      <c r="C52" s="279" t="s">
        <v>524</v>
      </c>
      <c r="D52" s="280" t="s">
        <v>515</v>
      </c>
      <c r="E52" s="273">
        <v>6620.2</v>
      </c>
    </row>
    <row r="53" spans="1:5" ht="40.5">
      <c r="A53" s="269" t="s">
        <v>525</v>
      </c>
      <c r="B53" s="275" t="s">
        <v>424</v>
      </c>
      <c r="C53" s="276" t="s">
        <v>526</v>
      </c>
      <c r="D53" s="277" t="s">
        <v>527</v>
      </c>
      <c r="E53" s="273">
        <v>14.111</v>
      </c>
    </row>
    <row r="54" spans="1:5" ht="40.5">
      <c r="A54" s="269" t="s">
        <v>525</v>
      </c>
      <c r="B54" s="278" t="s">
        <v>1423</v>
      </c>
      <c r="C54" s="279" t="s">
        <v>526</v>
      </c>
      <c r="D54" s="280" t="s">
        <v>527</v>
      </c>
      <c r="E54" s="273">
        <v>6404.2</v>
      </c>
    </row>
    <row r="55" spans="1:5" ht="40.5">
      <c r="A55" s="269" t="s">
        <v>525</v>
      </c>
      <c r="B55" s="275" t="s">
        <v>1446</v>
      </c>
      <c r="C55" s="276" t="s">
        <v>526</v>
      </c>
      <c r="D55" s="277" t="s">
        <v>527</v>
      </c>
      <c r="E55" s="273">
        <v>61.9</v>
      </c>
    </row>
    <row r="56" spans="1:5" ht="40.5">
      <c r="A56" s="269" t="s">
        <v>525</v>
      </c>
      <c r="B56" s="278" t="s">
        <v>426</v>
      </c>
      <c r="C56" s="279" t="s">
        <v>526</v>
      </c>
      <c r="D56" s="280" t="s">
        <v>527</v>
      </c>
      <c r="E56" s="273">
        <v>175.9</v>
      </c>
    </row>
    <row r="57" spans="1:5" ht="40.5">
      <c r="A57" s="269" t="s">
        <v>525</v>
      </c>
      <c r="B57" s="275" t="s">
        <v>436</v>
      </c>
      <c r="C57" s="276" t="s">
        <v>526</v>
      </c>
      <c r="D57" s="277" t="s">
        <v>527</v>
      </c>
      <c r="E57" s="273">
        <v>82.403</v>
      </c>
    </row>
    <row r="58" spans="1:5" ht="27">
      <c r="A58" s="269" t="s">
        <v>528</v>
      </c>
      <c r="B58" s="278" t="s">
        <v>1423</v>
      </c>
      <c r="C58" s="279" t="s">
        <v>529</v>
      </c>
      <c r="D58" s="280" t="s">
        <v>530</v>
      </c>
      <c r="E58" s="273">
        <v>380</v>
      </c>
    </row>
    <row r="59" spans="1:5" ht="40.5">
      <c r="A59" s="269" t="s">
        <v>531</v>
      </c>
      <c r="B59" s="275" t="s">
        <v>1423</v>
      </c>
      <c r="C59" s="276" t="s">
        <v>532</v>
      </c>
      <c r="D59" s="277" t="s">
        <v>530</v>
      </c>
      <c r="E59" s="273">
        <v>45049.4</v>
      </c>
    </row>
    <row r="60" spans="1:5" ht="40.5">
      <c r="A60" s="269" t="s">
        <v>531</v>
      </c>
      <c r="B60" s="278" t="s">
        <v>414</v>
      </c>
      <c r="C60" s="279" t="s">
        <v>532</v>
      </c>
      <c r="D60" s="280" t="s">
        <v>530</v>
      </c>
      <c r="E60" s="273">
        <v>1222.6</v>
      </c>
    </row>
    <row r="61" spans="1:5" ht="40.5">
      <c r="A61" s="269" t="s">
        <v>531</v>
      </c>
      <c r="B61" s="275" t="s">
        <v>1423</v>
      </c>
      <c r="C61" s="276" t="s">
        <v>532</v>
      </c>
      <c r="D61" s="277" t="s">
        <v>533</v>
      </c>
      <c r="E61" s="273">
        <v>244.9</v>
      </c>
    </row>
    <row r="62" spans="1:5" ht="40.5">
      <c r="A62" s="269" t="s">
        <v>534</v>
      </c>
      <c r="B62" s="278" t="s">
        <v>1423</v>
      </c>
      <c r="C62" s="279" t="s">
        <v>535</v>
      </c>
      <c r="D62" s="280" t="s">
        <v>536</v>
      </c>
      <c r="E62" s="273">
        <v>42846.2</v>
      </c>
    </row>
    <row r="63" spans="1:5" ht="40.5">
      <c r="A63" s="269" t="s">
        <v>534</v>
      </c>
      <c r="B63" s="275" t="s">
        <v>414</v>
      </c>
      <c r="C63" s="276" t="s">
        <v>535</v>
      </c>
      <c r="D63" s="277" t="s">
        <v>536</v>
      </c>
      <c r="E63" s="273">
        <v>3300.3</v>
      </c>
    </row>
    <row r="64" spans="1:5" ht="40.5">
      <c r="A64" s="269" t="s">
        <v>537</v>
      </c>
      <c r="B64" s="278" t="s">
        <v>1423</v>
      </c>
      <c r="C64" s="279" t="s">
        <v>538</v>
      </c>
      <c r="D64" s="280" t="s">
        <v>536</v>
      </c>
      <c r="E64" s="273">
        <v>692.2</v>
      </c>
    </row>
    <row r="65" spans="1:5" ht="40.5">
      <c r="A65" s="269" t="s">
        <v>537</v>
      </c>
      <c r="B65" s="275" t="s">
        <v>414</v>
      </c>
      <c r="C65" s="276" t="s">
        <v>538</v>
      </c>
      <c r="D65" s="277" t="s">
        <v>536</v>
      </c>
      <c r="E65" s="273">
        <v>85.9</v>
      </c>
    </row>
    <row r="66" spans="1:5" ht="67.5">
      <c r="A66" s="269" t="s">
        <v>539</v>
      </c>
      <c r="B66" s="278" t="s">
        <v>447</v>
      </c>
      <c r="C66" s="279" t="s">
        <v>540</v>
      </c>
      <c r="D66" s="280" t="s">
        <v>541</v>
      </c>
      <c r="E66" s="273">
        <v>106.2</v>
      </c>
    </row>
    <row r="67" spans="1:5" ht="54">
      <c r="A67" s="269" t="s">
        <v>542</v>
      </c>
      <c r="B67" s="275" t="s">
        <v>447</v>
      </c>
      <c r="C67" s="276" t="s">
        <v>543</v>
      </c>
      <c r="D67" s="277" t="s">
        <v>541</v>
      </c>
      <c r="E67" s="273">
        <v>50.7</v>
      </c>
    </row>
    <row r="68" spans="1:5" ht="54">
      <c r="A68" s="269" t="s">
        <v>544</v>
      </c>
      <c r="B68" s="278" t="s">
        <v>447</v>
      </c>
      <c r="C68" s="279" t="s">
        <v>545</v>
      </c>
      <c r="D68" s="280" t="s">
        <v>541</v>
      </c>
      <c r="E68" s="273">
        <v>23.8</v>
      </c>
    </row>
    <row r="69" spans="1:5" ht="54">
      <c r="A69" s="269" t="s">
        <v>546</v>
      </c>
      <c r="B69" s="275" t="s">
        <v>424</v>
      </c>
      <c r="C69" s="276" t="s">
        <v>547</v>
      </c>
      <c r="D69" s="277" t="s">
        <v>541</v>
      </c>
      <c r="E69" s="273">
        <v>44</v>
      </c>
    </row>
    <row r="70" spans="1:5" ht="40.5">
      <c r="A70" s="269" t="s">
        <v>548</v>
      </c>
      <c r="B70" s="278" t="s">
        <v>549</v>
      </c>
      <c r="C70" s="279" t="s">
        <v>550</v>
      </c>
      <c r="D70" s="280" t="s">
        <v>541</v>
      </c>
      <c r="E70" s="273">
        <v>13.5</v>
      </c>
    </row>
    <row r="71" spans="1:5" ht="54">
      <c r="A71" s="269" t="s">
        <v>551</v>
      </c>
      <c r="B71" s="275" t="s">
        <v>1423</v>
      </c>
      <c r="C71" s="276" t="s">
        <v>552</v>
      </c>
      <c r="D71" s="277" t="s">
        <v>541</v>
      </c>
      <c r="E71" s="273">
        <v>13.6</v>
      </c>
    </row>
    <row r="72" spans="1:5" ht="54">
      <c r="A72" s="269" t="s">
        <v>551</v>
      </c>
      <c r="B72" s="278" t="s">
        <v>1446</v>
      </c>
      <c r="C72" s="279" t="s">
        <v>552</v>
      </c>
      <c r="D72" s="280" t="s">
        <v>541</v>
      </c>
      <c r="E72" s="273">
        <v>117.4</v>
      </c>
    </row>
    <row r="73" spans="1:5" ht="54">
      <c r="A73" s="269" t="s">
        <v>551</v>
      </c>
      <c r="B73" s="275" t="s">
        <v>426</v>
      </c>
      <c r="C73" s="276" t="s">
        <v>552</v>
      </c>
      <c r="D73" s="277" t="s">
        <v>541</v>
      </c>
      <c r="E73" s="273">
        <v>18.6</v>
      </c>
    </row>
    <row r="74" spans="1:5" ht="54">
      <c r="A74" s="269" t="s">
        <v>551</v>
      </c>
      <c r="B74" s="278" t="s">
        <v>436</v>
      </c>
      <c r="C74" s="279" t="s">
        <v>552</v>
      </c>
      <c r="D74" s="280" t="s">
        <v>541</v>
      </c>
      <c r="E74" s="273">
        <v>33.2</v>
      </c>
    </row>
    <row r="75" spans="1:5" ht="27">
      <c r="A75" s="269" t="s">
        <v>553</v>
      </c>
      <c r="B75" s="275" t="s">
        <v>554</v>
      </c>
      <c r="C75" s="276" t="s">
        <v>555</v>
      </c>
      <c r="D75" s="277" t="s">
        <v>541</v>
      </c>
      <c r="E75" s="273">
        <v>8.1</v>
      </c>
    </row>
    <row r="76" spans="1:5" ht="27">
      <c r="A76" s="269" t="s">
        <v>556</v>
      </c>
      <c r="B76" s="278" t="s">
        <v>557</v>
      </c>
      <c r="C76" s="279" t="s">
        <v>558</v>
      </c>
      <c r="D76" s="280" t="s">
        <v>541</v>
      </c>
      <c r="E76" s="273">
        <v>9.3</v>
      </c>
    </row>
    <row r="77" spans="1:5" ht="27">
      <c r="A77" s="269" t="s">
        <v>559</v>
      </c>
      <c r="B77" s="275" t="s">
        <v>554</v>
      </c>
      <c r="C77" s="276" t="s">
        <v>560</v>
      </c>
      <c r="D77" s="277" t="s">
        <v>541</v>
      </c>
      <c r="E77" s="273">
        <v>228</v>
      </c>
    </row>
    <row r="78" spans="1:5" ht="27">
      <c r="A78" s="269" t="s">
        <v>559</v>
      </c>
      <c r="B78" s="278" t="s">
        <v>523</v>
      </c>
      <c r="C78" s="279" t="s">
        <v>560</v>
      </c>
      <c r="D78" s="280" t="s">
        <v>541</v>
      </c>
      <c r="E78" s="273">
        <v>13.2</v>
      </c>
    </row>
    <row r="79" spans="1:5" ht="27">
      <c r="A79" s="269" t="s">
        <v>561</v>
      </c>
      <c r="B79" s="275" t="s">
        <v>562</v>
      </c>
      <c r="C79" s="276" t="s">
        <v>563</v>
      </c>
      <c r="D79" s="277" t="s">
        <v>541</v>
      </c>
      <c r="E79" s="273">
        <v>9.9</v>
      </c>
    </row>
    <row r="80" spans="1:5" ht="54">
      <c r="A80" s="269" t="s">
        <v>564</v>
      </c>
      <c r="B80" s="278" t="s">
        <v>565</v>
      </c>
      <c r="C80" s="279" t="s">
        <v>566</v>
      </c>
      <c r="D80" s="280" t="s">
        <v>541</v>
      </c>
      <c r="E80" s="273">
        <v>363.8</v>
      </c>
    </row>
    <row r="81" spans="1:5" ht="54">
      <c r="A81" s="269" t="s">
        <v>564</v>
      </c>
      <c r="B81" s="275" t="s">
        <v>567</v>
      </c>
      <c r="C81" s="276" t="s">
        <v>566</v>
      </c>
      <c r="D81" s="277" t="s">
        <v>541</v>
      </c>
      <c r="E81" s="273">
        <v>4.5</v>
      </c>
    </row>
    <row r="82" spans="1:5" ht="27">
      <c r="A82" s="269" t="s">
        <v>568</v>
      </c>
      <c r="B82" s="278" t="s">
        <v>424</v>
      </c>
      <c r="C82" s="279" t="s">
        <v>569</v>
      </c>
      <c r="D82" s="280" t="s">
        <v>541</v>
      </c>
      <c r="E82" s="273">
        <v>9096.3</v>
      </c>
    </row>
    <row r="83" spans="1:5" ht="54">
      <c r="A83" s="269" t="s">
        <v>570</v>
      </c>
      <c r="B83" s="275" t="s">
        <v>571</v>
      </c>
      <c r="C83" s="276" t="s">
        <v>572</v>
      </c>
      <c r="D83" s="277" t="s">
        <v>541</v>
      </c>
      <c r="E83" s="273">
        <v>6</v>
      </c>
    </row>
    <row r="84" spans="1:5" ht="40.5">
      <c r="A84" s="269" t="s">
        <v>573</v>
      </c>
      <c r="B84" s="278" t="s">
        <v>574</v>
      </c>
      <c r="C84" s="279" t="s">
        <v>575</v>
      </c>
      <c r="D84" s="280" t="s">
        <v>541</v>
      </c>
      <c r="E84" s="273">
        <v>391.5</v>
      </c>
    </row>
    <row r="85" spans="1:5" ht="40.5">
      <c r="A85" s="269" t="s">
        <v>573</v>
      </c>
      <c r="B85" s="275" t="s">
        <v>576</v>
      </c>
      <c r="C85" s="276" t="s">
        <v>575</v>
      </c>
      <c r="D85" s="277" t="s">
        <v>541</v>
      </c>
      <c r="E85" s="273">
        <v>22.5</v>
      </c>
    </row>
    <row r="86" spans="1:5" ht="40.5">
      <c r="A86" s="269" t="s">
        <v>573</v>
      </c>
      <c r="B86" s="278" t="s">
        <v>523</v>
      </c>
      <c r="C86" s="279" t="s">
        <v>575</v>
      </c>
      <c r="D86" s="280" t="s">
        <v>541</v>
      </c>
      <c r="E86" s="273">
        <v>750</v>
      </c>
    </row>
    <row r="87" spans="1:5" ht="40.5">
      <c r="A87" s="269" t="s">
        <v>573</v>
      </c>
      <c r="B87" s="275" t="s">
        <v>577</v>
      </c>
      <c r="C87" s="276" t="s">
        <v>575</v>
      </c>
      <c r="D87" s="277" t="s">
        <v>541</v>
      </c>
      <c r="E87" s="273">
        <v>10</v>
      </c>
    </row>
    <row r="88" spans="1:5" ht="40.5">
      <c r="A88" s="269" t="s">
        <v>573</v>
      </c>
      <c r="B88" s="278" t="s">
        <v>578</v>
      </c>
      <c r="C88" s="279" t="s">
        <v>575</v>
      </c>
      <c r="D88" s="280" t="s">
        <v>541</v>
      </c>
      <c r="E88" s="273">
        <v>77.611</v>
      </c>
    </row>
    <row r="89" spans="1:5" ht="40.5">
      <c r="A89" s="269" t="s">
        <v>573</v>
      </c>
      <c r="B89" s="275" t="s">
        <v>579</v>
      </c>
      <c r="C89" s="276" t="s">
        <v>575</v>
      </c>
      <c r="D89" s="277" t="s">
        <v>541</v>
      </c>
      <c r="E89" s="273">
        <v>4.6</v>
      </c>
    </row>
    <row r="90" spans="1:5" ht="40.5">
      <c r="A90" s="269" t="s">
        <v>573</v>
      </c>
      <c r="B90" s="278" t="s">
        <v>424</v>
      </c>
      <c r="C90" s="279" t="s">
        <v>575</v>
      </c>
      <c r="D90" s="280" t="s">
        <v>541</v>
      </c>
      <c r="E90" s="273">
        <v>851.3</v>
      </c>
    </row>
    <row r="91" spans="1:5" ht="40.5">
      <c r="A91" s="269" t="s">
        <v>573</v>
      </c>
      <c r="B91" s="275" t="s">
        <v>580</v>
      </c>
      <c r="C91" s="276" t="s">
        <v>575</v>
      </c>
      <c r="D91" s="277" t="s">
        <v>541</v>
      </c>
      <c r="E91" s="273">
        <v>3366.6</v>
      </c>
    </row>
    <row r="92" spans="1:5" ht="40.5">
      <c r="A92" s="269" t="s">
        <v>573</v>
      </c>
      <c r="B92" s="278" t="s">
        <v>1423</v>
      </c>
      <c r="C92" s="279" t="s">
        <v>575</v>
      </c>
      <c r="D92" s="280" t="s">
        <v>541</v>
      </c>
      <c r="E92" s="273">
        <v>139.7</v>
      </c>
    </row>
    <row r="93" spans="1:5" ht="40.5">
      <c r="A93" s="269" t="s">
        <v>573</v>
      </c>
      <c r="B93" s="275" t="s">
        <v>436</v>
      </c>
      <c r="C93" s="276" t="s">
        <v>575</v>
      </c>
      <c r="D93" s="277" t="s">
        <v>541</v>
      </c>
      <c r="E93" s="273">
        <v>40.8</v>
      </c>
    </row>
    <row r="94" spans="1:5" ht="40.5">
      <c r="A94" s="269" t="s">
        <v>573</v>
      </c>
      <c r="B94" s="278" t="s">
        <v>581</v>
      </c>
      <c r="C94" s="279" t="s">
        <v>575</v>
      </c>
      <c r="D94" s="280" t="s">
        <v>541</v>
      </c>
      <c r="E94" s="273">
        <v>301</v>
      </c>
    </row>
    <row r="95" spans="1:5" ht="27">
      <c r="A95" s="269" t="s">
        <v>582</v>
      </c>
      <c r="B95" s="275" t="s">
        <v>1423</v>
      </c>
      <c r="C95" s="276" t="s">
        <v>583</v>
      </c>
      <c r="D95" s="277" t="s">
        <v>584</v>
      </c>
      <c r="E95" s="273">
        <v>-1.2</v>
      </c>
    </row>
    <row r="96" spans="1:5" ht="13.5">
      <c r="A96" s="269" t="s">
        <v>585</v>
      </c>
      <c r="B96" s="275" t="s">
        <v>1423</v>
      </c>
      <c r="C96" s="276" t="s">
        <v>586</v>
      </c>
      <c r="D96" s="277" t="s">
        <v>584</v>
      </c>
      <c r="E96" s="273">
        <v>1473.5</v>
      </c>
    </row>
    <row r="97" spans="1:5" ht="13.5">
      <c r="A97" s="269" t="s">
        <v>585</v>
      </c>
      <c r="B97" s="278" t="s">
        <v>436</v>
      </c>
      <c r="C97" s="279" t="s">
        <v>586</v>
      </c>
      <c r="D97" s="280" t="s">
        <v>584</v>
      </c>
      <c r="E97" s="273">
        <v>18.6</v>
      </c>
    </row>
    <row r="98" spans="1:5" ht="40.5">
      <c r="A98" s="269" t="s">
        <v>587</v>
      </c>
      <c r="B98" s="275" t="s">
        <v>1423</v>
      </c>
      <c r="C98" s="276" t="s">
        <v>588</v>
      </c>
      <c r="D98" s="277" t="s">
        <v>589</v>
      </c>
      <c r="E98" s="273">
        <v>-5902.6</v>
      </c>
    </row>
    <row r="99" spans="1:5" ht="40.5">
      <c r="A99" s="269" t="s">
        <v>587</v>
      </c>
      <c r="B99" s="278" t="s">
        <v>1446</v>
      </c>
      <c r="C99" s="279" t="s">
        <v>588</v>
      </c>
      <c r="D99" s="280" t="s">
        <v>589</v>
      </c>
      <c r="E99" s="273">
        <v>-61.9</v>
      </c>
    </row>
    <row r="100" spans="1:5" ht="40.5">
      <c r="A100" s="269" t="s">
        <v>587</v>
      </c>
      <c r="B100" s="275" t="s">
        <v>426</v>
      </c>
      <c r="C100" s="276" t="s">
        <v>588</v>
      </c>
      <c r="D100" s="277" t="s">
        <v>589</v>
      </c>
      <c r="E100" s="273">
        <v>-5003.8</v>
      </c>
    </row>
    <row r="101" spans="1:5" ht="40.5">
      <c r="A101" s="269" t="s">
        <v>587</v>
      </c>
      <c r="B101" s="278" t="s">
        <v>436</v>
      </c>
      <c r="C101" s="279" t="s">
        <v>588</v>
      </c>
      <c r="D101" s="280" t="s">
        <v>589</v>
      </c>
      <c r="E101" s="273">
        <v>-250.8</v>
      </c>
    </row>
    <row r="102" spans="1:5" ht="27">
      <c r="A102" s="269" t="s">
        <v>590</v>
      </c>
      <c r="B102" s="275" t="s">
        <v>1444</v>
      </c>
      <c r="C102" s="276" t="s">
        <v>591</v>
      </c>
      <c r="D102" s="277" t="s">
        <v>589</v>
      </c>
      <c r="E102" s="273">
        <v>103220</v>
      </c>
    </row>
    <row r="103" spans="1:5" ht="27">
      <c r="A103" s="269" t="s">
        <v>592</v>
      </c>
      <c r="B103" s="278" t="s">
        <v>1444</v>
      </c>
      <c r="C103" s="279" t="s">
        <v>593</v>
      </c>
      <c r="D103" s="280" t="s">
        <v>589</v>
      </c>
      <c r="E103" s="273">
        <v>264269.4</v>
      </c>
    </row>
    <row r="104" spans="1:5" ht="27">
      <c r="A104" s="269" t="s">
        <v>594</v>
      </c>
      <c r="B104" s="275" t="s">
        <v>1423</v>
      </c>
      <c r="C104" s="276" t="s">
        <v>595</v>
      </c>
      <c r="D104" s="277" t="s">
        <v>589</v>
      </c>
      <c r="E104" s="273">
        <v>5373.912</v>
      </c>
    </row>
    <row r="105" spans="1:5" ht="27">
      <c r="A105" s="269" t="s">
        <v>594</v>
      </c>
      <c r="B105" s="278" t="s">
        <v>414</v>
      </c>
      <c r="C105" s="279" t="s">
        <v>595</v>
      </c>
      <c r="D105" s="280" t="s">
        <v>589</v>
      </c>
      <c r="E105" s="273">
        <v>254.436</v>
      </c>
    </row>
    <row r="106" spans="1:5" ht="40.5">
      <c r="A106" s="269" t="s">
        <v>596</v>
      </c>
      <c r="B106" s="275" t="s">
        <v>1423</v>
      </c>
      <c r="C106" s="276" t="s">
        <v>597</v>
      </c>
      <c r="D106" s="277" t="s">
        <v>589</v>
      </c>
      <c r="E106" s="273">
        <v>5276.4</v>
      </c>
    </row>
    <row r="107" spans="1:5" ht="81">
      <c r="A107" s="274" t="s">
        <v>598</v>
      </c>
      <c r="B107" s="278" t="s">
        <v>1423</v>
      </c>
      <c r="C107" s="279" t="s">
        <v>599</v>
      </c>
      <c r="D107" s="280" t="s">
        <v>589</v>
      </c>
      <c r="E107" s="273">
        <v>211018.2</v>
      </c>
    </row>
    <row r="108" spans="1:5" ht="54">
      <c r="A108" s="269" t="s">
        <v>600</v>
      </c>
      <c r="B108" s="275" t="s">
        <v>1423</v>
      </c>
      <c r="C108" s="276" t="s">
        <v>601</v>
      </c>
      <c r="D108" s="277" t="s">
        <v>589</v>
      </c>
      <c r="E108" s="273">
        <v>20532.4</v>
      </c>
    </row>
    <row r="109" spans="1:5" ht="27">
      <c r="A109" s="269" t="s">
        <v>602</v>
      </c>
      <c r="B109" s="278" t="s">
        <v>1423</v>
      </c>
      <c r="C109" s="279" t="s">
        <v>603</v>
      </c>
      <c r="D109" s="280" t="s">
        <v>589</v>
      </c>
      <c r="E109" s="273">
        <v>27172.6</v>
      </c>
    </row>
    <row r="110" spans="1:5" ht="13.5">
      <c r="A110" s="269" t="s">
        <v>604</v>
      </c>
      <c r="B110" s="275" t="s">
        <v>1423</v>
      </c>
      <c r="C110" s="276" t="s">
        <v>605</v>
      </c>
      <c r="D110" s="277" t="s">
        <v>589</v>
      </c>
      <c r="E110" s="273">
        <v>12798.4</v>
      </c>
    </row>
    <row r="111" spans="1:5" ht="13.5">
      <c r="A111" s="269" t="s">
        <v>604</v>
      </c>
      <c r="B111" s="278" t="s">
        <v>1444</v>
      </c>
      <c r="C111" s="279" t="s">
        <v>605</v>
      </c>
      <c r="D111" s="280" t="s">
        <v>589</v>
      </c>
      <c r="E111" s="273">
        <v>13286.6</v>
      </c>
    </row>
    <row r="112" spans="1:5" ht="13.5">
      <c r="A112" s="269" t="s">
        <v>604</v>
      </c>
      <c r="B112" s="275" t="s">
        <v>1446</v>
      </c>
      <c r="C112" s="276" t="s">
        <v>605</v>
      </c>
      <c r="D112" s="277" t="s">
        <v>589</v>
      </c>
      <c r="E112" s="273">
        <v>16498.5</v>
      </c>
    </row>
    <row r="113" spans="1:5" ht="13.5">
      <c r="A113" s="269" t="s">
        <v>604</v>
      </c>
      <c r="B113" s="278" t="s">
        <v>422</v>
      </c>
      <c r="C113" s="279" t="s">
        <v>605</v>
      </c>
      <c r="D113" s="280" t="s">
        <v>589</v>
      </c>
      <c r="E113" s="273">
        <v>45</v>
      </c>
    </row>
    <row r="114" spans="1:5" ht="13.5">
      <c r="A114" s="269" t="s">
        <v>604</v>
      </c>
      <c r="B114" s="275" t="s">
        <v>426</v>
      </c>
      <c r="C114" s="276" t="s">
        <v>605</v>
      </c>
      <c r="D114" s="277" t="s">
        <v>589</v>
      </c>
      <c r="E114" s="273">
        <v>78561.3</v>
      </c>
    </row>
    <row r="115" spans="1:5" ht="13.5">
      <c r="A115" s="269" t="s">
        <v>604</v>
      </c>
      <c r="B115" s="278" t="s">
        <v>433</v>
      </c>
      <c r="C115" s="279" t="s">
        <v>605</v>
      </c>
      <c r="D115" s="280" t="s">
        <v>589</v>
      </c>
      <c r="E115" s="273">
        <v>2097.7</v>
      </c>
    </row>
    <row r="116" spans="1:5" ht="27">
      <c r="A116" s="269" t="s">
        <v>606</v>
      </c>
      <c r="B116" s="275" t="s">
        <v>1446</v>
      </c>
      <c r="C116" s="276" t="s">
        <v>607</v>
      </c>
      <c r="D116" s="277" t="s">
        <v>589</v>
      </c>
      <c r="E116" s="273">
        <v>128347.5</v>
      </c>
    </row>
    <row r="117" spans="1:5" ht="40.5">
      <c r="A117" s="269" t="s">
        <v>608</v>
      </c>
      <c r="B117" s="278" t="s">
        <v>1423</v>
      </c>
      <c r="C117" s="279" t="s">
        <v>609</v>
      </c>
      <c r="D117" s="280" t="s">
        <v>589</v>
      </c>
      <c r="E117" s="273">
        <v>759.4</v>
      </c>
    </row>
    <row r="118" spans="1:5" ht="27">
      <c r="A118" s="269" t="s">
        <v>610</v>
      </c>
      <c r="B118" s="275" t="s">
        <v>1423</v>
      </c>
      <c r="C118" s="276" t="s">
        <v>611</v>
      </c>
      <c r="D118" s="277" t="s">
        <v>589</v>
      </c>
      <c r="E118" s="273">
        <v>6776.3</v>
      </c>
    </row>
    <row r="119" spans="1:5" ht="40.5">
      <c r="A119" s="269" t="s">
        <v>612</v>
      </c>
      <c r="B119" s="278" t="s">
        <v>1446</v>
      </c>
      <c r="C119" s="279" t="s">
        <v>613</v>
      </c>
      <c r="D119" s="280" t="s">
        <v>589</v>
      </c>
      <c r="E119" s="273">
        <v>8809.3</v>
      </c>
    </row>
    <row r="120" spans="1:5" ht="54">
      <c r="A120" s="269" t="s">
        <v>614</v>
      </c>
      <c r="B120" s="275" t="s">
        <v>1446</v>
      </c>
      <c r="C120" s="276" t="s">
        <v>615</v>
      </c>
      <c r="D120" s="277" t="s">
        <v>589</v>
      </c>
      <c r="E120" s="273">
        <v>14.1</v>
      </c>
    </row>
    <row r="121" spans="1:5" ht="40.5">
      <c r="A121" s="269" t="s">
        <v>616</v>
      </c>
      <c r="B121" s="278" t="s">
        <v>1446</v>
      </c>
      <c r="C121" s="279" t="s">
        <v>617</v>
      </c>
      <c r="D121" s="280" t="s">
        <v>589</v>
      </c>
      <c r="E121" s="273">
        <v>11267.8</v>
      </c>
    </row>
    <row r="122" spans="1:5" ht="37.5" customHeight="1">
      <c r="A122" s="269" t="s">
        <v>618</v>
      </c>
      <c r="B122" s="275" t="s">
        <v>426</v>
      </c>
      <c r="C122" s="276" t="s">
        <v>619</v>
      </c>
      <c r="D122" s="277" t="s">
        <v>589</v>
      </c>
      <c r="E122" s="273">
        <v>11211.128</v>
      </c>
    </row>
    <row r="123" spans="1:5" ht="40.5">
      <c r="A123" s="269" t="s">
        <v>620</v>
      </c>
      <c r="B123" s="278" t="s">
        <v>1446</v>
      </c>
      <c r="C123" s="279" t="s">
        <v>621</v>
      </c>
      <c r="D123" s="280" t="s">
        <v>589</v>
      </c>
      <c r="E123" s="273">
        <v>75125.515</v>
      </c>
    </row>
    <row r="124" spans="1:5" ht="27">
      <c r="A124" s="269" t="s">
        <v>622</v>
      </c>
      <c r="B124" s="275" t="s">
        <v>1423</v>
      </c>
      <c r="C124" s="276" t="s">
        <v>623</v>
      </c>
      <c r="D124" s="277" t="s">
        <v>589</v>
      </c>
      <c r="E124" s="273">
        <v>1383.9</v>
      </c>
    </row>
    <row r="125" spans="1:5" ht="27">
      <c r="A125" s="269" t="s">
        <v>622</v>
      </c>
      <c r="B125" s="278" t="s">
        <v>1446</v>
      </c>
      <c r="C125" s="279" t="s">
        <v>623</v>
      </c>
      <c r="D125" s="280" t="s">
        <v>589</v>
      </c>
      <c r="E125" s="273">
        <v>432990.6</v>
      </c>
    </row>
    <row r="126" spans="1:5" ht="27">
      <c r="A126" s="269" t="s">
        <v>622</v>
      </c>
      <c r="B126" s="275" t="s">
        <v>426</v>
      </c>
      <c r="C126" s="276" t="s">
        <v>623</v>
      </c>
      <c r="D126" s="277" t="s">
        <v>589</v>
      </c>
      <c r="E126" s="273">
        <v>320381.6</v>
      </c>
    </row>
    <row r="127" spans="1:5" ht="67.5">
      <c r="A127" s="269" t="s">
        <v>624</v>
      </c>
      <c r="B127" s="278" t="s">
        <v>1423</v>
      </c>
      <c r="C127" s="279" t="s">
        <v>625</v>
      </c>
      <c r="D127" s="280" t="s">
        <v>589</v>
      </c>
      <c r="E127" s="273">
        <v>5628.5</v>
      </c>
    </row>
    <row r="128" spans="1:5" ht="40.5">
      <c r="A128" s="269" t="s">
        <v>626</v>
      </c>
      <c r="B128" s="275" t="s">
        <v>1446</v>
      </c>
      <c r="C128" s="276" t="s">
        <v>627</v>
      </c>
      <c r="D128" s="277" t="s">
        <v>589</v>
      </c>
      <c r="E128" s="273">
        <v>22780.1</v>
      </c>
    </row>
    <row r="129" spans="1:5" ht="54">
      <c r="A129" s="269" t="s">
        <v>628</v>
      </c>
      <c r="B129" s="278" t="s">
        <v>426</v>
      </c>
      <c r="C129" s="279" t="s">
        <v>629</v>
      </c>
      <c r="D129" s="280" t="s">
        <v>589</v>
      </c>
      <c r="E129" s="273">
        <v>15883.6</v>
      </c>
    </row>
    <row r="130" spans="1:5" ht="54">
      <c r="A130" s="269" t="s">
        <v>630</v>
      </c>
      <c r="B130" s="275" t="s">
        <v>436</v>
      </c>
      <c r="C130" s="276" t="s">
        <v>631</v>
      </c>
      <c r="D130" s="277" t="s">
        <v>589</v>
      </c>
      <c r="E130" s="273">
        <v>8861.7</v>
      </c>
    </row>
    <row r="131" spans="1:5" ht="81">
      <c r="A131" s="274" t="s">
        <v>632</v>
      </c>
      <c r="B131" s="278" t="s">
        <v>1444</v>
      </c>
      <c r="C131" s="279" t="s">
        <v>633</v>
      </c>
      <c r="D131" s="280" t="s">
        <v>589</v>
      </c>
      <c r="E131" s="273">
        <v>5085</v>
      </c>
    </row>
    <row r="132" spans="1:5" ht="40.5">
      <c r="A132" s="269" t="s">
        <v>634</v>
      </c>
      <c r="B132" s="275" t="s">
        <v>433</v>
      </c>
      <c r="C132" s="276" t="s">
        <v>635</v>
      </c>
      <c r="D132" s="277" t="s">
        <v>589</v>
      </c>
      <c r="E132" s="273">
        <v>370</v>
      </c>
    </row>
    <row r="133" spans="1:5" ht="27">
      <c r="A133" s="269" t="s">
        <v>636</v>
      </c>
      <c r="B133" s="278" t="s">
        <v>426</v>
      </c>
      <c r="C133" s="279" t="s">
        <v>637</v>
      </c>
      <c r="D133" s="280" t="s">
        <v>589</v>
      </c>
      <c r="E133" s="273">
        <v>685.8</v>
      </c>
    </row>
    <row r="134" spans="1:5" ht="27">
      <c r="A134" s="269" t="s">
        <v>638</v>
      </c>
      <c r="B134" s="275" t="s">
        <v>1423</v>
      </c>
      <c r="C134" s="276" t="s">
        <v>639</v>
      </c>
      <c r="D134" s="277" t="s">
        <v>584</v>
      </c>
      <c r="E134" s="273">
        <v>55.4</v>
      </c>
    </row>
  </sheetData>
  <mergeCells count="3">
    <mergeCell ref="A6:E6"/>
    <mergeCell ref="B9:D9"/>
    <mergeCell ref="A10:D10"/>
  </mergeCells>
  <printOptions/>
  <pageMargins left="1.1811023622047245" right="0.1968503937007874" top="0.5905511811023623" bottom="0" header="0.5118110236220472" footer="0.5118110236220472"/>
  <pageSetup fitToHeight="16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32"/>
  <sheetViews>
    <sheetView view="pageBreakPreview" zoomScale="60" workbookViewId="0" topLeftCell="A15">
      <selection activeCell="D2" sqref="A2:D24"/>
    </sheetView>
  </sheetViews>
  <sheetFormatPr defaultColWidth="9.00390625" defaultRowHeight="12.75"/>
  <cols>
    <col min="1" max="1" width="56.125" style="0" customWidth="1"/>
    <col min="2" max="2" width="18.75390625" style="8" customWidth="1"/>
    <col min="3" max="3" width="14.875" style="0" customWidth="1"/>
    <col min="4" max="4" width="9.75390625" style="0" customWidth="1"/>
    <col min="5" max="5" width="9.125" style="0" hidden="1" customWidth="1"/>
  </cols>
  <sheetData>
    <row r="2" ht="12.75">
      <c r="C2" s="3" t="s">
        <v>282</v>
      </c>
    </row>
    <row r="3" ht="12.75">
      <c r="C3" s="281" t="s">
        <v>657</v>
      </c>
    </row>
    <row r="4" spans="1:5" s="285" customFormat="1" ht="15">
      <c r="A4" s="283"/>
      <c r="B4" s="284"/>
      <c r="C4" s="281" t="s">
        <v>658</v>
      </c>
      <c r="E4" s="286"/>
    </row>
    <row r="5" spans="1:3" s="285" customFormat="1" ht="15">
      <c r="A5" s="283"/>
      <c r="B5" s="284"/>
      <c r="C5" s="281" t="s">
        <v>659</v>
      </c>
    </row>
    <row r="6" spans="1:5" s="285" customFormat="1" ht="12.75">
      <c r="A6" s="287"/>
      <c r="B6" s="288"/>
      <c r="C6" s="300" t="s">
        <v>1345</v>
      </c>
      <c r="E6" s="286"/>
    </row>
    <row r="7" spans="1:5" s="285" customFormat="1" ht="71.25" customHeight="1">
      <c r="A7" s="327" t="s">
        <v>641</v>
      </c>
      <c r="B7" s="327"/>
      <c r="C7" s="327"/>
      <c r="D7" s="289"/>
      <c r="E7" s="286"/>
    </row>
    <row r="8" spans="1:3" s="285" customFormat="1" ht="15.75" thickBot="1">
      <c r="A8" s="290"/>
      <c r="B8" s="284"/>
      <c r="C8" s="265" t="s">
        <v>442</v>
      </c>
    </row>
    <row r="9" spans="1:3" ht="51" customHeight="1">
      <c r="A9" s="266" t="s">
        <v>443</v>
      </c>
      <c r="B9" s="266" t="s">
        <v>642</v>
      </c>
      <c r="C9" s="266" t="s">
        <v>666</v>
      </c>
    </row>
    <row r="10" spans="1:3" ht="21.75" customHeight="1">
      <c r="A10" s="328" t="s">
        <v>445</v>
      </c>
      <c r="B10" s="329"/>
      <c r="C10" s="291">
        <f>C11+C194</f>
        <v>2894885.81</v>
      </c>
    </row>
    <row r="11" spans="1:3" ht="21.75" customHeight="1">
      <c r="A11" s="292" t="s">
        <v>643</v>
      </c>
      <c r="B11" s="293" t="s">
        <v>644</v>
      </c>
      <c r="C11" s="294">
        <v>1078063.62</v>
      </c>
    </row>
    <row r="12" spans="1:3" ht="12.75">
      <c r="A12" s="292" t="s">
        <v>645</v>
      </c>
      <c r="B12" s="293" t="s">
        <v>646</v>
      </c>
      <c r="C12" s="294">
        <v>589473.15</v>
      </c>
    </row>
    <row r="13" spans="1:3" ht="12.75">
      <c r="A13" s="295" t="s">
        <v>647</v>
      </c>
      <c r="B13" s="296" t="s">
        <v>648</v>
      </c>
      <c r="C13" s="297">
        <v>589473.15</v>
      </c>
    </row>
    <row r="14" spans="1:3" ht="33.75">
      <c r="A14" s="295" t="s">
        <v>446</v>
      </c>
      <c r="B14" s="296" t="s">
        <v>649</v>
      </c>
      <c r="C14" s="297">
        <v>9227.05</v>
      </c>
    </row>
    <row r="15" spans="1:3" ht="45">
      <c r="A15" s="295" t="s">
        <v>650</v>
      </c>
      <c r="B15" s="296" t="s">
        <v>651</v>
      </c>
      <c r="C15" s="297">
        <v>9224.55</v>
      </c>
    </row>
    <row r="16" spans="1:3" ht="45">
      <c r="A16" s="295" t="s">
        <v>652</v>
      </c>
      <c r="B16" s="296" t="s">
        <v>653</v>
      </c>
      <c r="C16" s="297">
        <v>2.51</v>
      </c>
    </row>
    <row r="17" spans="1:3" ht="45">
      <c r="A17" s="295" t="s">
        <v>450</v>
      </c>
      <c r="B17" s="296" t="s">
        <v>654</v>
      </c>
      <c r="C17" s="297">
        <v>84.87</v>
      </c>
    </row>
    <row r="18" spans="1:3" ht="67.5">
      <c r="A18" s="298" t="s">
        <v>452</v>
      </c>
      <c r="B18" s="296" t="s">
        <v>655</v>
      </c>
      <c r="C18" s="297">
        <v>574535.03</v>
      </c>
    </row>
    <row r="19" spans="1:3" ht="67.5">
      <c r="A19" s="298" t="s">
        <v>809</v>
      </c>
      <c r="B19" s="296" t="s">
        <v>810</v>
      </c>
      <c r="C19" s="297">
        <v>573855.92</v>
      </c>
    </row>
    <row r="20" spans="1:3" ht="67.5">
      <c r="A20" s="298" t="s">
        <v>811</v>
      </c>
      <c r="B20" s="296" t="s">
        <v>812</v>
      </c>
      <c r="C20" s="297">
        <v>448.41</v>
      </c>
    </row>
    <row r="21" spans="1:3" ht="67.5">
      <c r="A21" s="298" t="s">
        <v>813</v>
      </c>
      <c r="B21" s="296" t="s">
        <v>814</v>
      </c>
      <c r="C21" s="297">
        <v>224.95</v>
      </c>
    </row>
    <row r="22" spans="1:3" ht="67.5">
      <c r="A22" s="298" t="s">
        <v>815</v>
      </c>
      <c r="B22" s="296" t="s">
        <v>816</v>
      </c>
      <c r="C22" s="297">
        <v>5.76</v>
      </c>
    </row>
    <row r="23" spans="1:3" ht="56.25">
      <c r="A23" s="298" t="s">
        <v>454</v>
      </c>
      <c r="B23" s="296" t="s">
        <v>817</v>
      </c>
      <c r="C23" s="297">
        <v>5479.79</v>
      </c>
    </row>
    <row r="24" spans="1:3" ht="67.5">
      <c r="A24" s="298" t="s">
        <v>818</v>
      </c>
      <c r="B24" s="296" t="s">
        <v>819</v>
      </c>
      <c r="C24" s="297">
        <v>5451.49</v>
      </c>
    </row>
    <row r="25" spans="1:3" ht="67.5">
      <c r="A25" s="298" t="s">
        <v>820</v>
      </c>
      <c r="B25" s="296" t="s">
        <v>821</v>
      </c>
      <c r="C25" s="297">
        <v>20.01</v>
      </c>
    </row>
    <row r="26" spans="1:3" ht="67.5">
      <c r="A26" s="298" t="s">
        <v>822</v>
      </c>
      <c r="B26" s="296" t="s">
        <v>823</v>
      </c>
      <c r="C26" s="297">
        <v>8.3</v>
      </c>
    </row>
    <row r="27" spans="1:3" ht="33.75">
      <c r="A27" s="295" t="s">
        <v>456</v>
      </c>
      <c r="B27" s="296" t="s">
        <v>824</v>
      </c>
      <c r="C27" s="297">
        <v>129.88</v>
      </c>
    </row>
    <row r="28" spans="1:3" ht="33.75">
      <c r="A28" s="295" t="s">
        <v>825</v>
      </c>
      <c r="B28" s="296" t="s">
        <v>826</v>
      </c>
      <c r="C28" s="297">
        <v>129.7</v>
      </c>
    </row>
    <row r="29" spans="1:3" ht="33.75">
      <c r="A29" s="295" t="s">
        <v>827</v>
      </c>
      <c r="B29" s="296" t="s">
        <v>828</v>
      </c>
      <c r="C29" s="297">
        <v>0.19</v>
      </c>
    </row>
    <row r="30" spans="1:3" ht="56.25">
      <c r="A30" s="298" t="s">
        <v>458</v>
      </c>
      <c r="B30" s="296" t="s">
        <v>829</v>
      </c>
      <c r="C30" s="297">
        <v>-23.63</v>
      </c>
    </row>
    <row r="31" spans="1:3" ht="67.5">
      <c r="A31" s="298" t="s">
        <v>830</v>
      </c>
      <c r="B31" s="296" t="s">
        <v>831</v>
      </c>
      <c r="C31" s="297">
        <v>-24.89</v>
      </c>
    </row>
    <row r="32" spans="1:3" ht="67.5">
      <c r="A32" s="298" t="s">
        <v>832</v>
      </c>
      <c r="B32" s="296" t="s">
        <v>833</v>
      </c>
      <c r="C32" s="297">
        <v>1.26</v>
      </c>
    </row>
    <row r="33" spans="1:3" ht="67.5">
      <c r="A33" s="298" t="s">
        <v>460</v>
      </c>
      <c r="B33" s="296" t="s">
        <v>834</v>
      </c>
      <c r="C33" s="297">
        <v>0.06</v>
      </c>
    </row>
    <row r="34" spans="1:3" ht="78.75">
      <c r="A34" s="298" t="s">
        <v>835</v>
      </c>
      <c r="B34" s="296" t="s">
        <v>836</v>
      </c>
      <c r="C34" s="297">
        <v>0.06</v>
      </c>
    </row>
    <row r="35" spans="1:3" ht="56.25">
      <c r="A35" s="295" t="s">
        <v>462</v>
      </c>
      <c r="B35" s="296" t="s">
        <v>837</v>
      </c>
      <c r="C35" s="297">
        <v>40.09</v>
      </c>
    </row>
    <row r="36" spans="1:3" ht="56.25">
      <c r="A36" s="295" t="s">
        <v>838</v>
      </c>
      <c r="B36" s="296" t="s">
        <v>839</v>
      </c>
      <c r="C36" s="297">
        <v>40.09</v>
      </c>
    </row>
    <row r="37" spans="1:3" ht="12.75">
      <c r="A37" s="292" t="s">
        <v>840</v>
      </c>
      <c r="B37" s="293" t="s">
        <v>841</v>
      </c>
      <c r="C37" s="294">
        <v>113469.46</v>
      </c>
    </row>
    <row r="38" spans="1:3" ht="22.5">
      <c r="A38" s="295" t="s">
        <v>842</v>
      </c>
      <c r="B38" s="296" t="s">
        <v>843</v>
      </c>
      <c r="C38" s="297">
        <v>48786.3</v>
      </c>
    </row>
    <row r="39" spans="1:3" ht="22.5">
      <c r="A39" s="295" t="s">
        <v>464</v>
      </c>
      <c r="B39" s="296" t="s">
        <v>844</v>
      </c>
      <c r="C39" s="297">
        <v>39307.25</v>
      </c>
    </row>
    <row r="40" spans="1:3" ht="22.5">
      <c r="A40" s="295" t="s">
        <v>845</v>
      </c>
      <c r="B40" s="296" t="s">
        <v>846</v>
      </c>
      <c r="C40" s="297">
        <v>39060.23</v>
      </c>
    </row>
    <row r="41" spans="1:3" ht="22.5">
      <c r="A41" s="295" t="s">
        <v>847</v>
      </c>
      <c r="B41" s="296" t="s">
        <v>848</v>
      </c>
      <c r="C41" s="297">
        <v>182.65</v>
      </c>
    </row>
    <row r="42" spans="1:3" ht="22.5">
      <c r="A42" s="295" t="s">
        <v>849</v>
      </c>
      <c r="B42" s="296" t="s">
        <v>850</v>
      </c>
      <c r="C42" s="297">
        <v>64.37</v>
      </c>
    </row>
    <row r="43" spans="1:3" ht="22.5">
      <c r="A43" s="295" t="s">
        <v>466</v>
      </c>
      <c r="B43" s="296" t="s">
        <v>851</v>
      </c>
      <c r="C43" s="297">
        <v>9479.05</v>
      </c>
    </row>
    <row r="44" spans="1:3" ht="33.75">
      <c r="A44" s="295" t="s">
        <v>852</v>
      </c>
      <c r="B44" s="296" t="s">
        <v>853</v>
      </c>
      <c r="C44" s="297">
        <v>9324.61</v>
      </c>
    </row>
    <row r="45" spans="1:3" ht="33.75">
      <c r="A45" s="295" t="s">
        <v>854</v>
      </c>
      <c r="B45" s="296" t="s">
        <v>855</v>
      </c>
      <c r="C45" s="297">
        <v>122.99</v>
      </c>
    </row>
    <row r="46" spans="1:3" ht="33.75">
      <c r="A46" s="295" t="s">
        <v>856</v>
      </c>
      <c r="B46" s="296" t="s">
        <v>857</v>
      </c>
      <c r="C46" s="297">
        <v>31.45</v>
      </c>
    </row>
    <row r="47" spans="1:3" ht="12.75">
      <c r="A47" s="295" t="s">
        <v>468</v>
      </c>
      <c r="B47" s="296" t="s">
        <v>858</v>
      </c>
      <c r="C47" s="297">
        <v>64653.41</v>
      </c>
    </row>
    <row r="48" spans="1:3" ht="12.75">
      <c r="A48" s="295" t="s">
        <v>468</v>
      </c>
      <c r="B48" s="296" t="s">
        <v>859</v>
      </c>
      <c r="C48" s="297">
        <v>64653.41</v>
      </c>
    </row>
    <row r="49" spans="1:3" ht="22.5">
      <c r="A49" s="295" t="s">
        <v>860</v>
      </c>
      <c r="B49" s="296" t="s">
        <v>861</v>
      </c>
      <c r="C49" s="297">
        <v>64203.81</v>
      </c>
    </row>
    <row r="50" spans="1:3" ht="22.5">
      <c r="A50" s="295" t="s">
        <v>862</v>
      </c>
      <c r="B50" s="296" t="s">
        <v>863</v>
      </c>
      <c r="C50" s="297">
        <v>259.25</v>
      </c>
    </row>
    <row r="51" spans="1:3" ht="22.5">
      <c r="A51" s="295" t="s">
        <v>0</v>
      </c>
      <c r="B51" s="296" t="s">
        <v>1</v>
      </c>
      <c r="C51" s="297">
        <v>190.35</v>
      </c>
    </row>
    <row r="52" spans="1:3" ht="12.75">
      <c r="A52" s="295" t="s">
        <v>470</v>
      </c>
      <c r="B52" s="296" t="s">
        <v>2</v>
      </c>
      <c r="C52" s="297">
        <v>29.75</v>
      </c>
    </row>
    <row r="53" spans="1:3" ht="12.75">
      <c r="A53" s="295" t="s">
        <v>470</v>
      </c>
      <c r="B53" s="296" t="s">
        <v>3</v>
      </c>
      <c r="C53" s="297">
        <v>29.75</v>
      </c>
    </row>
    <row r="54" spans="1:3" ht="12.75">
      <c r="A54" s="295" t="s">
        <v>4</v>
      </c>
      <c r="B54" s="296" t="s">
        <v>5</v>
      </c>
      <c r="C54" s="297">
        <v>20.94</v>
      </c>
    </row>
    <row r="55" spans="1:3" ht="12.75">
      <c r="A55" s="295" t="s">
        <v>6</v>
      </c>
      <c r="B55" s="296" t="s">
        <v>7</v>
      </c>
      <c r="C55" s="297">
        <v>1.26</v>
      </c>
    </row>
    <row r="56" spans="1:3" ht="12.75">
      <c r="A56" s="295" t="s">
        <v>8</v>
      </c>
      <c r="B56" s="296" t="s">
        <v>9</v>
      </c>
      <c r="C56" s="297">
        <v>7.56</v>
      </c>
    </row>
    <row r="57" spans="1:3" ht="12.75">
      <c r="A57" s="292" t="s">
        <v>10</v>
      </c>
      <c r="B57" s="293" t="s">
        <v>11</v>
      </c>
      <c r="C57" s="294">
        <v>115553.47</v>
      </c>
    </row>
    <row r="58" spans="1:3" ht="12.75">
      <c r="A58" s="295" t="s">
        <v>12</v>
      </c>
      <c r="B58" s="296" t="s">
        <v>13</v>
      </c>
      <c r="C58" s="297">
        <v>20222.23</v>
      </c>
    </row>
    <row r="59" spans="1:3" ht="33.75">
      <c r="A59" s="295" t="s">
        <v>472</v>
      </c>
      <c r="B59" s="296" t="s">
        <v>14</v>
      </c>
      <c r="C59" s="297">
        <v>20222.23</v>
      </c>
    </row>
    <row r="60" spans="1:3" ht="33.75">
      <c r="A60" s="295" t="s">
        <v>15</v>
      </c>
      <c r="B60" s="296" t="s">
        <v>16</v>
      </c>
      <c r="C60" s="297">
        <v>19990.5</v>
      </c>
    </row>
    <row r="61" spans="1:3" ht="33.75">
      <c r="A61" s="295" t="s">
        <v>17</v>
      </c>
      <c r="B61" s="296" t="s">
        <v>18</v>
      </c>
      <c r="C61" s="297">
        <v>231.23</v>
      </c>
    </row>
    <row r="62" spans="1:3" ht="33.75">
      <c r="A62" s="295" t="s">
        <v>19</v>
      </c>
      <c r="B62" s="296" t="s">
        <v>20</v>
      </c>
      <c r="C62" s="297">
        <v>0.5</v>
      </c>
    </row>
    <row r="63" spans="1:3" ht="12.75">
      <c r="A63" s="295" t="s">
        <v>21</v>
      </c>
      <c r="B63" s="296" t="s">
        <v>22</v>
      </c>
      <c r="C63" s="297">
        <v>29089.82</v>
      </c>
    </row>
    <row r="64" spans="1:3" ht="12.75">
      <c r="A64" s="295" t="s">
        <v>474</v>
      </c>
      <c r="B64" s="296" t="s">
        <v>23</v>
      </c>
      <c r="C64" s="297">
        <v>7867.26</v>
      </c>
    </row>
    <row r="65" spans="1:3" ht="12.75">
      <c r="A65" s="295" t="s">
        <v>24</v>
      </c>
      <c r="B65" s="296" t="s">
        <v>25</v>
      </c>
      <c r="C65" s="297">
        <v>7808.11</v>
      </c>
    </row>
    <row r="66" spans="1:3" ht="12.75">
      <c r="A66" s="295" t="s">
        <v>26</v>
      </c>
      <c r="B66" s="296" t="s">
        <v>27</v>
      </c>
      <c r="C66" s="297">
        <v>27.63</v>
      </c>
    </row>
    <row r="67" spans="1:3" ht="12.75">
      <c r="A67" s="295" t="s">
        <v>28</v>
      </c>
      <c r="B67" s="296" t="s">
        <v>29</v>
      </c>
      <c r="C67" s="297">
        <v>31.89</v>
      </c>
    </row>
    <row r="68" spans="1:3" ht="12.75">
      <c r="A68" s="295" t="s">
        <v>30</v>
      </c>
      <c r="B68" s="296" t="s">
        <v>31</v>
      </c>
      <c r="C68" s="297">
        <v>-0.38</v>
      </c>
    </row>
    <row r="69" spans="1:3" ht="12.75">
      <c r="A69" s="295" t="s">
        <v>476</v>
      </c>
      <c r="B69" s="296" t="s">
        <v>32</v>
      </c>
      <c r="C69" s="297">
        <v>21222.56</v>
      </c>
    </row>
    <row r="70" spans="1:3" ht="12.75">
      <c r="A70" s="295" t="s">
        <v>33</v>
      </c>
      <c r="B70" s="296" t="s">
        <v>34</v>
      </c>
      <c r="C70" s="297">
        <v>20893.34</v>
      </c>
    </row>
    <row r="71" spans="1:3" ht="12.75">
      <c r="A71" s="295" t="s">
        <v>35</v>
      </c>
      <c r="B71" s="296" t="s">
        <v>36</v>
      </c>
      <c r="C71" s="297">
        <v>327.41</v>
      </c>
    </row>
    <row r="72" spans="1:3" ht="12.75">
      <c r="A72" s="295" t="s">
        <v>37</v>
      </c>
      <c r="B72" s="296" t="s">
        <v>38</v>
      </c>
      <c r="C72" s="297">
        <v>1.66</v>
      </c>
    </row>
    <row r="73" spans="1:3" ht="12.75">
      <c r="A73" s="295" t="s">
        <v>39</v>
      </c>
      <c r="B73" s="296" t="s">
        <v>40</v>
      </c>
      <c r="C73" s="297">
        <v>0.14</v>
      </c>
    </row>
    <row r="74" spans="1:3" ht="12.75">
      <c r="A74" s="295" t="s">
        <v>478</v>
      </c>
      <c r="B74" s="296" t="s">
        <v>41</v>
      </c>
      <c r="C74" s="297">
        <v>-121.45</v>
      </c>
    </row>
    <row r="75" spans="1:3" ht="12.75">
      <c r="A75" s="295" t="s">
        <v>478</v>
      </c>
      <c r="B75" s="296" t="s">
        <v>42</v>
      </c>
      <c r="C75" s="297">
        <v>-121.45</v>
      </c>
    </row>
    <row r="76" spans="1:3" ht="12.75">
      <c r="A76" s="295" t="s">
        <v>43</v>
      </c>
      <c r="B76" s="296" t="s">
        <v>44</v>
      </c>
      <c r="C76" s="297">
        <v>-121.45</v>
      </c>
    </row>
    <row r="77" spans="1:3" ht="12.75">
      <c r="A77" s="295" t="s">
        <v>45</v>
      </c>
      <c r="B77" s="296" t="s">
        <v>46</v>
      </c>
      <c r="C77" s="297">
        <v>66362.87</v>
      </c>
    </row>
    <row r="78" spans="1:3" ht="45">
      <c r="A78" s="295" t="s">
        <v>480</v>
      </c>
      <c r="B78" s="296" t="s">
        <v>47</v>
      </c>
      <c r="C78" s="297">
        <v>7912.11</v>
      </c>
    </row>
    <row r="79" spans="1:3" ht="45">
      <c r="A79" s="295" t="s">
        <v>48</v>
      </c>
      <c r="B79" s="296" t="s">
        <v>49</v>
      </c>
      <c r="C79" s="297">
        <v>7820.59</v>
      </c>
    </row>
    <row r="80" spans="1:3" ht="45">
      <c r="A80" s="295" t="s">
        <v>50</v>
      </c>
      <c r="B80" s="296" t="s">
        <v>51</v>
      </c>
      <c r="C80" s="297">
        <v>89.75</v>
      </c>
    </row>
    <row r="81" spans="1:3" ht="45">
      <c r="A81" s="295" t="s">
        <v>52</v>
      </c>
      <c r="B81" s="296" t="s">
        <v>53</v>
      </c>
      <c r="C81" s="297">
        <v>3.29</v>
      </c>
    </row>
    <row r="82" spans="1:3" ht="45">
      <c r="A82" s="295" t="s">
        <v>54</v>
      </c>
      <c r="B82" s="296" t="s">
        <v>55</v>
      </c>
      <c r="C82" s="297">
        <v>-1.53</v>
      </c>
    </row>
    <row r="83" spans="1:3" ht="45">
      <c r="A83" s="295" t="s">
        <v>482</v>
      </c>
      <c r="B83" s="296" t="s">
        <v>56</v>
      </c>
      <c r="C83" s="297">
        <v>58450.77</v>
      </c>
    </row>
    <row r="84" spans="1:3" ht="45">
      <c r="A84" s="295" t="s">
        <v>57</v>
      </c>
      <c r="B84" s="296" t="s">
        <v>58</v>
      </c>
      <c r="C84" s="297">
        <v>58065.51</v>
      </c>
    </row>
    <row r="85" spans="1:3" ht="45">
      <c r="A85" s="295" t="s">
        <v>59</v>
      </c>
      <c r="B85" s="296" t="s">
        <v>60</v>
      </c>
      <c r="C85" s="297">
        <v>222.4</v>
      </c>
    </row>
    <row r="86" spans="1:3" ht="45">
      <c r="A86" s="295" t="s">
        <v>61</v>
      </c>
      <c r="B86" s="296" t="s">
        <v>62</v>
      </c>
      <c r="C86" s="297">
        <v>162.85</v>
      </c>
    </row>
    <row r="87" spans="1:3" ht="22.5">
      <c r="A87" s="292" t="s">
        <v>63</v>
      </c>
      <c r="B87" s="293" t="s">
        <v>64</v>
      </c>
      <c r="C87" s="294">
        <v>3413.25</v>
      </c>
    </row>
    <row r="88" spans="1:3" ht="12.75">
      <c r="A88" s="295" t="s">
        <v>65</v>
      </c>
      <c r="B88" s="296" t="s">
        <v>66</v>
      </c>
      <c r="C88" s="297">
        <v>3413.25</v>
      </c>
    </row>
    <row r="89" spans="1:3" ht="12.75">
      <c r="A89" s="295" t="s">
        <v>484</v>
      </c>
      <c r="B89" s="296" t="s">
        <v>67</v>
      </c>
      <c r="C89" s="297">
        <v>2436.41</v>
      </c>
    </row>
    <row r="90" spans="1:3" ht="22.5">
      <c r="A90" s="295" t="s">
        <v>68</v>
      </c>
      <c r="B90" s="296" t="s">
        <v>69</v>
      </c>
      <c r="C90" s="297">
        <v>2421.35</v>
      </c>
    </row>
    <row r="91" spans="1:3" ht="22.5">
      <c r="A91" s="295" t="s">
        <v>70</v>
      </c>
      <c r="B91" s="296" t="s">
        <v>71</v>
      </c>
      <c r="C91" s="297">
        <v>11.43</v>
      </c>
    </row>
    <row r="92" spans="1:3" ht="22.5">
      <c r="A92" s="295" t="s">
        <v>72</v>
      </c>
      <c r="B92" s="296" t="s">
        <v>73</v>
      </c>
      <c r="C92" s="297">
        <v>3.62</v>
      </c>
    </row>
    <row r="93" spans="1:3" ht="22.5">
      <c r="A93" s="295" t="s">
        <v>486</v>
      </c>
      <c r="B93" s="296" t="s">
        <v>74</v>
      </c>
      <c r="C93" s="297">
        <v>976.84</v>
      </c>
    </row>
    <row r="94" spans="1:3" ht="22.5">
      <c r="A94" s="295" t="s">
        <v>75</v>
      </c>
      <c r="B94" s="296" t="s">
        <v>76</v>
      </c>
      <c r="C94" s="297">
        <v>975.64</v>
      </c>
    </row>
    <row r="95" spans="1:3" ht="22.5">
      <c r="A95" s="295" t="s">
        <v>77</v>
      </c>
      <c r="B95" s="296" t="s">
        <v>78</v>
      </c>
      <c r="C95" s="297">
        <v>1.2</v>
      </c>
    </row>
    <row r="96" spans="1:3" ht="12.75">
      <c r="A96" s="292" t="s">
        <v>79</v>
      </c>
      <c r="B96" s="293" t="s">
        <v>80</v>
      </c>
      <c r="C96" s="294">
        <v>50783.6</v>
      </c>
    </row>
    <row r="97" spans="1:3" ht="22.5">
      <c r="A97" s="295" t="s">
        <v>81</v>
      </c>
      <c r="B97" s="296" t="s">
        <v>82</v>
      </c>
      <c r="C97" s="297">
        <v>7402.31</v>
      </c>
    </row>
    <row r="98" spans="1:3" ht="33.75">
      <c r="A98" s="295" t="s">
        <v>488</v>
      </c>
      <c r="B98" s="296" t="s">
        <v>83</v>
      </c>
      <c r="C98" s="297">
        <v>7402.31</v>
      </c>
    </row>
    <row r="99" spans="1:3" ht="33.75">
      <c r="A99" s="295" t="s">
        <v>84</v>
      </c>
      <c r="B99" s="296" t="s">
        <v>85</v>
      </c>
      <c r="C99" s="297">
        <v>7402.31</v>
      </c>
    </row>
    <row r="100" spans="1:3" ht="22.5">
      <c r="A100" s="295" t="s">
        <v>86</v>
      </c>
      <c r="B100" s="296" t="s">
        <v>87</v>
      </c>
      <c r="C100" s="297">
        <v>43381.29</v>
      </c>
    </row>
    <row r="101" spans="1:3" ht="67.5">
      <c r="A101" s="298" t="s">
        <v>492</v>
      </c>
      <c r="B101" s="296" t="s">
        <v>88</v>
      </c>
      <c r="C101" s="297">
        <v>43319.29</v>
      </c>
    </row>
    <row r="102" spans="1:3" ht="67.5">
      <c r="A102" s="298" t="s">
        <v>89</v>
      </c>
      <c r="B102" s="296" t="s">
        <v>90</v>
      </c>
      <c r="C102" s="297">
        <v>43319.29</v>
      </c>
    </row>
    <row r="103" spans="1:3" ht="22.5">
      <c r="A103" s="295" t="s">
        <v>495</v>
      </c>
      <c r="B103" s="296" t="s">
        <v>91</v>
      </c>
      <c r="C103" s="297">
        <v>18</v>
      </c>
    </row>
    <row r="104" spans="1:3" ht="22.5">
      <c r="A104" s="295" t="s">
        <v>92</v>
      </c>
      <c r="B104" s="296" t="s">
        <v>93</v>
      </c>
      <c r="C104" s="297">
        <v>18</v>
      </c>
    </row>
    <row r="105" spans="1:3" ht="56.25">
      <c r="A105" s="298" t="s">
        <v>490</v>
      </c>
      <c r="B105" s="296" t="s">
        <v>94</v>
      </c>
      <c r="C105" s="297">
        <v>44</v>
      </c>
    </row>
    <row r="106" spans="1:3" ht="67.5">
      <c r="A106" s="298" t="s">
        <v>95</v>
      </c>
      <c r="B106" s="296" t="s">
        <v>96</v>
      </c>
      <c r="C106" s="297">
        <v>44</v>
      </c>
    </row>
    <row r="107" spans="1:3" ht="22.5">
      <c r="A107" s="292" t="s">
        <v>97</v>
      </c>
      <c r="B107" s="293" t="s">
        <v>98</v>
      </c>
      <c r="C107" s="294">
        <v>1114.19</v>
      </c>
    </row>
    <row r="108" spans="1:3" ht="22.5">
      <c r="A108" s="295" t="s">
        <v>99</v>
      </c>
      <c r="B108" s="296" t="s">
        <v>100</v>
      </c>
      <c r="C108" s="297">
        <v>-1.07</v>
      </c>
    </row>
    <row r="109" spans="1:3" ht="22.5">
      <c r="A109" s="295" t="s">
        <v>497</v>
      </c>
      <c r="B109" s="296" t="s">
        <v>101</v>
      </c>
      <c r="C109" s="297">
        <v>-1.07</v>
      </c>
    </row>
    <row r="110" spans="1:3" ht="33.75">
      <c r="A110" s="295" t="s">
        <v>102</v>
      </c>
      <c r="B110" s="296" t="s">
        <v>103</v>
      </c>
      <c r="C110" s="297">
        <v>-1.34</v>
      </c>
    </row>
    <row r="111" spans="1:3" ht="33.75">
      <c r="A111" s="295" t="s">
        <v>104</v>
      </c>
      <c r="B111" s="296" t="s">
        <v>105</v>
      </c>
      <c r="C111" s="297">
        <v>0.32</v>
      </c>
    </row>
    <row r="112" spans="1:3" ht="33.75">
      <c r="A112" s="295" t="s">
        <v>106</v>
      </c>
      <c r="B112" s="296" t="s">
        <v>107</v>
      </c>
      <c r="C112" s="297">
        <v>-0.05</v>
      </c>
    </row>
    <row r="113" spans="1:3" ht="12.75">
      <c r="A113" s="295" t="s">
        <v>108</v>
      </c>
      <c r="B113" s="296" t="s">
        <v>109</v>
      </c>
      <c r="C113" s="297">
        <v>0.11</v>
      </c>
    </row>
    <row r="114" spans="1:3" ht="12.75">
      <c r="A114" s="295" t="s">
        <v>499</v>
      </c>
      <c r="B114" s="296" t="s">
        <v>110</v>
      </c>
      <c r="C114" s="297">
        <v>0.1</v>
      </c>
    </row>
    <row r="115" spans="1:3" ht="12.75">
      <c r="A115" s="295" t="s">
        <v>111</v>
      </c>
      <c r="B115" s="296" t="s">
        <v>112</v>
      </c>
      <c r="C115" s="297">
        <v>0.1</v>
      </c>
    </row>
    <row r="116" spans="1:3" ht="12.75">
      <c r="A116" s="295" t="s">
        <v>113</v>
      </c>
      <c r="B116" s="296" t="s">
        <v>114</v>
      </c>
      <c r="C116" s="297">
        <v>1110.06</v>
      </c>
    </row>
    <row r="117" spans="1:3" ht="22.5">
      <c r="A117" s="295" t="s">
        <v>501</v>
      </c>
      <c r="B117" s="296" t="s">
        <v>115</v>
      </c>
      <c r="C117" s="297">
        <v>1110.06</v>
      </c>
    </row>
    <row r="118" spans="1:3" ht="33.75">
      <c r="A118" s="295" t="s">
        <v>116</v>
      </c>
      <c r="B118" s="296" t="s">
        <v>117</v>
      </c>
      <c r="C118" s="297">
        <v>677.14</v>
      </c>
    </row>
    <row r="119" spans="1:3" ht="33.75">
      <c r="A119" s="295" t="s">
        <v>118</v>
      </c>
      <c r="B119" s="296" t="s">
        <v>119</v>
      </c>
      <c r="C119" s="297">
        <v>406.38</v>
      </c>
    </row>
    <row r="120" spans="1:3" ht="22.5">
      <c r="A120" s="295" t="s">
        <v>120</v>
      </c>
      <c r="B120" s="296" t="s">
        <v>121</v>
      </c>
      <c r="C120" s="297">
        <v>26.54</v>
      </c>
    </row>
    <row r="121" spans="1:3" ht="33.75">
      <c r="A121" s="295" t="s">
        <v>122</v>
      </c>
      <c r="B121" s="296" t="s">
        <v>123</v>
      </c>
      <c r="C121" s="297">
        <v>3.38</v>
      </c>
    </row>
    <row r="122" spans="1:3" ht="12.75">
      <c r="A122" s="295" t="s">
        <v>503</v>
      </c>
      <c r="B122" s="296" t="s">
        <v>124</v>
      </c>
      <c r="C122" s="297">
        <v>3.22</v>
      </c>
    </row>
    <row r="123" spans="1:3" ht="12.75">
      <c r="A123" s="295" t="s">
        <v>125</v>
      </c>
      <c r="B123" s="296" t="s">
        <v>126</v>
      </c>
      <c r="C123" s="297">
        <v>0.51</v>
      </c>
    </row>
    <row r="124" spans="1:3" ht="12.75">
      <c r="A124" s="295" t="s">
        <v>127</v>
      </c>
      <c r="B124" s="296" t="s">
        <v>128</v>
      </c>
      <c r="C124" s="297">
        <v>2.59</v>
      </c>
    </row>
    <row r="125" spans="1:3" ht="12.75">
      <c r="A125" s="295" t="s">
        <v>129</v>
      </c>
      <c r="B125" s="296" t="s">
        <v>130</v>
      </c>
      <c r="C125" s="297">
        <v>0.12</v>
      </c>
    </row>
    <row r="126" spans="1:3" ht="22.5">
      <c r="A126" s="295" t="s">
        <v>505</v>
      </c>
      <c r="B126" s="296" t="s">
        <v>131</v>
      </c>
      <c r="C126" s="297">
        <v>0.17</v>
      </c>
    </row>
    <row r="127" spans="1:3" ht="22.5">
      <c r="A127" s="295" t="s">
        <v>132</v>
      </c>
      <c r="B127" s="296" t="s">
        <v>133</v>
      </c>
      <c r="C127" s="297">
        <v>0.17</v>
      </c>
    </row>
    <row r="128" spans="1:3" ht="12.75">
      <c r="A128" s="295" t="s">
        <v>134</v>
      </c>
      <c r="B128" s="296" t="s">
        <v>135</v>
      </c>
      <c r="C128" s="297">
        <v>1.71</v>
      </c>
    </row>
    <row r="129" spans="1:3" ht="12.75">
      <c r="A129" s="295" t="s">
        <v>507</v>
      </c>
      <c r="B129" s="296" t="s">
        <v>136</v>
      </c>
      <c r="C129" s="297">
        <v>-1.06</v>
      </c>
    </row>
    <row r="130" spans="1:3" ht="22.5">
      <c r="A130" s="295" t="s">
        <v>137</v>
      </c>
      <c r="B130" s="296" t="s">
        <v>138</v>
      </c>
      <c r="C130" s="297">
        <v>-2.29</v>
      </c>
    </row>
    <row r="131" spans="1:3" ht="22.5">
      <c r="A131" s="295" t="s">
        <v>139</v>
      </c>
      <c r="B131" s="296" t="s">
        <v>140</v>
      </c>
      <c r="C131" s="297">
        <v>1.24</v>
      </c>
    </row>
    <row r="132" spans="1:3" ht="45">
      <c r="A132" s="295" t="s">
        <v>509</v>
      </c>
      <c r="B132" s="296" t="s">
        <v>141</v>
      </c>
      <c r="C132" s="297">
        <v>-0.15</v>
      </c>
    </row>
    <row r="133" spans="1:3" ht="45">
      <c r="A133" s="295" t="s">
        <v>142</v>
      </c>
      <c r="B133" s="296" t="s">
        <v>143</v>
      </c>
      <c r="C133" s="297">
        <v>-0.78</v>
      </c>
    </row>
    <row r="134" spans="1:3" ht="45">
      <c r="A134" s="295" t="s">
        <v>144</v>
      </c>
      <c r="B134" s="296" t="s">
        <v>145</v>
      </c>
      <c r="C134" s="297">
        <v>0.62</v>
      </c>
    </row>
    <row r="135" spans="1:3" ht="22.5">
      <c r="A135" s="295" t="s">
        <v>511</v>
      </c>
      <c r="B135" s="296" t="s">
        <v>146</v>
      </c>
      <c r="C135" s="297">
        <v>2.92</v>
      </c>
    </row>
    <row r="136" spans="1:3" ht="22.5">
      <c r="A136" s="295" t="s">
        <v>147</v>
      </c>
      <c r="B136" s="296" t="s">
        <v>148</v>
      </c>
      <c r="C136" s="297">
        <v>2.92</v>
      </c>
    </row>
    <row r="137" spans="1:3" ht="22.5">
      <c r="A137" s="292" t="s">
        <v>149</v>
      </c>
      <c r="B137" s="293" t="s">
        <v>150</v>
      </c>
      <c r="C137" s="294">
        <v>90688.43</v>
      </c>
    </row>
    <row r="138" spans="1:3" ht="56.25">
      <c r="A138" s="298" t="s">
        <v>151</v>
      </c>
      <c r="B138" s="296" t="s">
        <v>152</v>
      </c>
      <c r="C138" s="297">
        <v>74060.85</v>
      </c>
    </row>
    <row r="139" spans="1:3" ht="56.25">
      <c r="A139" s="298" t="s">
        <v>513</v>
      </c>
      <c r="B139" s="296" t="s">
        <v>153</v>
      </c>
      <c r="C139" s="297">
        <v>70624.92</v>
      </c>
    </row>
    <row r="140" spans="1:3" ht="45">
      <c r="A140" s="295" t="s">
        <v>516</v>
      </c>
      <c r="B140" s="296" t="s">
        <v>154</v>
      </c>
      <c r="C140" s="297">
        <v>3435.94</v>
      </c>
    </row>
    <row r="141" spans="1:3" ht="22.5">
      <c r="A141" s="295" t="s">
        <v>155</v>
      </c>
      <c r="B141" s="296" t="s">
        <v>156</v>
      </c>
      <c r="C141" s="297">
        <v>90.5</v>
      </c>
    </row>
    <row r="142" spans="1:3" ht="33.75">
      <c r="A142" s="295" t="s">
        <v>518</v>
      </c>
      <c r="B142" s="296" t="s">
        <v>157</v>
      </c>
      <c r="C142" s="297">
        <v>90.5</v>
      </c>
    </row>
    <row r="143" spans="1:3" ht="56.25">
      <c r="A143" s="295" t="s">
        <v>158</v>
      </c>
      <c r="B143" s="296" t="s">
        <v>159</v>
      </c>
      <c r="C143" s="297">
        <v>16537.08</v>
      </c>
    </row>
    <row r="144" spans="1:3" ht="45">
      <c r="A144" s="295" t="s">
        <v>520</v>
      </c>
      <c r="B144" s="296" t="s">
        <v>160</v>
      </c>
      <c r="C144" s="297">
        <v>16537.08</v>
      </c>
    </row>
    <row r="145" spans="1:3" ht="12.75">
      <c r="A145" s="292" t="s">
        <v>161</v>
      </c>
      <c r="B145" s="293" t="s">
        <v>162</v>
      </c>
      <c r="C145" s="294">
        <v>6620.19</v>
      </c>
    </row>
    <row r="146" spans="1:3" ht="12.75">
      <c r="A146" s="295" t="s">
        <v>522</v>
      </c>
      <c r="B146" s="296" t="s">
        <v>163</v>
      </c>
      <c r="C146" s="297">
        <v>6620.19</v>
      </c>
    </row>
    <row r="147" spans="1:3" ht="12.75">
      <c r="A147" s="295" t="s">
        <v>522</v>
      </c>
      <c r="B147" s="296" t="s">
        <v>164</v>
      </c>
      <c r="C147" s="297">
        <v>6620.19</v>
      </c>
    </row>
    <row r="148" spans="1:3" ht="22.5">
      <c r="A148" s="292" t="s">
        <v>165</v>
      </c>
      <c r="B148" s="293" t="s">
        <v>166</v>
      </c>
      <c r="C148" s="294">
        <v>6738.58</v>
      </c>
    </row>
    <row r="149" spans="1:3" ht="22.5">
      <c r="A149" s="295" t="s">
        <v>167</v>
      </c>
      <c r="B149" s="296" t="s">
        <v>168</v>
      </c>
      <c r="C149" s="297">
        <v>6738.58</v>
      </c>
    </row>
    <row r="150" spans="1:3" ht="33.75">
      <c r="A150" s="295" t="s">
        <v>525</v>
      </c>
      <c r="B150" s="296" t="s">
        <v>169</v>
      </c>
      <c r="C150" s="297">
        <v>6738.58</v>
      </c>
    </row>
    <row r="151" spans="1:3" ht="22.5">
      <c r="A151" s="292" t="s">
        <v>170</v>
      </c>
      <c r="B151" s="293" t="s">
        <v>171</v>
      </c>
      <c r="C151" s="294">
        <v>93821.58</v>
      </c>
    </row>
    <row r="152" spans="1:3" ht="12.75">
      <c r="A152" s="295" t="s">
        <v>172</v>
      </c>
      <c r="B152" s="296" t="s">
        <v>173</v>
      </c>
      <c r="C152" s="297">
        <v>380</v>
      </c>
    </row>
    <row r="153" spans="1:3" ht="22.5">
      <c r="A153" s="295" t="s">
        <v>528</v>
      </c>
      <c r="B153" s="296" t="s">
        <v>174</v>
      </c>
      <c r="C153" s="297">
        <v>380</v>
      </c>
    </row>
    <row r="154" spans="1:3" ht="56.25">
      <c r="A154" s="298" t="s">
        <v>175</v>
      </c>
      <c r="B154" s="296" t="s">
        <v>176</v>
      </c>
      <c r="C154" s="297">
        <v>46272.09</v>
      </c>
    </row>
    <row r="155" spans="1:3" ht="56.25">
      <c r="A155" s="298" t="s">
        <v>175</v>
      </c>
      <c r="B155" s="296" t="s">
        <v>177</v>
      </c>
      <c r="C155" s="297">
        <v>46272.09</v>
      </c>
    </row>
    <row r="156" spans="1:3" ht="56.25">
      <c r="A156" s="298" t="s">
        <v>178</v>
      </c>
      <c r="B156" s="296" t="s">
        <v>179</v>
      </c>
      <c r="C156" s="297">
        <v>244.85</v>
      </c>
    </row>
    <row r="157" spans="1:3" ht="56.25">
      <c r="A157" s="298" t="s">
        <v>178</v>
      </c>
      <c r="B157" s="296" t="s">
        <v>180</v>
      </c>
      <c r="C157" s="297">
        <v>244.85</v>
      </c>
    </row>
    <row r="158" spans="1:3" ht="33.75">
      <c r="A158" s="295" t="s">
        <v>181</v>
      </c>
      <c r="B158" s="296" t="s">
        <v>182</v>
      </c>
      <c r="C158" s="297">
        <v>46924.64</v>
      </c>
    </row>
    <row r="159" spans="1:3" ht="33.75">
      <c r="A159" s="295" t="s">
        <v>534</v>
      </c>
      <c r="B159" s="296" t="s">
        <v>183</v>
      </c>
      <c r="C159" s="297">
        <v>46146.5</v>
      </c>
    </row>
    <row r="160" spans="1:3" ht="33.75">
      <c r="A160" s="295" t="s">
        <v>537</v>
      </c>
      <c r="B160" s="296" t="s">
        <v>184</v>
      </c>
      <c r="C160" s="297">
        <v>778.15</v>
      </c>
    </row>
    <row r="161" spans="1:3" ht="12.75">
      <c r="A161" s="292" t="s">
        <v>185</v>
      </c>
      <c r="B161" s="293" t="s">
        <v>186</v>
      </c>
      <c r="C161" s="294">
        <v>16115.82</v>
      </c>
    </row>
    <row r="162" spans="1:3" ht="22.5">
      <c r="A162" s="295" t="s">
        <v>187</v>
      </c>
      <c r="B162" s="296" t="s">
        <v>188</v>
      </c>
      <c r="C162" s="297">
        <v>156.99</v>
      </c>
    </row>
    <row r="163" spans="1:3" ht="45">
      <c r="A163" s="295" t="s">
        <v>539</v>
      </c>
      <c r="B163" s="296" t="s">
        <v>189</v>
      </c>
      <c r="C163" s="297">
        <v>106.24</v>
      </c>
    </row>
    <row r="164" spans="1:3" ht="33.75">
      <c r="A164" s="295" t="s">
        <v>542</v>
      </c>
      <c r="B164" s="296" t="s">
        <v>190</v>
      </c>
      <c r="C164" s="297">
        <v>50.75</v>
      </c>
    </row>
    <row r="165" spans="1:3" ht="45">
      <c r="A165" s="295" t="s">
        <v>544</v>
      </c>
      <c r="B165" s="296" t="s">
        <v>191</v>
      </c>
      <c r="C165" s="297">
        <v>23.82</v>
      </c>
    </row>
    <row r="166" spans="1:3" ht="45">
      <c r="A166" s="295" t="s">
        <v>544</v>
      </c>
      <c r="B166" s="296" t="s">
        <v>192</v>
      </c>
      <c r="C166" s="297">
        <v>23.82</v>
      </c>
    </row>
    <row r="167" spans="1:3" ht="45">
      <c r="A167" s="295" t="s">
        <v>546</v>
      </c>
      <c r="B167" s="296" t="s">
        <v>193</v>
      </c>
      <c r="C167" s="297">
        <v>44</v>
      </c>
    </row>
    <row r="168" spans="1:3" ht="45">
      <c r="A168" s="295" t="s">
        <v>546</v>
      </c>
      <c r="B168" s="296" t="s">
        <v>194</v>
      </c>
      <c r="C168" s="297">
        <v>44</v>
      </c>
    </row>
    <row r="169" spans="1:3" ht="33.75">
      <c r="A169" s="295" t="s">
        <v>195</v>
      </c>
      <c r="B169" s="296" t="s">
        <v>196</v>
      </c>
      <c r="C169" s="297">
        <v>13.5</v>
      </c>
    </row>
    <row r="170" spans="1:3" ht="33.75">
      <c r="A170" s="295" t="s">
        <v>548</v>
      </c>
      <c r="B170" s="296" t="s">
        <v>197</v>
      </c>
      <c r="C170" s="297">
        <v>13.5</v>
      </c>
    </row>
    <row r="171" spans="1:3" ht="12.75">
      <c r="A171" s="295" t="s">
        <v>198</v>
      </c>
      <c r="B171" s="296" t="s">
        <v>199</v>
      </c>
      <c r="C171" s="297">
        <v>182.8</v>
      </c>
    </row>
    <row r="172" spans="1:3" ht="33.75">
      <c r="A172" s="295" t="s">
        <v>551</v>
      </c>
      <c r="B172" s="296" t="s">
        <v>200</v>
      </c>
      <c r="C172" s="297">
        <v>182.8</v>
      </c>
    </row>
    <row r="173" spans="1:3" ht="12.75">
      <c r="A173" s="295" t="s">
        <v>201</v>
      </c>
      <c r="B173" s="296" t="s">
        <v>202</v>
      </c>
      <c r="C173" s="297">
        <v>268.46</v>
      </c>
    </row>
    <row r="174" spans="1:3" ht="22.5">
      <c r="A174" s="295" t="s">
        <v>553</v>
      </c>
      <c r="B174" s="296" t="s">
        <v>203</v>
      </c>
      <c r="C174" s="297">
        <v>8.07</v>
      </c>
    </row>
    <row r="175" spans="1:3" ht="22.5">
      <c r="A175" s="295" t="s">
        <v>556</v>
      </c>
      <c r="B175" s="296" t="s">
        <v>204</v>
      </c>
      <c r="C175" s="297">
        <v>9.3</v>
      </c>
    </row>
    <row r="176" spans="1:3" ht="22.5">
      <c r="A176" s="295" t="s">
        <v>559</v>
      </c>
      <c r="B176" s="296" t="s">
        <v>205</v>
      </c>
      <c r="C176" s="297">
        <v>241.19</v>
      </c>
    </row>
    <row r="177" spans="1:3" ht="22.5">
      <c r="A177" s="295" t="s">
        <v>561</v>
      </c>
      <c r="B177" s="296" t="s">
        <v>206</v>
      </c>
      <c r="C177" s="297">
        <v>9.9</v>
      </c>
    </row>
    <row r="178" spans="1:3" ht="33.75">
      <c r="A178" s="295" t="s">
        <v>564</v>
      </c>
      <c r="B178" s="296" t="s">
        <v>207</v>
      </c>
      <c r="C178" s="297">
        <v>368.28</v>
      </c>
    </row>
    <row r="179" spans="1:3" ht="33.75">
      <c r="A179" s="295" t="s">
        <v>564</v>
      </c>
      <c r="B179" s="296" t="s">
        <v>208</v>
      </c>
      <c r="C179" s="297">
        <v>368.28</v>
      </c>
    </row>
    <row r="180" spans="1:3" ht="22.5">
      <c r="A180" s="295" t="s">
        <v>568</v>
      </c>
      <c r="B180" s="296" t="s">
        <v>209</v>
      </c>
      <c r="C180" s="297">
        <v>9096.35</v>
      </c>
    </row>
    <row r="181" spans="1:3" ht="22.5">
      <c r="A181" s="295" t="s">
        <v>568</v>
      </c>
      <c r="B181" s="296" t="s">
        <v>210</v>
      </c>
      <c r="C181" s="297">
        <v>9096.35</v>
      </c>
    </row>
    <row r="182" spans="1:3" ht="33.75">
      <c r="A182" s="295" t="s">
        <v>211</v>
      </c>
      <c r="B182" s="296" t="s">
        <v>212</v>
      </c>
      <c r="C182" s="297">
        <v>6</v>
      </c>
    </row>
    <row r="183" spans="1:3" ht="33.75">
      <c r="A183" s="295" t="s">
        <v>570</v>
      </c>
      <c r="B183" s="296" t="s">
        <v>213</v>
      </c>
      <c r="C183" s="297">
        <v>6</v>
      </c>
    </row>
    <row r="184" spans="1:3" ht="22.5">
      <c r="A184" s="295" t="s">
        <v>214</v>
      </c>
      <c r="B184" s="296" t="s">
        <v>215</v>
      </c>
      <c r="C184" s="297">
        <v>5955.63</v>
      </c>
    </row>
    <row r="185" spans="1:3" ht="22.5">
      <c r="A185" s="295" t="s">
        <v>573</v>
      </c>
      <c r="B185" s="296" t="s">
        <v>216</v>
      </c>
      <c r="C185" s="297">
        <v>5955.63</v>
      </c>
    </row>
    <row r="186" spans="1:3" ht="12.75">
      <c r="A186" s="292" t="s">
        <v>217</v>
      </c>
      <c r="B186" s="293" t="s">
        <v>218</v>
      </c>
      <c r="C186" s="294">
        <v>1490.95</v>
      </c>
    </row>
    <row r="187" spans="1:3" ht="12.75">
      <c r="A187" s="295" t="s">
        <v>219</v>
      </c>
      <c r="B187" s="296" t="s">
        <v>220</v>
      </c>
      <c r="C187" s="297">
        <v>-1.19</v>
      </c>
    </row>
    <row r="188" spans="1:3" ht="22.5">
      <c r="A188" s="295" t="s">
        <v>582</v>
      </c>
      <c r="B188" s="296" t="s">
        <v>221</v>
      </c>
      <c r="C188" s="297">
        <v>-1.19</v>
      </c>
    </row>
    <row r="189" spans="1:3" ht="12.75">
      <c r="A189" s="295" t="s">
        <v>222</v>
      </c>
      <c r="B189" s="296" t="s">
        <v>223</v>
      </c>
      <c r="C189" s="297">
        <v>1492.14</v>
      </c>
    </row>
    <row r="190" spans="1:3" ht="12.75">
      <c r="A190" s="295" t="s">
        <v>585</v>
      </c>
      <c r="B190" s="296" t="s">
        <v>224</v>
      </c>
      <c r="C190" s="297">
        <v>1492.14</v>
      </c>
    </row>
    <row r="191" spans="1:3" ht="33.75">
      <c r="A191" s="292" t="s">
        <v>225</v>
      </c>
      <c r="B191" s="293" t="s">
        <v>226</v>
      </c>
      <c r="C191" s="294">
        <v>-11219.08</v>
      </c>
    </row>
    <row r="192" spans="1:3" ht="33.75">
      <c r="A192" s="295" t="s">
        <v>587</v>
      </c>
      <c r="B192" s="296" t="s">
        <v>227</v>
      </c>
      <c r="C192" s="297">
        <v>-11219.08</v>
      </c>
    </row>
    <row r="193" spans="1:3" ht="33.75">
      <c r="A193" s="295" t="s">
        <v>587</v>
      </c>
      <c r="B193" s="296" t="s">
        <v>228</v>
      </c>
      <c r="C193" s="297">
        <v>-11219.08</v>
      </c>
    </row>
    <row r="194" spans="1:3" ht="12.75">
      <c r="A194" s="292" t="s">
        <v>229</v>
      </c>
      <c r="B194" s="293" t="s">
        <v>230</v>
      </c>
      <c r="C194" s="294">
        <v>1816822.19</v>
      </c>
    </row>
    <row r="195" spans="1:3" ht="22.5">
      <c r="A195" s="292" t="s">
        <v>231</v>
      </c>
      <c r="B195" s="293" t="s">
        <v>232</v>
      </c>
      <c r="C195" s="294">
        <v>1816766.77</v>
      </c>
    </row>
    <row r="196" spans="1:3" ht="22.5">
      <c r="A196" s="295" t="s">
        <v>233</v>
      </c>
      <c r="B196" s="296" t="s">
        <v>234</v>
      </c>
      <c r="C196" s="297">
        <v>367489.4</v>
      </c>
    </row>
    <row r="197" spans="1:3" ht="22.5">
      <c r="A197" s="295" t="s">
        <v>590</v>
      </c>
      <c r="B197" s="296" t="s">
        <v>235</v>
      </c>
      <c r="C197" s="297">
        <v>103220</v>
      </c>
    </row>
    <row r="198" spans="1:3" ht="22.5">
      <c r="A198" s="295" t="s">
        <v>592</v>
      </c>
      <c r="B198" s="296" t="s">
        <v>236</v>
      </c>
      <c r="C198" s="297">
        <v>264269.4</v>
      </c>
    </row>
    <row r="199" spans="1:3" ht="22.5">
      <c r="A199" s="295" t="s">
        <v>237</v>
      </c>
      <c r="B199" s="296" t="s">
        <v>238</v>
      </c>
      <c r="C199" s="297">
        <v>392915.49</v>
      </c>
    </row>
    <row r="200" spans="1:3" ht="22.5">
      <c r="A200" s="295" t="s">
        <v>594</v>
      </c>
      <c r="B200" s="296" t="s">
        <v>239</v>
      </c>
      <c r="C200" s="297">
        <v>5628.35</v>
      </c>
    </row>
    <row r="201" spans="1:3" ht="33.75">
      <c r="A201" s="295" t="s">
        <v>596</v>
      </c>
      <c r="B201" s="296" t="s">
        <v>240</v>
      </c>
      <c r="C201" s="297">
        <v>5276.39</v>
      </c>
    </row>
    <row r="202" spans="1:3" ht="56.25">
      <c r="A202" s="298" t="s">
        <v>598</v>
      </c>
      <c r="B202" s="296" t="s">
        <v>241</v>
      </c>
      <c r="C202" s="297">
        <v>211018.21</v>
      </c>
    </row>
    <row r="203" spans="1:3" ht="45">
      <c r="A203" s="295" t="s">
        <v>242</v>
      </c>
      <c r="B203" s="296" t="s">
        <v>243</v>
      </c>
      <c r="C203" s="297">
        <v>34568</v>
      </c>
    </row>
    <row r="204" spans="1:3" ht="45">
      <c r="A204" s="295" t="s">
        <v>244</v>
      </c>
      <c r="B204" s="296" t="s">
        <v>245</v>
      </c>
      <c r="C204" s="297">
        <v>142932.84</v>
      </c>
    </row>
    <row r="205" spans="1:3" ht="56.25">
      <c r="A205" s="299" t="s">
        <v>246</v>
      </c>
      <c r="B205" s="296" t="s">
        <v>247</v>
      </c>
      <c r="C205" s="297">
        <v>33517.38</v>
      </c>
    </row>
    <row r="206" spans="1:3" ht="33.75">
      <c r="A206" s="295" t="s">
        <v>600</v>
      </c>
      <c r="B206" s="296" t="s">
        <v>248</v>
      </c>
      <c r="C206" s="297">
        <v>20532.39</v>
      </c>
    </row>
    <row r="207" spans="1:3" ht="33.75">
      <c r="A207" s="295" t="s">
        <v>249</v>
      </c>
      <c r="B207" s="296" t="s">
        <v>250</v>
      </c>
      <c r="C207" s="297">
        <v>2932</v>
      </c>
    </row>
    <row r="208" spans="1:3" ht="33.75">
      <c r="A208" s="295" t="s">
        <v>251</v>
      </c>
      <c r="B208" s="296" t="s">
        <v>252</v>
      </c>
      <c r="C208" s="297">
        <v>14257.13</v>
      </c>
    </row>
    <row r="209" spans="1:3" ht="45">
      <c r="A209" s="295" t="s">
        <v>253</v>
      </c>
      <c r="B209" s="296" t="s">
        <v>254</v>
      </c>
      <c r="C209" s="297">
        <v>3343.26</v>
      </c>
    </row>
    <row r="210" spans="1:3" ht="22.5">
      <c r="A210" s="295" t="s">
        <v>602</v>
      </c>
      <c r="B210" s="296" t="s">
        <v>255</v>
      </c>
      <c r="C210" s="297">
        <v>27172.6</v>
      </c>
    </row>
    <row r="211" spans="1:3" ht="12.75">
      <c r="A211" s="295" t="s">
        <v>604</v>
      </c>
      <c r="B211" s="296" t="s">
        <v>256</v>
      </c>
      <c r="C211" s="297">
        <v>123287.55</v>
      </c>
    </row>
    <row r="212" spans="1:3" ht="22.5">
      <c r="A212" s="295" t="s">
        <v>257</v>
      </c>
      <c r="B212" s="296" t="s">
        <v>258</v>
      </c>
      <c r="C212" s="297">
        <v>1050221.09</v>
      </c>
    </row>
    <row r="213" spans="1:3" ht="22.5">
      <c r="A213" s="295" t="s">
        <v>606</v>
      </c>
      <c r="B213" s="296" t="s">
        <v>259</v>
      </c>
      <c r="C213" s="297">
        <v>128347.5</v>
      </c>
    </row>
    <row r="214" spans="1:3" ht="22.5">
      <c r="A214" s="295" t="s">
        <v>608</v>
      </c>
      <c r="B214" s="296" t="s">
        <v>260</v>
      </c>
      <c r="C214" s="297">
        <v>759.4</v>
      </c>
    </row>
    <row r="215" spans="1:3" ht="22.5">
      <c r="A215" s="295" t="s">
        <v>610</v>
      </c>
      <c r="B215" s="296" t="s">
        <v>261</v>
      </c>
      <c r="C215" s="297">
        <v>6776.3</v>
      </c>
    </row>
    <row r="216" spans="1:3" ht="33.75">
      <c r="A216" s="295" t="s">
        <v>612</v>
      </c>
      <c r="B216" s="296" t="s">
        <v>262</v>
      </c>
      <c r="C216" s="297">
        <v>8809.28</v>
      </c>
    </row>
    <row r="217" spans="1:3" ht="45">
      <c r="A217" s="295" t="s">
        <v>614</v>
      </c>
      <c r="B217" s="296" t="s">
        <v>263</v>
      </c>
      <c r="C217" s="297">
        <v>14.15</v>
      </c>
    </row>
    <row r="218" spans="1:3" ht="33.75">
      <c r="A218" s="295" t="s">
        <v>616</v>
      </c>
      <c r="B218" s="296" t="s">
        <v>264</v>
      </c>
      <c r="C218" s="297">
        <v>11267.8</v>
      </c>
    </row>
    <row r="219" spans="1:3" ht="22.5">
      <c r="A219" s="295" t="s">
        <v>618</v>
      </c>
      <c r="B219" s="296" t="s">
        <v>265</v>
      </c>
      <c r="C219" s="297">
        <v>11211.13</v>
      </c>
    </row>
    <row r="220" spans="1:3" ht="22.5">
      <c r="A220" s="295" t="s">
        <v>620</v>
      </c>
      <c r="B220" s="296" t="s">
        <v>266</v>
      </c>
      <c r="C220" s="297">
        <v>75125.52</v>
      </c>
    </row>
    <row r="221" spans="1:3" ht="22.5">
      <c r="A221" s="295" t="s">
        <v>622</v>
      </c>
      <c r="B221" s="296" t="s">
        <v>267</v>
      </c>
      <c r="C221" s="297">
        <v>754756.11</v>
      </c>
    </row>
    <row r="222" spans="1:3" ht="45">
      <c r="A222" s="295" t="s">
        <v>624</v>
      </c>
      <c r="B222" s="296" t="s">
        <v>268</v>
      </c>
      <c r="C222" s="297">
        <v>5628.5</v>
      </c>
    </row>
    <row r="223" spans="1:3" ht="33.75">
      <c r="A223" s="295" t="s">
        <v>626</v>
      </c>
      <c r="B223" s="296" t="s">
        <v>269</v>
      </c>
      <c r="C223" s="297">
        <v>22780.11</v>
      </c>
    </row>
    <row r="224" spans="1:3" ht="45">
      <c r="A224" s="295" t="s">
        <v>628</v>
      </c>
      <c r="B224" s="296" t="s">
        <v>270</v>
      </c>
      <c r="C224" s="297">
        <v>15883.6</v>
      </c>
    </row>
    <row r="225" spans="1:3" ht="33.75">
      <c r="A225" s="295" t="s">
        <v>630</v>
      </c>
      <c r="B225" s="296" t="s">
        <v>271</v>
      </c>
      <c r="C225" s="297">
        <v>8861.7</v>
      </c>
    </row>
    <row r="226" spans="1:3" ht="12.75">
      <c r="A226" s="295" t="s">
        <v>272</v>
      </c>
      <c r="B226" s="296" t="s">
        <v>273</v>
      </c>
      <c r="C226" s="297">
        <v>6140.79</v>
      </c>
    </row>
    <row r="227" spans="1:3" ht="56.25">
      <c r="A227" s="298" t="s">
        <v>632</v>
      </c>
      <c r="B227" s="296" t="s">
        <v>274</v>
      </c>
      <c r="C227" s="297">
        <v>5085</v>
      </c>
    </row>
    <row r="228" spans="1:3" ht="33.75">
      <c r="A228" s="295" t="s">
        <v>634</v>
      </c>
      <c r="B228" s="296" t="s">
        <v>275</v>
      </c>
      <c r="C228" s="297">
        <v>370</v>
      </c>
    </row>
    <row r="229" spans="1:3" ht="22.5">
      <c r="A229" s="295" t="s">
        <v>636</v>
      </c>
      <c r="B229" s="296" t="s">
        <v>276</v>
      </c>
      <c r="C229" s="297">
        <v>685.79</v>
      </c>
    </row>
    <row r="230" spans="1:3" ht="12.75">
      <c r="A230" s="292" t="s">
        <v>277</v>
      </c>
      <c r="B230" s="293" t="s">
        <v>278</v>
      </c>
      <c r="C230" s="294">
        <v>55.42</v>
      </c>
    </row>
    <row r="231" spans="1:3" ht="12.75">
      <c r="A231" s="295" t="s">
        <v>279</v>
      </c>
      <c r="B231" s="296" t="s">
        <v>280</v>
      </c>
      <c r="C231" s="297">
        <v>55.42</v>
      </c>
    </row>
    <row r="232" spans="1:3" ht="12.75">
      <c r="A232" s="295" t="s">
        <v>638</v>
      </c>
      <c r="B232" s="296" t="s">
        <v>281</v>
      </c>
      <c r="C232" s="297">
        <v>55.42</v>
      </c>
    </row>
  </sheetData>
  <mergeCells count="2">
    <mergeCell ref="A7:C7"/>
    <mergeCell ref="A10:B10"/>
  </mergeCells>
  <printOptions/>
  <pageMargins left="1.1811023622047245" right="0.1968503937007874" top="0.3937007874015748" bottom="0" header="0.5118110236220472" footer="0.5118110236220472"/>
  <pageSetup fitToHeight="27" horizontalDpi="600" verticalDpi="600" orientation="portrait" paperSize="9" scale="89" r:id="rId1"/>
  <rowBreaks count="1" manualBreakCount="1">
    <brk id="2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50"/>
  <sheetViews>
    <sheetView view="pageBreakPreview" zoomScale="60" workbookViewId="0" topLeftCell="A1">
      <selection activeCell="L84" sqref="A1:L84"/>
    </sheetView>
  </sheetViews>
  <sheetFormatPr defaultColWidth="9.125" defaultRowHeight="12.75"/>
  <cols>
    <col min="1" max="1" width="60.625" style="0" customWidth="1"/>
    <col min="2" max="2" width="6.125" style="1" customWidth="1"/>
    <col min="3" max="3" width="7.75390625" style="0" customWidth="1"/>
    <col min="4" max="4" width="6.875" style="0" customWidth="1"/>
    <col min="5" max="5" width="12.25390625" style="0" customWidth="1"/>
    <col min="6" max="6" width="8.125" style="0" customWidth="1"/>
    <col min="7" max="7" width="15.75390625" style="4" customWidth="1"/>
    <col min="8" max="8" width="14.25390625" style="4" customWidth="1"/>
    <col min="9" max="9" width="11.625" style="5" hidden="1" customWidth="1"/>
    <col min="10" max="10" width="12.75390625" style="6" hidden="1" customWidth="1"/>
    <col min="11" max="11" width="12.25390625" style="6" hidden="1" customWidth="1"/>
  </cols>
  <sheetData>
    <row r="1" spans="6:7" ht="12.75">
      <c r="F1" s="2" t="s">
        <v>656</v>
      </c>
      <c r="G1" s="3"/>
    </row>
    <row r="2" spans="6:7" ht="12.75">
      <c r="F2" s="7" t="s">
        <v>657</v>
      </c>
      <c r="G2" s="3"/>
    </row>
    <row r="3" spans="6:7" ht="12" customHeight="1">
      <c r="F3" s="7" t="s">
        <v>658</v>
      </c>
      <c r="G3" s="3"/>
    </row>
    <row r="4" spans="6:7" ht="12.75" customHeight="1">
      <c r="F4" s="7" t="s">
        <v>659</v>
      </c>
      <c r="G4" s="3"/>
    </row>
    <row r="5" spans="6:9" ht="15.75" customHeight="1">
      <c r="F5" s="330" t="s">
        <v>1346</v>
      </c>
      <c r="G5" s="330"/>
      <c r="H5" s="8"/>
      <c r="I5" s="9"/>
    </row>
    <row r="6" spans="2:6" ht="12.75">
      <c r="B6" s="10" t="s">
        <v>660</v>
      </c>
      <c r="F6" s="7"/>
    </row>
    <row r="7" spans="2:6" ht="12.75">
      <c r="B7" s="10" t="s">
        <v>661</v>
      </c>
      <c r="F7" s="11"/>
    </row>
    <row r="8" spans="2:6" ht="12.75">
      <c r="B8" s="10" t="s">
        <v>662</v>
      </c>
      <c r="F8" s="11"/>
    </row>
    <row r="9" ht="12.75">
      <c r="B9" s="12" t="s">
        <v>663</v>
      </c>
    </row>
    <row r="10" spans="2:9" ht="15.75" customHeight="1" thickBot="1">
      <c r="B10" s="13"/>
      <c r="G10" s="8"/>
      <c r="H10" s="8"/>
      <c r="I10" s="9"/>
    </row>
    <row r="11" spans="1:9" ht="15" thickBot="1">
      <c r="A11" s="14" t="s">
        <v>664</v>
      </c>
      <c r="B11" s="15" t="s">
        <v>665</v>
      </c>
      <c r="C11" s="16"/>
      <c r="D11" s="17"/>
      <c r="E11" s="17"/>
      <c r="F11" s="17"/>
      <c r="G11" s="18" t="s">
        <v>666</v>
      </c>
      <c r="H11" s="18" t="s">
        <v>667</v>
      </c>
      <c r="I11" s="19" t="s">
        <v>668</v>
      </c>
    </row>
    <row r="12" spans="1:9" ht="24.75" customHeight="1" thickBot="1">
      <c r="A12" s="20"/>
      <c r="B12" s="21" t="s">
        <v>669</v>
      </c>
      <c r="C12" s="22" t="s">
        <v>670</v>
      </c>
      <c r="D12" s="22" t="s">
        <v>671</v>
      </c>
      <c r="E12" s="22" t="s">
        <v>672</v>
      </c>
      <c r="F12" s="23" t="s">
        <v>673</v>
      </c>
      <c r="G12" s="24" t="s">
        <v>674</v>
      </c>
      <c r="H12" s="24" t="s">
        <v>675</v>
      </c>
      <c r="I12" s="25" t="s">
        <v>676</v>
      </c>
    </row>
    <row r="13" spans="1:11" s="33" customFormat="1" ht="15.75">
      <c r="A13" s="26" t="s">
        <v>677</v>
      </c>
      <c r="B13" s="27"/>
      <c r="C13" s="28" t="s">
        <v>678</v>
      </c>
      <c r="D13" s="28"/>
      <c r="E13" s="28"/>
      <c r="F13" s="29"/>
      <c r="G13" s="30">
        <f>SUM(G14+G18+G51+G68+G71+G89+G93+G85+G79)</f>
        <v>139227.8</v>
      </c>
      <c r="H13" s="30">
        <f>SUM(H14+H18+H51+H68+H71+H89+H93+H85+H79)</f>
        <v>137085.69999999998</v>
      </c>
      <c r="I13" s="31">
        <f>SUM(H13/G13*100)</f>
        <v>98.46144232689161</v>
      </c>
      <c r="J13" s="32"/>
      <c r="K13" s="32"/>
    </row>
    <row r="14" spans="1:9" ht="28.5">
      <c r="A14" s="34" t="s">
        <v>679</v>
      </c>
      <c r="B14" s="35"/>
      <c r="C14" s="36" t="s">
        <v>678</v>
      </c>
      <c r="D14" s="36" t="s">
        <v>680</v>
      </c>
      <c r="E14" s="36"/>
      <c r="F14" s="37"/>
      <c r="G14" s="38">
        <f>SUM(G15)</f>
        <v>1266.5</v>
      </c>
      <c r="H14" s="38">
        <f>SUM(H15)</f>
        <v>1261.5</v>
      </c>
      <c r="I14" s="39">
        <f>SUM(H14/G14*100)</f>
        <v>99.60521121200158</v>
      </c>
    </row>
    <row r="15" spans="1:9" ht="41.25" customHeight="1">
      <c r="A15" s="40" t="s">
        <v>681</v>
      </c>
      <c r="B15" s="35"/>
      <c r="C15" s="36" t="s">
        <v>678</v>
      </c>
      <c r="D15" s="36" t="s">
        <v>680</v>
      </c>
      <c r="E15" s="36" t="s">
        <v>682</v>
      </c>
      <c r="F15" s="37"/>
      <c r="G15" s="38">
        <f>SUM(G17:G17)</f>
        <v>1266.5</v>
      </c>
      <c r="H15" s="38">
        <f>SUM(H17:H17)</f>
        <v>1261.5</v>
      </c>
      <c r="I15" s="39">
        <f aca="true" t="shared" si="0" ref="I15:I78">SUM(H15/G15*100)</f>
        <v>99.60521121200158</v>
      </c>
    </row>
    <row r="16" spans="1:9" ht="16.5" customHeight="1">
      <c r="A16" s="40" t="s">
        <v>683</v>
      </c>
      <c r="B16" s="35"/>
      <c r="C16" s="36" t="s">
        <v>678</v>
      </c>
      <c r="D16" s="36" t="s">
        <v>680</v>
      </c>
      <c r="E16" s="36" t="s">
        <v>684</v>
      </c>
      <c r="F16" s="37"/>
      <c r="G16" s="38">
        <f>SUM(G17)</f>
        <v>1266.5</v>
      </c>
      <c r="H16" s="38">
        <f>SUM(H17)</f>
        <v>1261.5</v>
      </c>
      <c r="I16" s="39">
        <f t="shared" si="0"/>
        <v>99.60521121200158</v>
      </c>
    </row>
    <row r="17" spans="1:11" ht="19.5" customHeight="1">
      <c r="A17" s="40" t="s">
        <v>685</v>
      </c>
      <c r="B17" s="35"/>
      <c r="C17" s="36" t="s">
        <v>678</v>
      </c>
      <c r="D17" s="36" t="s">
        <v>680</v>
      </c>
      <c r="E17" s="36" t="s">
        <v>684</v>
      </c>
      <c r="F17" s="37" t="s">
        <v>686</v>
      </c>
      <c r="G17" s="38">
        <v>1266.5</v>
      </c>
      <c r="H17" s="38">
        <v>1261.5</v>
      </c>
      <c r="I17" s="39">
        <f t="shared" si="0"/>
        <v>99.60521121200158</v>
      </c>
      <c r="J17" s="6">
        <f>SUM('[1]ведомствен.'!G16)</f>
        <v>1266.4999999999998</v>
      </c>
      <c r="K17" s="6">
        <f>SUM('[1]ведомствен.'!H16)</f>
        <v>1261.5</v>
      </c>
    </row>
    <row r="18" spans="1:9" ht="44.25" customHeight="1">
      <c r="A18" s="40" t="s">
        <v>687</v>
      </c>
      <c r="B18" s="35"/>
      <c r="C18" s="36" t="s">
        <v>678</v>
      </c>
      <c r="D18" s="36" t="s">
        <v>688</v>
      </c>
      <c r="E18" s="36"/>
      <c r="F18" s="37"/>
      <c r="G18" s="38">
        <f>SUM(G19)</f>
        <v>13065.9</v>
      </c>
      <c r="H18" s="38">
        <f>SUM(H19)</f>
        <v>12633.7</v>
      </c>
      <c r="I18" s="39">
        <f t="shared" si="0"/>
        <v>96.69215285590737</v>
      </c>
    </row>
    <row r="19" spans="1:9" ht="42.75" customHeight="1">
      <c r="A19" s="40" t="s">
        <v>681</v>
      </c>
      <c r="B19" s="35"/>
      <c r="C19" s="36" t="s">
        <v>678</v>
      </c>
      <c r="D19" s="36" t="s">
        <v>688</v>
      </c>
      <c r="E19" s="36" t="s">
        <v>682</v>
      </c>
      <c r="F19" s="41"/>
      <c r="G19" s="38">
        <f>SUM(G20+G22)</f>
        <v>13065.9</v>
      </c>
      <c r="H19" s="38">
        <f>SUM(H20+H22)</f>
        <v>12633.7</v>
      </c>
      <c r="I19" s="39">
        <f t="shared" si="0"/>
        <v>96.69215285590737</v>
      </c>
    </row>
    <row r="20" spans="1:9" ht="15">
      <c r="A20" s="40" t="s">
        <v>689</v>
      </c>
      <c r="B20" s="35"/>
      <c r="C20" s="36" t="s">
        <v>690</v>
      </c>
      <c r="D20" s="36" t="s">
        <v>688</v>
      </c>
      <c r="E20" s="36" t="s">
        <v>691</v>
      </c>
      <c r="F20" s="41"/>
      <c r="G20" s="38">
        <f>SUM(G21)</f>
        <v>12902.8</v>
      </c>
      <c r="H20" s="38">
        <f>SUM(H21)</f>
        <v>12470.6</v>
      </c>
      <c r="I20" s="39">
        <f t="shared" si="0"/>
        <v>96.65033946120222</v>
      </c>
    </row>
    <row r="21" spans="1:11" ht="19.5" customHeight="1">
      <c r="A21" s="40" t="s">
        <v>685</v>
      </c>
      <c r="B21" s="35"/>
      <c r="C21" s="36" t="s">
        <v>678</v>
      </c>
      <c r="D21" s="36" t="s">
        <v>688</v>
      </c>
      <c r="E21" s="36" t="s">
        <v>691</v>
      </c>
      <c r="F21" s="37" t="s">
        <v>686</v>
      </c>
      <c r="G21" s="38">
        <v>12902.8</v>
      </c>
      <c r="H21" s="38">
        <v>12470.6</v>
      </c>
      <c r="I21" s="39">
        <f t="shared" si="0"/>
        <v>96.65033946120222</v>
      </c>
      <c r="J21" s="6">
        <f>SUM('[1]ведомствен.'!G20)+'[1]ведомствен.'!G473</f>
        <v>12902.8</v>
      </c>
      <c r="K21" s="6">
        <f>SUM('[1]ведомствен.'!H20)+'[1]ведомствен.'!H473</f>
        <v>12470.599999999999</v>
      </c>
    </row>
    <row r="22" spans="1:9" ht="28.5" customHeight="1">
      <c r="A22" s="40" t="s">
        <v>692</v>
      </c>
      <c r="B22" s="35"/>
      <c r="C22" s="36" t="s">
        <v>690</v>
      </c>
      <c r="D22" s="36" t="s">
        <v>688</v>
      </c>
      <c r="E22" s="36" t="s">
        <v>693</v>
      </c>
      <c r="F22" s="37"/>
      <c r="G22" s="38">
        <f>SUM(G23)</f>
        <v>163.10000000000002</v>
      </c>
      <c r="H22" s="38">
        <f>SUM(H23)</f>
        <v>163.10000000000002</v>
      </c>
      <c r="I22" s="39">
        <f t="shared" si="0"/>
        <v>100</v>
      </c>
    </row>
    <row r="23" spans="1:11" ht="21.75" customHeight="1">
      <c r="A23" s="40" t="s">
        <v>685</v>
      </c>
      <c r="B23" s="35"/>
      <c r="C23" s="36" t="s">
        <v>690</v>
      </c>
      <c r="D23" s="36" t="s">
        <v>688</v>
      </c>
      <c r="E23" s="36" t="s">
        <v>693</v>
      </c>
      <c r="F23" s="37" t="s">
        <v>686</v>
      </c>
      <c r="G23" s="38">
        <f>913.5-750.4</f>
        <v>163.10000000000002</v>
      </c>
      <c r="H23" s="38">
        <f>913.5-750.4</f>
        <v>163.10000000000002</v>
      </c>
      <c r="I23" s="39">
        <f t="shared" si="0"/>
        <v>100</v>
      </c>
      <c r="J23" s="6">
        <f>SUM('[1]ведомствен.'!G22)</f>
        <v>163.1</v>
      </c>
      <c r="K23" s="6">
        <f>SUM('[1]ведомствен.'!H22)</f>
        <v>163.1</v>
      </c>
    </row>
    <row r="24" spans="1:9" ht="15" customHeight="1" hidden="1">
      <c r="A24" s="40" t="s">
        <v>694</v>
      </c>
      <c r="B24" s="35"/>
      <c r="C24" s="36" t="s">
        <v>678</v>
      </c>
      <c r="D24" s="36" t="s">
        <v>695</v>
      </c>
      <c r="E24" s="36"/>
      <c r="F24" s="41"/>
      <c r="G24" s="38">
        <f>SUM(G25)</f>
        <v>0</v>
      </c>
      <c r="H24" s="38">
        <f>SUM(H25)</f>
        <v>0</v>
      </c>
      <c r="I24" s="39" t="e">
        <f t="shared" si="0"/>
        <v>#DIV/0!</v>
      </c>
    </row>
    <row r="25" spans="1:9" ht="28.5" customHeight="1" hidden="1">
      <c r="A25" s="40" t="s">
        <v>696</v>
      </c>
      <c r="B25" s="35"/>
      <c r="C25" s="36" t="s">
        <v>678</v>
      </c>
      <c r="D25" s="36" t="s">
        <v>695</v>
      </c>
      <c r="E25" s="36" t="s">
        <v>697</v>
      </c>
      <c r="F25" s="42"/>
      <c r="G25" s="38">
        <f>SUM(G26)</f>
        <v>0</v>
      </c>
      <c r="H25" s="38">
        <f>SUM(H26)</f>
        <v>0</v>
      </c>
      <c r="I25" s="39" t="e">
        <f t="shared" si="0"/>
        <v>#DIV/0!</v>
      </c>
    </row>
    <row r="26" spans="1:9" ht="15" customHeight="1" hidden="1">
      <c r="A26" s="40" t="s">
        <v>698</v>
      </c>
      <c r="B26" s="35"/>
      <c r="C26" s="36" t="s">
        <v>678</v>
      </c>
      <c r="D26" s="36" t="s">
        <v>695</v>
      </c>
      <c r="E26" s="36" t="s">
        <v>697</v>
      </c>
      <c r="F26" s="42" t="s">
        <v>699</v>
      </c>
      <c r="G26" s="38"/>
      <c r="H26" s="38"/>
      <c r="I26" s="39" t="e">
        <f t="shared" si="0"/>
        <v>#DIV/0!</v>
      </c>
    </row>
    <row r="27" spans="1:11" s="45" customFormat="1" ht="15" customHeight="1" hidden="1">
      <c r="A27" s="40" t="s">
        <v>700</v>
      </c>
      <c r="B27" s="43"/>
      <c r="C27" s="36" t="s">
        <v>701</v>
      </c>
      <c r="D27" s="36"/>
      <c r="E27" s="36"/>
      <c r="F27" s="37"/>
      <c r="G27" s="38">
        <f aca="true" t="shared" si="1" ref="G27:H29">SUM(G28)</f>
        <v>0</v>
      </c>
      <c r="H27" s="38">
        <f t="shared" si="1"/>
        <v>0</v>
      </c>
      <c r="I27" s="39" t="e">
        <f t="shared" si="0"/>
        <v>#DIV/0!</v>
      </c>
      <c r="J27" s="44"/>
      <c r="K27" s="44"/>
    </row>
    <row r="28" spans="1:11" s="45" customFormat="1" ht="15" customHeight="1" hidden="1">
      <c r="A28" s="40" t="s">
        <v>702</v>
      </c>
      <c r="B28" s="43"/>
      <c r="C28" s="36" t="s">
        <v>701</v>
      </c>
      <c r="D28" s="36" t="s">
        <v>701</v>
      </c>
      <c r="E28" s="36"/>
      <c r="F28" s="37"/>
      <c r="G28" s="38">
        <f t="shared" si="1"/>
        <v>0</v>
      </c>
      <c r="H28" s="38">
        <f t="shared" si="1"/>
        <v>0</v>
      </c>
      <c r="I28" s="39" t="e">
        <f t="shared" si="0"/>
        <v>#DIV/0!</v>
      </c>
      <c r="J28" s="44"/>
      <c r="K28" s="44"/>
    </row>
    <row r="29" spans="1:11" s="45" customFormat="1" ht="28.5" customHeight="1" hidden="1">
      <c r="A29" s="40" t="s">
        <v>703</v>
      </c>
      <c r="B29" s="43"/>
      <c r="C29" s="36" t="s">
        <v>701</v>
      </c>
      <c r="D29" s="36" t="s">
        <v>701</v>
      </c>
      <c r="E29" s="36" t="s">
        <v>704</v>
      </c>
      <c r="F29" s="37"/>
      <c r="G29" s="38">
        <f t="shared" si="1"/>
        <v>0</v>
      </c>
      <c r="H29" s="38">
        <f t="shared" si="1"/>
        <v>0</v>
      </c>
      <c r="I29" s="39" t="e">
        <f t="shared" si="0"/>
        <v>#DIV/0!</v>
      </c>
      <c r="J29" s="44"/>
      <c r="K29" s="44"/>
    </row>
    <row r="30" spans="1:11" s="45" customFormat="1" ht="15" customHeight="1" hidden="1">
      <c r="A30" s="40" t="s">
        <v>705</v>
      </c>
      <c r="B30" s="43"/>
      <c r="C30" s="36" t="s">
        <v>701</v>
      </c>
      <c r="D30" s="36" t="s">
        <v>701</v>
      </c>
      <c r="E30" s="36" t="s">
        <v>704</v>
      </c>
      <c r="F30" s="37" t="s">
        <v>706</v>
      </c>
      <c r="G30" s="38"/>
      <c r="H30" s="38"/>
      <c r="I30" s="39" t="e">
        <f t="shared" si="0"/>
        <v>#DIV/0!</v>
      </c>
      <c r="J30" s="44"/>
      <c r="K30" s="44"/>
    </row>
    <row r="31" spans="1:11" s="45" customFormat="1" ht="15" customHeight="1" hidden="1">
      <c r="A31" s="46" t="s">
        <v>700</v>
      </c>
      <c r="B31" s="47"/>
      <c r="C31" s="48" t="s">
        <v>701</v>
      </c>
      <c r="D31" s="36"/>
      <c r="E31" s="36"/>
      <c r="F31" s="37"/>
      <c r="G31" s="38">
        <f aca="true" t="shared" si="2" ref="G31:H33">SUM(G32)</f>
        <v>0</v>
      </c>
      <c r="H31" s="38">
        <f t="shared" si="2"/>
        <v>0</v>
      </c>
      <c r="I31" s="39" t="e">
        <f t="shared" si="0"/>
        <v>#DIV/0!</v>
      </c>
      <c r="J31" s="44"/>
      <c r="K31" s="44"/>
    </row>
    <row r="32" spans="1:11" s="45" customFormat="1" ht="15" customHeight="1" hidden="1">
      <c r="A32" s="40" t="s">
        <v>702</v>
      </c>
      <c r="B32" s="43"/>
      <c r="C32" s="36" t="s">
        <v>701</v>
      </c>
      <c r="D32" s="36" t="s">
        <v>701</v>
      </c>
      <c r="E32" s="36"/>
      <c r="F32" s="37"/>
      <c r="G32" s="38">
        <f t="shared" si="2"/>
        <v>0</v>
      </c>
      <c r="H32" s="38">
        <f t="shared" si="2"/>
        <v>0</v>
      </c>
      <c r="I32" s="39" t="e">
        <f t="shared" si="0"/>
        <v>#DIV/0!</v>
      </c>
      <c r="J32" s="44"/>
      <c r="K32" s="44"/>
    </row>
    <row r="33" spans="1:11" s="45" customFormat="1" ht="28.5" customHeight="1" hidden="1">
      <c r="A33" s="40" t="s">
        <v>703</v>
      </c>
      <c r="B33" s="43"/>
      <c r="C33" s="36" t="s">
        <v>701</v>
      </c>
      <c r="D33" s="36" t="s">
        <v>701</v>
      </c>
      <c r="E33" s="36" t="s">
        <v>704</v>
      </c>
      <c r="F33" s="37"/>
      <c r="G33" s="38">
        <f t="shared" si="2"/>
        <v>0</v>
      </c>
      <c r="H33" s="38">
        <f t="shared" si="2"/>
        <v>0</v>
      </c>
      <c r="I33" s="39" t="e">
        <f t="shared" si="0"/>
        <v>#DIV/0!</v>
      </c>
      <c r="J33" s="44"/>
      <c r="K33" s="44"/>
    </row>
    <row r="34" spans="1:11" s="45" customFormat="1" ht="15" customHeight="1" hidden="1">
      <c r="A34" s="40" t="s">
        <v>705</v>
      </c>
      <c r="B34" s="43"/>
      <c r="C34" s="36" t="s">
        <v>701</v>
      </c>
      <c r="D34" s="36" t="s">
        <v>701</v>
      </c>
      <c r="E34" s="36" t="s">
        <v>704</v>
      </c>
      <c r="F34" s="37" t="s">
        <v>706</v>
      </c>
      <c r="G34" s="38"/>
      <c r="H34" s="38"/>
      <c r="I34" s="39" t="e">
        <f t="shared" si="0"/>
        <v>#DIV/0!</v>
      </c>
      <c r="J34" s="44"/>
      <c r="K34" s="44"/>
    </row>
    <row r="35" spans="1:11" s="50" customFormat="1" ht="15" customHeight="1" hidden="1">
      <c r="A35" s="40"/>
      <c r="B35" s="43"/>
      <c r="C35" s="36"/>
      <c r="D35" s="36"/>
      <c r="E35" s="36"/>
      <c r="F35" s="37"/>
      <c r="G35" s="38"/>
      <c r="H35" s="38"/>
      <c r="I35" s="39" t="e">
        <f t="shared" si="0"/>
        <v>#DIV/0!</v>
      </c>
      <c r="J35" s="49"/>
      <c r="K35" s="49"/>
    </row>
    <row r="36" spans="1:9" ht="42.75" customHeight="1" hidden="1">
      <c r="A36" s="40" t="s">
        <v>707</v>
      </c>
      <c r="B36" s="35"/>
      <c r="C36" s="36" t="s">
        <v>678</v>
      </c>
      <c r="D36" s="36" t="s">
        <v>695</v>
      </c>
      <c r="E36" s="36" t="s">
        <v>708</v>
      </c>
      <c r="F36" s="37"/>
      <c r="G36" s="38">
        <f>SUM(G37)</f>
        <v>0</v>
      </c>
      <c r="H36" s="38">
        <f>SUM(H37)</f>
        <v>0</v>
      </c>
      <c r="I36" s="39" t="e">
        <f t="shared" si="0"/>
        <v>#DIV/0!</v>
      </c>
    </row>
    <row r="37" spans="1:9" ht="42.75" customHeight="1" hidden="1">
      <c r="A37" s="40" t="s">
        <v>709</v>
      </c>
      <c r="B37" s="35"/>
      <c r="C37" s="36" t="s">
        <v>678</v>
      </c>
      <c r="D37" s="36" t="s">
        <v>695</v>
      </c>
      <c r="E37" s="36" t="s">
        <v>708</v>
      </c>
      <c r="F37" s="37" t="s">
        <v>710</v>
      </c>
      <c r="G37" s="38"/>
      <c r="H37" s="38"/>
      <c r="I37" s="39" t="e">
        <f t="shared" si="0"/>
        <v>#DIV/0!</v>
      </c>
    </row>
    <row r="38" spans="1:9" ht="14.25" customHeight="1" hidden="1">
      <c r="A38" s="34" t="s">
        <v>711</v>
      </c>
      <c r="B38" s="35"/>
      <c r="C38" s="36" t="s">
        <v>712</v>
      </c>
      <c r="D38" s="36"/>
      <c r="E38" s="36"/>
      <c r="F38" s="41"/>
      <c r="G38" s="38">
        <f>SUM(G42+G39)</f>
        <v>0</v>
      </c>
      <c r="H38" s="38">
        <f>SUM(H42+H39)</f>
        <v>0</v>
      </c>
      <c r="I38" s="39" t="e">
        <f t="shared" si="0"/>
        <v>#DIV/0!</v>
      </c>
    </row>
    <row r="39" spans="1:9" ht="15" customHeight="1" hidden="1">
      <c r="A39" s="34" t="s">
        <v>713</v>
      </c>
      <c r="B39" s="35"/>
      <c r="C39" s="36" t="s">
        <v>712</v>
      </c>
      <c r="D39" s="36" t="s">
        <v>714</v>
      </c>
      <c r="E39" s="36"/>
      <c r="F39" s="41"/>
      <c r="G39" s="38">
        <f>SUM(G40)</f>
        <v>0</v>
      </c>
      <c r="H39" s="38">
        <f>SUM(H40)</f>
        <v>0</v>
      </c>
      <c r="I39" s="39" t="e">
        <f t="shared" si="0"/>
        <v>#DIV/0!</v>
      </c>
    </row>
    <row r="40" spans="1:9" ht="15" customHeight="1" hidden="1">
      <c r="A40" s="34" t="s">
        <v>715</v>
      </c>
      <c r="B40" s="35"/>
      <c r="C40" s="36" t="s">
        <v>712</v>
      </c>
      <c r="D40" s="36" t="s">
        <v>714</v>
      </c>
      <c r="E40" s="36" t="s">
        <v>716</v>
      </c>
      <c r="F40" s="37"/>
      <c r="G40" s="38">
        <f>SUM(G41)</f>
        <v>0</v>
      </c>
      <c r="H40" s="38">
        <f>SUM(H41)</f>
        <v>0</v>
      </c>
      <c r="I40" s="39" t="e">
        <f t="shared" si="0"/>
        <v>#DIV/0!</v>
      </c>
    </row>
    <row r="41" spans="1:9" ht="15" customHeight="1" hidden="1">
      <c r="A41" s="34" t="s">
        <v>717</v>
      </c>
      <c r="B41" s="35"/>
      <c r="C41" s="36" t="s">
        <v>712</v>
      </c>
      <c r="D41" s="36" t="s">
        <v>714</v>
      </c>
      <c r="E41" s="36" t="s">
        <v>716</v>
      </c>
      <c r="F41" s="37" t="s">
        <v>718</v>
      </c>
      <c r="G41" s="38"/>
      <c r="H41" s="38"/>
      <c r="I41" s="39" t="e">
        <f t="shared" si="0"/>
        <v>#DIV/0!</v>
      </c>
    </row>
    <row r="42" spans="1:9" ht="14.25" customHeight="1" hidden="1">
      <c r="A42" s="51" t="s">
        <v>719</v>
      </c>
      <c r="B42" s="52"/>
      <c r="C42" s="53" t="s">
        <v>712</v>
      </c>
      <c r="D42" s="53" t="s">
        <v>720</v>
      </c>
      <c r="E42" s="53"/>
      <c r="F42" s="41"/>
      <c r="G42" s="38">
        <f>SUM(G43+G45)</f>
        <v>0</v>
      </c>
      <c r="H42" s="38">
        <f>SUM(H43+H45)</f>
        <v>0</v>
      </c>
      <c r="I42" s="39" t="e">
        <f t="shared" si="0"/>
        <v>#DIV/0!</v>
      </c>
    </row>
    <row r="43" spans="1:9" ht="28.5" customHeight="1" hidden="1">
      <c r="A43" s="34" t="s">
        <v>721</v>
      </c>
      <c r="B43" s="35"/>
      <c r="C43" s="36" t="s">
        <v>712</v>
      </c>
      <c r="D43" s="36" t="s">
        <v>720</v>
      </c>
      <c r="E43" s="36" t="s">
        <v>722</v>
      </c>
      <c r="F43" s="41"/>
      <c r="G43" s="38">
        <f>SUM(G44)</f>
        <v>0</v>
      </c>
      <c r="H43" s="38">
        <f>SUM(H44)</f>
        <v>0</v>
      </c>
      <c r="I43" s="39" t="e">
        <f t="shared" si="0"/>
        <v>#DIV/0!</v>
      </c>
    </row>
    <row r="44" spans="1:9" ht="15" customHeight="1" hidden="1">
      <c r="A44" s="34" t="s">
        <v>723</v>
      </c>
      <c r="B44" s="35"/>
      <c r="C44" s="36" t="s">
        <v>712</v>
      </c>
      <c r="D44" s="36" t="s">
        <v>720</v>
      </c>
      <c r="E44" s="36" t="s">
        <v>722</v>
      </c>
      <c r="F44" s="41" t="s">
        <v>724</v>
      </c>
      <c r="G44" s="38"/>
      <c r="H44" s="38"/>
      <c r="I44" s="39" t="e">
        <f t="shared" si="0"/>
        <v>#DIV/0!</v>
      </c>
    </row>
    <row r="45" spans="1:9" ht="15" customHeight="1" hidden="1">
      <c r="A45" s="51" t="s">
        <v>725</v>
      </c>
      <c r="B45" s="52"/>
      <c r="C45" s="53" t="s">
        <v>712</v>
      </c>
      <c r="D45" s="53" t="s">
        <v>720</v>
      </c>
      <c r="E45" s="53" t="s">
        <v>726</v>
      </c>
      <c r="F45" s="41"/>
      <c r="G45" s="38">
        <f>SUM(G46)</f>
        <v>0</v>
      </c>
      <c r="H45" s="38">
        <f>SUM(H46)</f>
        <v>0</v>
      </c>
      <c r="I45" s="39" t="e">
        <f t="shared" si="0"/>
        <v>#DIV/0!</v>
      </c>
    </row>
    <row r="46" spans="1:9" ht="15" customHeight="1" hidden="1">
      <c r="A46" s="51" t="s">
        <v>727</v>
      </c>
      <c r="B46" s="52"/>
      <c r="C46" s="53" t="s">
        <v>712</v>
      </c>
      <c r="D46" s="53" t="s">
        <v>720</v>
      </c>
      <c r="E46" s="53" t="s">
        <v>726</v>
      </c>
      <c r="F46" s="41" t="s">
        <v>728</v>
      </c>
      <c r="G46" s="38"/>
      <c r="H46" s="38"/>
      <c r="I46" s="39" t="e">
        <f t="shared" si="0"/>
        <v>#DIV/0!</v>
      </c>
    </row>
    <row r="47" spans="1:9" ht="15" customHeight="1" hidden="1">
      <c r="A47" s="46" t="s">
        <v>700</v>
      </c>
      <c r="B47" s="47"/>
      <c r="C47" s="48" t="s">
        <v>701</v>
      </c>
      <c r="D47" s="36"/>
      <c r="E47" s="36"/>
      <c r="F47" s="37"/>
      <c r="G47" s="38">
        <f aca="true" t="shared" si="3" ref="G47:H49">SUM(G48)</f>
        <v>0</v>
      </c>
      <c r="H47" s="38">
        <f t="shared" si="3"/>
        <v>0</v>
      </c>
      <c r="I47" s="39" t="e">
        <f t="shared" si="0"/>
        <v>#DIV/0!</v>
      </c>
    </row>
    <row r="48" spans="1:9" ht="15" customHeight="1" hidden="1">
      <c r="A48" s="40" t="s">
        <v>702</v>
      </c>
      <c r="B48" s="43"/>
      <c r="C48" s="36" t="s">
        <v>701</v>
      </c>
      <c r="D48" s="36" t="s">
        <v>701</v>
      </c>
      <c r="E48" s="36"/>
      <c r="F48" s="37"/>
      <c r="G48" s="38">
        <f t="shared" si="3"/>
        <v>0</v>
      </c>
      <c r="H48" s="38">
        <f t="shared" si="3"/>
        <v>0</v>
      </c>
      <c r="I48" s="39" t="e">
        <f t="shared" si="0"/>
        <v>#DIV/0!</v>
      </c>
    </row>
    <row r="49" spans="1:9" ht="28.5" customHeight="1" hidden="1">
      <c r="A49" s="40" t="s">
        <v>703</v>
      </c>
      <c r="B49" s="43"/>
      <c r="C49" s="36" t="s">
        <v>701</v>
      </c>
      <c r="D49" s="36" t="s">
        <v>701</v>
      </c>
      <c r="E49" s="36" t="s">
        <v>704</v>
      </c>
      <c r="F49" s="37"/>
      <c r="G49" s="38">
        <f t="shared" si="3"/>
        <v>0</v>
      </c>
      <c r="H49" s="38">
        <f t="shared" si="3"/>
        <v>0</v>
      </c>
      <c r="I49" s="39" t="e">
        <f t="shared" si="0"/>
        <v>#DIV/0!</v>
      </c>
    </row>
    <row r="50" spans="1:9" ht="14.25" customHeight="1" hidden="1">
      <c r="A50" s="40" t="s">
        <v>705</v>
      </c>
      <c r="B50" s="43"/>
      <c r="C50" s="36" t="s">
        <v>701</v>
      </c>
      <c r="D50" s="36" t="s">
        <v>701</v>
      </c>
      <c r="E50" s="36" t="s">
        <v>704</v>
      </c>
      <c r="F50" s="37" t="s">
        <v>706</v>
      </c>
      <c r="G50" s="38"/>
      <c r="H50" s="38"/>
      <c r="I50" s="39" t="e">
        <f t="shared" si="0"/>
        <v>#DIV/0!</v>
      </c>
    </row>
    <row r="51" spans="1:9" ht="44.25" customHeight="1">
      <c r="A51" s="40" t="s">
        <v>729</v>
      </c>
      <c r="B51" s="35"/>
      <c r="C51" s="36" t="s">
        <v>678</v>
      </c>
      <c r="D51" s="36" t="s">
        <v>712</v>
      </c>
      <c r="E51" s="36"/>
      <c r="F51" s="37"/>
      <c r="G51" s="38">
        <f>SUM(G52)+G63+G61</f>
        <v>78549.90000000001</v>
      </c>
      <c r="H51" s="38">
        <f>SUM(H52)+H63+H61</f>
        <v>78075.90000000001</v>
      </c>
      <c r="I51" s="39">
        <f t="shared" si="0"/>
        <v>99.39656193069628</v>
      </c>
    </row>
    <row r="52" spans="1:9" ht="45.75" customHeight="1">
      <c r="A52" s="40" t="s">
        <v>681</v>
      </c>
      <c r="B52" s="35"/>
      <c r="C52" s="36" t="s">
        <v>678</v>
      </c>
      <c r="D52" s="36" t="s">
        <v>712</v>
      </c>
      <c r="E52" s="36" t="s">
        <v>682</v>
      </c>
      <c r="F52" s="41"/>
      <c r="G52" s="38">
        <f>SUM(G53+G59)</f>
        <v>78019.1</v>
      </c>
      <c r="H52" s="38">
        <f>SUM(H53+H59)</f>
        <v>77546.70000000001</v>
      </c>
      <c r="I52" s="39">
        <f t="shared" si="0"/>
        <v>99.39450724245731</v>
      </c>
    </row>
    <row r="53" spans="1:9" ht="15">
      <c r="A53" s="40" t="s">
        <v>689</v>
      </c>
      <c r="B53" s="35"/>
      <c r="C53" s="36" t="s">
        <v>678</v>
      </c>
      <c r="D53" s="36" t="s">
        <v>712</v>
      </c>
      <c r="E53" s="36" t="s">
        <v>691</v>
      </c>
      <c r="F53" s="41"/>
      <c r="G53" s="38">
        <f>SUM(G54:G54+G55+G57+G58)+G56</f>
        <v>76952.3</v>
      </c>
      <c r="H53" s="38">
        <f>SUM(H54:H54+H55+H57+H58)+H56</f>
        <v>76430.90000000001</v>
      </c>
      <c r="I53" s="39">
        <f t="shared" si="0"/>
        <v>99.32243740602947</v>
      </c>
    </row>
    <row r="54" spans="1:11" ht="15">
      <c r="A54" s="40" t="s">
        <v>685</v>
      </c>
      <c r="B54" s="35"/>
      <c r="C54" s="36" t="s">
        <v>678</v>
      </c>
      <c r="D54" s="36" t="s">
        <v>712</v>
      </c>
      <c r="E54" s="36" t="s">
        <v>691</v>
      </c>
      <c r="F54" s="37" t="s">
        <v>686</v>
      </c>
      <c r="G54" s="38">
        <v>76095.5</v>
      </c>
      <c r="H54" s="38">
        <v>75574.1</v>
      </c>
      <c r="I54" s="39">
        <f t="shared" si="0"/>
        <v>99.31480836580351</v>
      </c>
      <c r="J54" s="6">
        <f>SUM('[1]ведомствен.'!G50+'[1]ведомствен.'!G743+'[1]ведомствен.'!G810)+'[1]ведомствен.'!G477</f>
        <v>76095.5</v>
      </c>
      <c r="K54" s="6">
        <f>SUM('[1]ведомствен.'!H50+'[1]ведомствен.'!H743+'[1]ведомствен.'!H810)+'[1]ведомствен.'!H477</f>
        <v>75574.1</v>
      </c>
    </row>
    <row r="55" spans="1:11" ht="42.75">
      <c r="A55" s="40" t="s">
        <v>730</v>
      </c>
      <c r="B55" s="35"/>
      <c r="C55" s="36" t="s">
        <v>678</v>
      </c>
      <c r="D55" s="36" t="s">
        <v>712</v>
      </c>
      <c r="E55" s="36" t="s">
        <v>731</v>
      </c>
      <c r="F55" s="37" t="s">
        <v>686</v>
      </c>
      <c r="G55" s="38">
        <f>717.9+21.1</f>
        <v>739</v>
      </c>
      <c r="H55" s="38">
        <f>717.9+21.1</f>
        <v>739</v>
      </c>
      <c r="I55" s="39">
        <f t="shared" si="0"/>
        <v>100</v>
      </c>
      <c r="J55" s="6">
        <f>SUM('[1]ведомствен.'!G51)</f>
        <v>739</v>
      </c>
      <c r="K55" s="6">
        <f>SUM('[1]ведомствен.'!H51)</f>
        <v>739</v>
      </c>
    </row>
    <row r="56" spans="1:9" ht="57" customHeight="1" hidden="1">
      <c r="A56" s="40" t="s">
        <v>732</v>
      </c>
      <c r="B56" s="35"/>
      <c r="C56" s="36" t="s">
        <v>678</v>
      </c>
      <c r="D56" s="36" t="s">
        <v>712</v>
      </c>
      <c r="E56" s="36" t="s">
        <v>733</v>
      </c>
      <c r="F56" s="37" t="s">
        <v>686</v>
      </c>
      <c r="G56" s="38"/>
      <c r="H56" s="38"/>
      <c r="I56" s="39" t="e">
        <f t="shared" si="0"/>
        <v>#DIV/0!</v>
      </c>
    </row>
    <row r="57" spans="1:11" ht="56.25" customHeight="1">
      <c r="A57" s="40" t="s">
        <v>734</v>
      </c>
      <c r="B57" s="35"/>
      <c r="C57" s="36" t="s">
        <v>678</v>
      </c>
      <c r="D57" s="36" t="s">
        <v>712</v>
      </c>
      <c r="E57" s="36" t="s">
        <v>735</v>
      </c>
      <c r="F57" s="37" t="s">
        <v>686</v>
      </c>
      <c r="G57" s="38">
        <v>42</v>
      </c>
      <c r="H57" s="38">
        <v>42</v>
      </c>
      <c r="I57" s="39">
        <f t="shared" si="0"/>
        <v>100</v>
      </c>
      <c r="J57" s="6">
        <f>SUM('[1]ведомствен.'!G53)</f>
        <v>42</v>
      </c>
      <c r="K57" s="6">
        <f>SUM('[1]ведомствен.'!H53)</f>
        <v>42</v>
      </c>
    </row>
    <row r="58" spans="1:11" ht="44.25" customHeight="1">
      <c r="A58" s="40" t="s">
        <v>736</v>
      </c>
      <c r="B58" s="35"/>
      <c r="C58" s="36" t="s">
        <v>678</v>
      </c>
      <c r="D58" s="36" t="s">
        <v>712</v>
      </c>
      <c r="E58" s="36" t="s">
        <v>737</v>
      </c>
      <c r="F58" s="37" t="s">
        <v>686</v>
      </c>
      <c r="G58" s="38">
        <v>75.8</v>
      </c>
      <c r="H58" s="38">
        <v>75.8</v>
      </c>
      <c r="I58" s="39">
        <f t="shared" si="0"/>
        <v>100</v>
      </c>
      <c r="J58" s="6">
        <f>SUM('[1]ведомствен.'!G55)</f>
        <v>75.8</v>
      </c>
      <c r="K58" s="6">
        <f>SUM('[1]ведомствен.'!H55)</f>
        <v>75.8</v>
      </c>
    </row>
    <row r="59" spans="1:9" ht="28.5">
      <c r="A59" s="40" t="s">
        <v>738</v>
      </c>
      <c r="B59" s="35"/>
      <c r="C59" s="36" t="s">
        <v>690</v>
      </c>
      <c r="D59" s="36" t="s">
        <v>712</v>
      </c>
      <c r="E59" s="36" t="s">
        <v>739</v>
      </c>
      <c r="F59" s="41"/>
      <c r="G59" s="38">
        <f>SUM(G60)</f>
        <v>1066.8</v>
      </c>
      <c r="H59" s="38">
        <f>SUM(H60)</f>
        <v>1115.8</v>
      </c>
      <c r="I59" s="39">
        <f t="shared" si="0"/>
        <v>104.59317585301837</v>
      </c>
    </row>
    <row r="60" spans="1:11" ht="16.5" customHeight="1">
      <c r="A60" s="40" t="s">
        <v>685</v>
      </c>
      <c r="B60" s="35"/>
      <c r="C60" s="36" t="s">
        <v>678</v>
      </c>
      <c r="D60" s="36" t="s">
        <v>712</v>
      </c>
      <c r="E60" s="36" t="s">
        <v>739</v>
      </c>
      <c r="F60" s="37" t="s">
        <v>686</v>
      </c>
      <c r="G60" s="38">
        <f>1066.8-224.1+224.1+220.8-220.8</f>
        <v>1066.8</v>
      </c>
      <c r="H60" s="38">
        <v>1115.8</v>
      </c>
      <c r="I60" s="39">
        <f t="shared" si="0"/>
        <v>104.59317585301837</v>
      </c>
      <c r="J60" s="6">
        <f>SUM('[1]ведомствен.'!G57)</f>
        <v>1066.8</v>
      </c>
      <c r="K60" s="6">
        <f>SUM('[1]ведомствен.'!H57)</f>
        <v>1115.8</v>
      </c>
    </row>
    <row r="61" spans="1:9" ht="16.5" customHeight="1">
      <c r="A61" s="40" t="s">
        <v>740</v>
      </c>
      <c r="B61" s="35"/>
      <c r="C61" s="36" t="s">
        <v>678</v>
      </c>
      <c r="D61" s="36" t="s">
        <v>712</v>
      </c>
      <c r="E61" s="36" t="s">
        <v>741</v>
      </c>
      <c r="F61" s="37"/>
      <c r="G61" s="38">
        <f>SUM(G62)</f>
        <v>264.8</v>
      </c>
      <c r="H61" s="38">
        <f>SUM(H62)</f>
        <v>264.8</v>
      </c>
      <c r="I61" s="39">
        <f t="shared" si="0"/>
        <v>100</v>
      </c>
    </row>
    <row r="62" spans="1:11" ht="16.5" customHeight="1">
      <c r="A62" s="40" t="s">
        <v>685</v>
      </c>
      <c r="B62" s="35"/>
      <c r="C62" s="36" t="s">
        <v>678</v>
      </c>
      <c r="D62" s="36" t="s">
        <v>712</v>
      </c>
      <c r="E62" s="36" t="s">
        <v>741</v>
      </c>
      <c r="F62" s="37" t="s">
        <v>686</v>
      </c>
      <c r="G62" s="38">
        <v>264.8</v>
      </c>
      <c r="H62" s="38">
        <v>264.8</v>
      </c>
      <c r="I62" s="39">
        <f t="shared" si="0"/>
        <v>100</v>
      </c>
      <c r="J62" s="6">
        <f>SUM('[1]ведомствен.'!G59)</f>
        <v>264.8</v>
      </c>
      <c r="K62" s="6">
        <f>SUM('[1]ведомствен.'!H59)</f>
        <v>264.8</v>
      </c>
    </row>
    <row r="63" spans="1:9" ht="20.25" customHeight="1">
      <c r="A63" s="34" t="s">
        <v>742</v>
      </c>
      <c r="B63" s="35"/>
      <c r="C63" s="36" t="s">
        <v>678</v>
      </c>
      <c r="D63" s="36" t="s">
        <v>712</v>
      </c>
      <c r="E63" s="36" t="s">
        <v>743</v>
      </c>
      <c r="F63" s="41"/>
      <c r="G63" s="38">
        <f>SUM(G64)</f>
        <v>266</v>
      </c>
      <c r="H63" s="38">
        <f>SUM(H64)</f>
        <v>264.4</v>
      </c>
      <c r="I63" s="39">
        <f t="shared" si="0"/>
        <v>99.3984962406015</v>
      </c>
    </row>
    <row r="64" spans="1:9" ht="20.25" customHeight="1">
      <c r="A64" s="40" t="s">
        <v>685</v>
      </c>
      <c r="B64" s="35"/>
      <c r="C64" s="36" t="s">
        <v>678</v>
      </c>
      <c r="D64" s="36" t="s">
        <v>712</v>
      </c>
      <c r="E64" s="36" t="s">
        <v>743</v>
      </c>
      <c r="F64" s="41" t="s">
        <v>686</v>
      </c>
      <c r="G64" s="38">
        <f>SUM(G65:G66)</f>
        <v>266</v>
      </c>
      <c r="H64" s="38">
        <f>SUM(H65:H66)</f>
        <v>264.4</v>
      </c>
      <c r="I64" s="39">
        <f t="shared" si="0"/>
        <v>99.3984962406015</v>
      </c>
    </row>
    <row r="65" spans="1:11" ht="20.25" customHeight="1">
      <c r="A65" s="34" t="s">
        <v>744</v>
      </c>
      <c r="B65" s="35"/>
      <c r="C65" s="36" t="s">
        <v>678</v>
      </c>
      <c r="D65" s="36" t="s">
        <v>712</v>
      </c>
      <c r="E65" s="36" t="s">
        <v>745</v>
      </c>
      <c r="F65" s="41" t="s">
        <v>686</v>
      </c>
      <c r="G65" s="38">
        <f>255.9+10.1</f>
        <v>266</v>
      </c>
      <c r="H65" s="38">
        <v>264.4</v>
      </c>
      <c r="I65" s="39">
        <f t="shared" si="0"/>
        <v>99.3984962406015</v>
      </c>
      <c r="J65" s="6">
        <f>SUM('[1]ведомствен.'!G62)</f>
        <v>266</v>
      </c>
      <c r="K65" s="6">
        <f>SUM('[1]ведомствен.'!H62)</f>
        <v>264.4</v>
      </c>
    </row>
    <row r="66" spans="1:9" ht="20.25" customHeight="1" hidden="1">
      <c r="A66" s="34"/>
      <c r="B66" s="35"/>
      <c r="C66" s="36"/>
      <c r="D66" s="36"/>
      <c r="E66" s="36"/>
      <c r="F66" s="37"/>
      <c r="G66" s="38"/>
      <c r="H66" s="38"/>
      <c r="I66" s="39" t="e">
        <f t="shared" si="0"/>
        <v>#DIV/0!</v>
      </c>
    </row>
    <row r="67" spans="1:9" ht="20.25" customHeight="1" hidden="1">
      <c r="A67" s="34"/>
      <c r="B67" s="35"/>
      <c r="C67" s="36"/>
      <c r="D67" s="36"/>
      <c r="E67" s="36"/>
      <c r="F67" s="37"/>
      <c r="G67" s="38"/>
      <c r="H67" s="38"/>
      <c r="I67" s="39" t="e">
        <f t="shared" si="0"/>
        <v>#DIV/0!</v>
      </c>
    </row>
    <row r="68" spans="1:9" ht="13.5" customHeight="1" hidden="1">
      <c r="A68" s="40" t="s">
        <v>746</v>
      </c>
      <c r="B68" s="35"/>
      <c r="C68" s="36" t="s">
        <v>678</v>
      </c>
      <c r="D68" s="36" t="s">
        <v>747</v>
      </c>
      <c r="E68" s="36"/>
      <c r="F68" s="41"/>
      <c r="G68" s="38">
        <f>SUM(G69)</f>
        <v>0</v>
      </c>
      <c r="H68" s="38">
        <f>SUM(H69)</f>
        <v>0</v>
      </c>
      <c r="I68" s="39" t="e">
        <f t="shared" si="0"/>
        <v>#DIV/0!</v>
      </c>
    </row>
    <row r="69" spans="1:9" ht="22.5" customHeight="1" hidden="1">
      <c r="A69" s="54" t="s">
        <v>748</v>
      </c>
      <c r="B69" s="35"/>
      <c r="C69" s="36" t="s">
        <v>678</v>
      </c>
      <c r="D69" s="36" t="s">
        <v>747</v>
      </c>
      <c r="E69" s="36" t="s">
        <v>749</v>
      </c>
      <c r="F69" s="41"/>
      <c r="G69" s="38">
        <f>SUM(G70)</f>
        <v>0</v>
      </c>
      <c r="H69" s="38">
        <f>SUM(H70)</f>
        <v>0</v>
      </c>
      <c r="I69" s="39" t="e">
        <f t="shared" si="0"/>
        <v>#DIV/0!</v>
      </c>
    </row>
    <row r="70" spans="1:9" ht="30.75" customHeight="1" hidden="1">
      <c r="A70" s="40" t="s">
        <v>685</v>
      </c>
      <c r="B70" s="35"/>
      <c r="C70" s="36" t="s">
        <v>678</v>
      </c>
      <c r="D70" s="36" t="s">
        <v>747</v>
      </c>
      <c r="E70" s="36" t="s">
        <v>749</v>
      </c>
      <c r="F70" s="37" t="s">
        <v>686</v>
      </c>
      <c r="G70" s="38">
        <f>SUM('[2]Ведомств.'!F83)</f>
        <v>0</v>
      </c>
      <c r="H70" s="38">
        <f>SUM('[2]Ведомств.'!G83)</f>
        <v>0</v>
      </c>
      <c r="I70" s="39" t="e">
        <f t="shared" si="0"/>
        <v>#DIV/0!</v>
      </c>
    </row>
    <row r="71" spans="1:11" s="45" customFormat="1" ht="42.75">
      <c r="A71" s="34" t="s">
        <v>750</v>
      </c>
      <c r="B71" s="35"/>
      <c r="C71" s="36" t="s">
        <v>678</v>
      </c>
      <c r="D71" s="36" t="s">
        <v>751</v>
      </c>
      <c r="E71" s="36"/>
      <c r="F71" s="37"/>
      <c r="G71" s="38">
        <f>SUM(G72)</f>
        <v>17761.800000000003</v>
      </c>
      <c r="H71" s="38">
        <f>SUM(H72)</f>
        <v>17758.9</v>
      </c>
      <c r="I71" s="39">
        <f t="shared" si="0"/>
        <v>99.98367282595233</v>
      </c>
      <c r="J71" s="44"/>
      <c r="K71" s="44"/>
    </row>
    <row r="72" spans="1:11" s="45" customFormat="1" ht="46.5" customHeight="1">
      <c r="A72" s="34" t="s">
        <v>681</v>
      </c>
      <c r="B72" s="35"/>
      <c r="C72" s="36" t="s">
        <v>678</v>
      </c>
      <c r="D72" s="36" t="s">
        <v>751</v>
      </c>
      <c r="E72" s="36" t="s">
        <v>682</v>
      </c>
      <c r="F72" s="37"/>
      <c r="G72" s="38">
        <f>SUM(G73+G77)</f>
        <v>17761.800000000003</v>
      </c>
      <c r="H72" s="38">
        <f>SUM(H73+H77)</f>
        <v>17758.9</v>
      </c>
      <c r="I72" s="39">
        <f t="shared" si="0"/>
        <v>99.98367282595233</v>
      </c>
      <c r="J72" s="44"/>
      <c r="K72" s="44"/>
    </row>
    <row r="73" spans="1:11" s="45" customFormat="1" ht="15" customHeight="1">
      <c r="A73" s="34" t="s">
        <v>689</v>
      </c>
      <c r="B73" s="35"/>
      <c r="C73" s="36" t="s">
        <v>678</v>
      </c>
      <c r="D73" s="36" t="s">
        <v>751</v>
      </c>
      <c r="E73" s="36" t="s">
        <v>691</v>
      </c>
      <c r="F73" s="37"/>
      <c r="G73" s="38">
        <f>SUM(G74+G75)</f>
        <v>17043.4</v>
      </c>
      <c r="H73" s="38">
        <f>SUM(H74+H75)</f>
        <v>17043.2</v>
      </c>
      <c r="I73" s="39">
        <f t="shared" si="0"/>
        <v>99.99882652522383</v>
      </c>
      <c r="J73" s="44"/>
      <c r="K73" s="44"/>
    </row>
    <row r="74" spans="1:11" s="45" customFormat="1" ht="14.25" customHeight="1">
      <c r="A74" s="40" t="s">
        <v>685</v>
      </c>
      <c r="B74" s="35"/>
      <c r="C74" s="36" t="s">
        <v>690</v>
      </c>
      <c r="D74" s="36" t="s">
        <v>751</v>
      </c>
      <c r="E74" s="36" t="s">
        <v>691</v>
      </c>
      <c r="F74" s="42" t="s">
        <v>686</v>
      </c>
      <c r="G74" s="38">
        <v>3756.8</v>
      </c>
      <c r="H74" s="38">
        <v>3756.6</v>
      </c>
      <c r="I74" s="39">
        <f t="shared" si="0"/>
        <v>99.99467632027257</v>
      </c>
      <c r="J74" s="44">
        <f>SUM('[1]ведомствен.'!G42+'[1]ведомствен.'!G442)+'[1]ведомствен.'!G481</f>
        <v>3756.7999999999997</v>
      </c>
      <c r="K74" s="44">
        <f>SUM('[1]ведомствен.'!H42+'[1]ведомствен.'!H442)+'[1]ведомствен.'!H481</f>
        <v>3756.6</v>
      </c>
    </row>
    <row r="75" spans="1:9" ht="28.5">
      <c r="A75" s="40" t="s">
        <v>752</v>
      </c>
      <c r="B75" s="35"/>
      <c r="C75" s="36" t="s">
        <v>690</v>
      </c>
      <c r="D75" s="36" t="s">
        <v>751</v>
      </c>
      <c r="E75" s="36" t="s">
        <v>753</v>
      </c>
      <c r="F75" s="37"/>
      <c r="G75" s="38">
        <f>SUM(G76)</f>
        <v>13286.6</v>
      </c>
      <c r="H75" s="38">
        <f>SUM(H76)</f>
        <v>13286.6</v>
      </c>
      <c r="I75" s="39">
        <f t="shared" si="0"/>
        <v>100</v>
      </c>
    </row>
    <row r="76" spans="1:11" s="55" customFormat="1" ht="15">
      <c r="A76" s="40" t="s">
        <v>685</v>
      </c>
      <c r="B76" s="35"/>
      <c r="C76" s="36" t="s">
        <v>690</v>
      </c>
      <c r="D76" s="36" t="s">
        <v>751</v>
      </c>
      <c r="E76" s="36" t="s">
        <v>753</v>
      </c>
      <c r="F76" s="42" t="s">
        <v>686</v>
      </c>
      <c r="G76" s="38">
        <f>12938.6+348</f>
        <v>13286.6</v>
      </c>
      <c r="H76" s="38">
        <f>12938.6+348</f>
        <v>13286.6</v>
      </c>
      <c r="I76" s="39">
        <f t="shared" si="0"/>
        <v>100</v>
      </c>
      <c r="J76" s="44">
        <f>SUM('[1]ведомствен.'!G444)</f>
        <v>13286.6</v>
      </c>
      <c r="K76" s="44">
        <f>SUM('[1]ведомствен.'!H444)</f>
        <v>13286.6</v>
      </c>
    </row>
    <row r="77" spans="1:9" ht="28.5">
      <c r="A77" s="34" t="s">
        <v>754</v>
      </c>
      <c r="B77" s="35"/>
      <c r="C77" s="36" t="s">
        <v>690</v>
      </c>
      <c r="D77" s="36" t="s">
        <v>751</v>
      </c>
      <c r="E77" s="36" t="s">
        <v>755</v>
      </c>
      <c r="F77" s="42"/>
      <c r="G77" s="38">
        <f>SUM(G78)</f>
        <v>718.4</v>
      </c>
      <c r="H77" s="38">
        <f>SUM(H78)</f>
        <v>715.7</v>
      </c>
      <c r="I77" s="39">
        <f t="shared" si="0"/>
        <v>99.62416481069043</v>
      </c>
    </row>
    <row r="78" spans="1:11" ht="14.25" customHeight="1">
      <c r="A78" s="40" t="s">
        <v>685</v>
      </c>
      <c r="B78" s="35"/>
      <c r="C78" s="36" t="s">
        <v>690</v>
      </c>
      <c r="D78" s="36" t="s">
        <v>751</v>
      </c>
      <c r="E78" s="36" t="s">
        <v>755</v>
      </c>
      <c r="F78" s="37" t="s">
        <v>686</v>
      </c>
      <c r="G78" s="38">
        <v>718.4</v>
      </c>
      <c r="H78" s="38">
        <v>715.7</v>
      </c>
      <c r="I78" s="39">
        <f t="shared" si="0"/>
        <v>99.62416481069043</v>
      </c>
      <c r="J78" s="6">
        <f>SUM('[1]ведомствен.'!G44)</f>
        <v>718.4</v>
      </c>
      <c r="K78" s="6">
        <f>SUM('[1]ведомствен.'!H44)</f>
        <v>715.7</v>
      </c>
    </row>
    <row r="79" spans="1:9" ht="14.25" customHeight="1">
      <c r="A79" s="56" t="s">
        <v>756</v>
      </c>
      <c r="B79" s="52"/>
      <c r="C79" s="53" t="s">
        <v>678</v>
      </c>
      <c r="D79" s="53" t="s">
        <v>701</v>
      </c>
      <c r="E79" s="53"/>
      <c r="F79" s="41"/>
      <c r="G79" s="38">
        <f>SUM(G80)</f>
        <v>4219.8</v>
      </c>
      <c r="H79" s="38">
        <f>SUM(H80)</f>
        <v>4219.8</v>
      </c>
      <c r="I79" s="39">
        <f aca="true" t="shared" si="4" ref="I79:I142">SUM(H79/G79*100)</f>
        <v>100</v>
      </c>
    </row>
    <row r="80" spans="1:9" ht="14.25" customHeight="1">
      <c r="A80" s="56" t="s">
        <v>756</v>
      </c>
      <c r="B80" s="52"/>
      <c r="C80" s="53" t="s">
        <v>678</v>
      </c>
      <c r="D80" s="53" t="s">
        <v>701</v>
      </c>
      <c r="E80" s="53" t="s">
        <v>757</v>
      </c>
      <c r="F80" s="41"/>
      <c r="G80" s="38">
        <f>SUM(G81+G83)</f>
        <v>4219.8</v>
      </c>
      <c r="H80" s="38">
        <f>SUM(H81+H83)</f>
        <v>4219.8</v>
      </c>
      <c r="I80" s="39">
        <f t="shared" si="4"/>
        <v>100</v>
      </c>
    </row>
    <row r="81" spans="1:9" ht="28.5" customHeight="1">
      <c r="A81" s="34" t="s">
        <v>758</v>
      </c>
      <c r="B81" s="52"/>
      <c r="C81" s="53" t="s">
        <v>678</v>
      </c>
      <c r="D81" s="53" t="s">
        <v>701</v>
      </c>
      <c r="E81" s="53" t="s">
        <v>759</v>
      </c>
      <c r="F81" s="41"/>
      <c r="G81" s="38">
        <f>SUM(G82:G82)</f>
        <v>2142.4</v>
      </c>
      <c r="H81" s="38">
        <f>SUM(H82:H82)</f>
        <v>2142.4</v>
      </c>
      <c r="I81" s="39">
        <f t="shared" si="4"/>
        <v>100</v>
      </c>
    </row>
    <row r="82" spans="1:11" ht="14.25" customHeight="1">
      <c r="A82" s="40" t="s">
        <v>685</v>
      </c>
      <c r="B82" s="52"/>
      <c r="C82" s="53" t="s">
        <v>678</v>
      </c>
      <c r="D82" s="53" t="s">
        <v>701</v>
      </c>
      <c r="E82" s="53" t="s">
        <v>759</v>
      </c>
      <c r="F82" s="41" t="s">
        <v>686</v>
      </c>
      <c r="G82" s="38">
        <v>2142.4</v>
      </c>
      <c r="H82" s="38">
        <v>2142.4</v>
      </c>
      <c r="I82" s="39">
        <f t="shared" si="4"/>
        <v>100</v>
      </c>
      <c r="J82" s="6">
        <f>SUM('[1]ведомствен.'!G73)</f>
        <v>2142.4</v>
      </c>
      <c r="K82" s="6">
        <f>SUM('[1]ведомствен.'!H73)</f>
        <v>2142.4</v>
      </c>
    </row>
    <row r="83" spans="1:9" ht="15">
      <c r="A83" s="40" t="s">
        <v>760</v>
      </c>
      <c r="B83" s="52"/>
      <c r="C83" s="53" t="s">
        <v>678</v>
      </c>
      <c r="D83" s="53" t="s">
        <v>701</v>
      </c>
      <c r="E83" s="53" t="s">
        <v>761</v>
      </c>
      <c r="F83" s="41"/>
      <c r="G83" s="38">
        <f>SUM(G84)</f>
        <v>2077.4</v>
      </c>
      <c r="H83" s="38">
        <f>SUM(H84)</f>
        <v>2077.4</v>
      </c>
      <c r="I83" s="39">
        <f t="shared" si="4"/>
        <v>100</v>
      </c>
    </row>
    <row r="84" spans="1:11" ht="15">
      <c r="A84" s="40" t="s">
        <v>685</v>
      </c>
      <c r="B84" s="52"/>
      <c r="C84" s="53" t="s">
        <v>678</v>
      </c>
      <c r="D84" s="53" t="s">
        <v>701</v>
      </c>
      <c r="E84" s="53" t="s">
        <v>761</v>
      </c>
      <c r="F84" s="41" t="s">
        <v>686</v>
      </c>
      <c r="G84" s="38">
        <v>2077.4</v>
      </c>
      <c r="H84" s="38">
        <v>2077.4</v>
      </c>
      <c r="I84" s="39">
        <f t="shared" si="4"/>
        <v>100</v>
      </c>
      <c r="J84" s="6">
        <f>SUM('[1]ведомствен.'!G75)</f>
        <v>2077.4</v>
      </c>
      <c r="K84" s="6">
        <f>SUM('[1]ведомствен.'!H75)</f>
        <v>2077.4</v>
      </c>
    </row>
    <row r="85" spans="1:9" ht="15">
      <c r="A85" s="40" t="s">
        <v>762</v>
      </c>
      <c r="B85" s="35"/>
      <c r="C85" s="36" t="s">
        <v>678</v>
      </c>
      <c r="D85" s="36" t="s">
        <v>720</v>
      </c>
      <c r="E85" s="36"/>
      <c r="F85" s="42"/>
      <c r="G85" s="38">
        <f>SUM(G86)</f>
        <v>5372.9</v>
      </c>
      <c r="H85" s="38">
        <f>SUM(H86)</f>
        <v>5372.9</v>
      </c>
      <c r="I85" s="39">
        <f t="shared" si="4"/>
        <v>100</v>
      </c>
    </row>
    <row r="86" spans="1:9" ht="15">
      <c r="A86" s="40" t="s">
        <v>763</v>
      </c>
      <c r="B86" s="35"/>
      <c r="C86" s="36" t="s">
        <v>678</v>
      </c>
      <c r="D86" s="36" t="s">
        <v>720</v>
      </c>
      <c r="E86" s="36" t="s">
        <v>764</v>
      </c>
      <c r="F86" s="42"/>
      <c r="G86" s="38">
        <f>SUM(G88)</f>
        <v>5372.9</v>
      </c>
      <c r="H86" s="38">
        <f>SUM(H88)</f>
        <v>5372.9</v>
      </c>
      <c r="I86" s="39">
        <f t="shared" si="4"/>
        <v>100</v>
      </c>
    </row>
    <row r="87" spans="1:9" ht="15">
      <c r="A87" s="40" t="s">
        <v>765</v>
      </c>
      <c r="B87" s="35"/>
      <c r="C87" s="36" t="s">
        <v>678</v>
      </c>
      <c r="D87" s="36" t="s">
        <v>720</v>
      </c>
      <c r="E87" s="36" t="s">
        <v>766</v>
      </c>
      <c r="F87" s="42"/>
      <c r="G87" s="38">
        <f>SUM(G88)</f>
        <v>5372.9</v>
      </c>
      <c r="H87" s="38">
        <f>SUM(H88)</f>
        <v>5372.9</v>
      </c>
      <c r="I87" s="39">
        <f t="shared" si="4"/>
        <v>100</v>
      </c>
    </row>
    <row r="88" spans="1:11" ht="15">
      <c r="A88" s="40" t="s">
        <v>767</v>
      </c>
      <c r="B88" s="35"/>
      <c r="C88" s="36" t="s">
        <v>678</v>
      </c>
      <c r="D88" s="36" t="s">
        <v>720</v>
      </c>
      <c r="E88" s="36" t="s">
        <v>766</v>
      </c>
      <c r="F88" s="42" t="s">
        <v>768</v>
      </c>
      <c r="G88" s="38">
        <v>5372.9</v>
      </c>
      <c r="H88" s="38">
        <v>5372.9</v>
      </c>
      <c r="I88" s="39">
        <f t="shared" si="4"/>
        <v>100</v>
      </c>
      <c r="J88" s="6">
        <f>SUM('[1]ведомствен.'!G448)</f>
        <v>5372.9</v>
      </c>
      <c r="K88" s="6">
        <f>SUM('[1]ведомствен.'!H448)</f>
        <v>5372.9</v>
      </c>
    </row>
    <row r="89" spans="1:11" s="45" customFormat="1" ht="15">
      <c r="A89" s="34" t="s">
        <v>769</v>
      </c>
      <c r="B89" s="35"/>
      <c r="C89" s="36" t="s">
        <v>678</v>
      </c>
      <c r="D89" s="36" t="s">
        <v>770</v>
      </c>
      <c r="E89" s="36"/>
      <c r="F89" s="37"/>
      <c r="G89" s="38">
        <f>SUM(G90)</f>
        <v>1017.5</v>
      </c>
      <c r="H89" s="38">
        <f>SUM(H90)</f>
        <v>0</v>
      </c>
      <c r="I89" s="39">
        <f t="shared" si="4"/>
        <v>0</v>
      </c>
      <c r="J89" s="44"/>
      <c r="K89" s="44"/>
    </row>
    <row r="90" spans="1:11" s="45" customFormat="1" ht="15">
      <c r="A90" s="34" t="s">
        <v>769</v>
      </c>
      <c r="B90" s="35"/>
      <c r="C90" s="36" t="s">
        <v>678</v>
      </c>
      <c r="D90" s="36" t="s">
        <v>770</v>
      </c>
      <c r="E90" s="36" t="s">
        <v>771</v>
      </c>
      <c r="F90" s="37"/>
      <c r="G90" s="38">
        <f>SUM(G92)</f>
        <v>1017.5</v>
      </c>
      <c r="H90" s="38">
        <f>SUM(H92)</f>
        <v>0</v>
      </c>
      <c r="I90" s="39">
        <f t="shared" si="4"/>
        <v>0</v>
      </c>
      <c r="J90" s="44"/>
      <c r="K90" s="44"/>
    </row>
    <row r="91" spans="1:11" s="45" customFormat="1" ht="15">
      <c r="A91" s="34" t="s">
        <v>740</v>
      </c>
      <c r="B91" s="35"/>
      <c r="C91" s="36" t="s">
        <v>678</v>
      </c>
      <c r="D91" s="36" t="s">
        <v>770</v>
      </c>
      <c r="E91" s="36" t="s">
        <v>741</v>
      </c>
      <c r="F91" s="37"/>
      <c r="G91" s="38">
        <f>SUM(G92)</f>
        <v>1017.5</v>
      </c>
      <c r="H91" s="38">
        <f>SUM(H92)</f>
        <v>0</v>
      </c>
      <c r="I91" s="39">
        <f t="shared" si="4"/>
        <v>0</v>
      </c>
      <c r="J91" s="44"/>
      <c r="K91" s="44"/>
    </row>
    <row r="92" spans="1:11" s="45" customFormat="1" ht="15.75" customHeight="1">
      <c r="A92" s="51" t="s">
        <v>772</v>
      </c>
      <c r="B92" s="52"/>
      <c r="C92" s="36" t="s">
        <v>678</v>
      </c>
      <c r="D92" s="36" t="s">
        <v>770</v>
      </c>
      <c r="E92" s="36" t="s">
        <v>741</v>
      </c>
      <c r="F92" s="41" t="s">
        <v>768</v>
      </c>
      <c r="G92" s="38">
        <v>1017.5</v>
      </c>
      <c r="H92" s="38"/>
      <c r="I92" s="39">
        <f t="shared" si="4"/>
        <v>0</v>
      </c>
      <c r="J92" s="6">
        <f>SUM('[1]ведомствен.'!G452)</f>
        <v>1017.5000000000007</v>
      </c>
      <c r="K92" s="6">
        <f>SUM('[1]ведомствен.'!H452)</f>
        <v>0</v>
      </c>
    </row>
    <row r="93" spans="1:9" ht="14.25" customHeight="1">
      <c r="A93" s="40" t="s">
        <v>694</v>
      </c>
      <c r="B93" s="35"/>
      <c r="C93" s="36" t="s">
        <v>678</v>
      </c>
      <c r="D93" s="36" t="s">
        <v>773</v>
      </c>
      <c r="E93" s="36"/>
      <c r="F93" s="41"/>
      <c r="G93" s="38">
        <f>SUM(G94+G107+G110+G113+G116+G119+G99+G104)</f>
        <v>17973.5</v>
      </c>
      <c r="H93" s="38">
        <f>SUM(H94+H107+H110+H113+H116+H119+H99+H104)</f>
        <v>17763</v>
      </c>
      <c r="I93" s="39">
        <f t="shared" si="4"/>
        <v>98.82883133502101</v>
      </c>
    </row>
    <row r="94" spans="1:9" ht="21" customHeight="1">
      <c r="A94" s="34" t="s">
        <v>774</v>
      </c>
      <c r="B94" s="35"/>
      <c r="C94" s="36" t="s">
        <v>678</v>
      </c>
      <c r="D94" s="36" t="s">
        <v>773</v>
      </c>
      <c r="E94" s="36" t="s">
        <v>775</v>
      </c>
      <c r="F94" s="37"/>
      <c r="G94" s="38">
        <f>SUM(G95+G97)</f>
        <v>7535.7</v>
      </c>
      <c r="H94" s="38">
        <f>SUM(H95+H97)</f>
        <v>7535.7</v>
      </c>
      <c r="I94" s="39">
        <f t="shared" si="4"/>
        <v>100</v>
      </c>
    </row>
    <row r="95" spans="1:9" ht="27.75" customHeight="1">
      <c r="A95" s="34" t="s">
        <v>776</v>
      </c>
      <c r="B95" s="35"/>
      <c r="C95" s="36" t="s">
        <v>678</v>
      </c>
      <c r="D95" s="36" t="s">
        <v>773</v>
      </c>
      <c r="E95" s="36" t="s">
        <v>777</v>
      </c>
      <c r="F95" s="37"/>
      <c r="G95" s="38">
        <f>SUM(G96)</f>
        <v>6776.3</v>
      </c>
      <c r="H95" s="38">
        <f>SUM(H96)</f>
        <v>6776.3</v>
      </c>
      <c r="I95" s="39">
        <f t="shared" si="4"/>
        <v>100</v>
      </c>
    </row>
    <row r="96" spans="1:11" ht="18.75" customHeight="1">
      <c r="A96" s="40" t="s">
        <v>685</v>
      </c>
      <c r="B96" s="35"/>
      <c r="C96" s="36" t="s">
        <v>678</v>
      </c>
      <c r="D96" s="36" t="s">
        <v>773</v>
      </c>
      <c r="E96" s="36" t="s">
        <v>777</v>
      </c>
      <c r="F96" s="37" t="s">
        <v>686</v>
      </c>
      <c r="G96" s="38">
        <f>6752.8+23.5</f>
        <v>6776.3</v>
      </c>
      <c r="H96" s="38">
        <f>6752.8+23.5</f>
        <v>6776.3</v>
      </c>
      <c r="I96" s="39">
        <f t="shared" si="4"/>
        <v>100</v>
      </c>
      <c r="J96" s="6">
        <f>SUM('[1]ведомствен.'!G79)</f>
        <v>6776.3</v>
      </c>
      <c r="K96" s="6">
        <f>SUM('[1]ведомствен.'!H79)</f>
        <v>6776.3</v>
      </c>
    </row>
    <row r="97" spans="1:9" ht="27" customHeight="1">
      <c r="A97" s="40" t="s">
        <v>778</v>
      </c>
      <c r="B97" s="35"/>
      <c r="C97" s="36" t="s">
        <v>678</v>
      </c>
      <c r="D97" s="36" t="s">
        <v>773</v>
      </c>
      <c r="E97" s="36" t="s">
        <v>779</v>
      </c>
      <c r="F97" s="37"/>
      <c r="G97" s="38">
        <f>SUM(G98)</f>
        <v>759.4</v>
      </c>
      <c r="H97" s="38">
        <f>SUM(H98)</f>
        <v>759.4</v>
      </c>
      <c r="I97" s="39">
        <f t="shared" si="4"/>
        <v>100</v>
      </c>
    </row>
    <row r="98" spans="1:11" ht="18.75" customHeight="1">
      <c r="A98" s="40" t="s">
        <v>685</v>
      </c>
      <c r="B98" s="35"/>
      <c r="C98" s="36" t="s">
        <v>678</v>
      </c>
      <c r="D98" s="36" t="s">
        <v>773</v>
      </c>
      <c r="E98" s="36" t="s">
        <v>779</v>
      </c>
      <c r="F98" s="37" t="s">
        <v>686</v>
      </c>
      <c r="G98" s="38">
        <v>759.4</v>
      </c>
      <c r="H98" s="38">
        <v>759.4</v>
      </c>
      <c r="I98" s="39">
        <f t="shared" si="4"/>
        <v>100</v>
      </c>
      <c r="J98" s="6">
        <f>SUM('[1]ведомствен.'!G81)</f>
        <v>759.4</v>
      </c>
      <c r="K98" s="6">
        <f>SUM('[1]ведомствен.'!H81)</f>
        <v>759.4</v>
      </c>
    </row>
    <row r="99" spans="1:9" ht="44.25" customHeight="1">
      <c r="A99" s="34" t="s">
        <v>681</v>
      </c>
      <c r="B99" s="35"/>
      <c r="C99" s="36" t="s">
        <v>678</v>
      </c>
      <c r="D99" s="36" t="s">
        <v>773</v>
      </c>
      <c r="E99" s="36" t="s">
        <v>682</v>
      </c>
      <c r="F99" s="37"/>
      <c r="G99" s="38">
        <f>SUM(G102+G101)</f>
        <v>1094.7</v>
      </c>
      <c r="H99" s="38">
        <f>SUM(H102+H101)</f>
        <v>981.4</v>
      </c>
      <c r="I99" s="39">
        <f t="shared" si="4"/>
        <v>89.65013245638073</v>
      </c>
    </row>
    <row r="100" spans="1:9" ht="18.75" customHeight="1" hidden="1">
      <c r="A100" s="34" t="s">
        <v>689</v>
      </c>
      <c r="B100" s="35"/>
      <c r="C100" s="36" t="s">
        <v>678</v>
      </c>
      <c r="D100" s="36" t="s">
        <v>773</v>
      </c>
      <c r="E100" s="36" t="s">
        <v>691</v>
      </c>
      <c r="F100" s="37"/>
      <c r="G100" s="38">
        <f>SUM(G101)</f>
        <v>0</v>
      </c>
      <c r="H100" s="38">
        <f>SUM(H101)</f>
        <v>0</v>
      </c>
      <c r="I100" s="39" t="e">
        <f t="shared" si="4"/>
        <v>#DIV/0!</v>
      </c>
    </row>
    <row r="101" spans="1:9" ht="22.5" customHeight="1" hidden="1">
      <c r="A101" s="40" t="s">
        <v>685</v>
      </c>
      <c r="B101" s="35"/>
      <c r="C101" s="36" t="s">
        <v>678</v>
      </c>
      <c r="D101" s="36" t="s">
        <v>773</v>
      </c>
      <c r="E101" s="36" t="s">
        <v>691</v>
      </c>
      <c r="F101" s="42" t="s">
        <v>686</v>
      </c>
      <c r="G101" s="38"/>
      <c r="H101" s="38"/>
      <c r="I101" s="39" t="e">
        <f t="shared" si="4"/>
        <v>#DIV/0!</v>
      </c>
    </row>
    <row r="102" spans="1:9" ht="18" customHeight="1">
      <c r="A102" s="40" t="s">
        <v>780</v>
      </c>
      <c r="B102" s="35"/>
      <c r="C102" s="36" t="s">
        <v>678</v>
      </c>
      <c r="D102" s="36" t="s">
        <v>773</v>
      </c>
      <c r="E102" s="36" t="s">
        <v>781</v>
      </c>
      <c r="F102" s="41"/>
      <c r="G102" s="38">
        <f>SUM(G103)</f>
        <v>1094.7</v>
      </c>
      <c r="H102" s="38">
        <f>SUM(H103)</f>
        <v>981.4</v>
      </c>
      <c r="I102" s="39">
        <f t="shared" si="4"/>
        <v>89.65013245638073</v>
      </c>
    </row>
    <row r="103" spans="1:11" ht="17.25" customHeight="1">
      <c r="A103" s="57" t="s">
        <v>782</v>
      </c>
      <c r="B103" s="35"/>
      <c r="C103" s="36" t="s">
        <v>678</v>
      </c>
      <c r="D103" s="36" t="s">
        <v>773</v>
      </c>
      <c r="E103" s="36" t="s">
        <v>781</v>
      </c>
      <c r="F103" s="41" t="s">
        <v>783</v>
      </c>
      <c r="G103" s="38">
        <f>1094.8-0.1</f>
        <v>1094.7</v>
      </c>
      <c r="H103" s="38">
        <v>981.4</v>
      </c>
      <c r="I103" s="39">
        <f t="shared" si="4"/>
        <v>89.65013245638073</v>
      </c>
      <c r="J103" s="6">
        <f>SUM('[1]ведомствен.'!G84)</f>
        <v>1094.7000000000003</v>
      </c>
      <c r="K103" s="6">
        <f>SUM('[1]ведомствен.'!H84)</f>
        <v>981.4</v>
      </c>
    </row>
    <row r="104" spans="1:9" ht="21.75" customHeight="1">
      <c r="A104" s="34" t="s">
        <v>769</v>
      </c>
      <c r="B104" s="35"/>
      <c r="C104" s="36" t="s">
        <v>678</v>
      </c>
      <c r="D104" s="36" t="s">
        <v>773</v>
      </c>
      <c r="E104" s="36" t="s">
        <v>771</v>
      </c>
      <c r="F104" s="37"/>
      <c r="G104" s="38">
        <f>SUM(G106)</f>
        <v>730.8</v>
      </c>
      <c r="H104" s="38">
        <f>SUM(H106)</f>
        <v>730.8</v>
      </c>
      <c r="I104" s="39">
        <f t="shared" si="4"/>
        <v>100</v>
      </c>
    </row>
    <row r="105" spans="1:9" ht="22.5" customHeight="1">
      <c r="A105" s="34" t="s">
        <v>740</v>
      </c>
      <c r="B105" s="35"/>
      <c r="C105" s="36" t="s">
        <v>678</v>
      </c>
      <c r="D105" s="36" t="s">
        <v>773</v>
      </c>
      <c r="E105" s="36" t="s">
        <v>741</v>
      </c>
      <c r="F105" s="37"/>
      <c r="G105" s="38">
        <f>SUM(G106)</f>
        <v>730.8</v>
      </c>
      <c r="H105" s="38">
        <f>SUM(H106)</f>
        <v>730.8</v>
      </c>
      <c r="I105" s="39">
        <f t="shared" si="4"/>
        <v>100</v>
      </c>
    </row>
    <row r="106" spans="1:11" ht="25.5" customHeight="1">
      <c r="A106" s="40" t="s">
        <v>685</v>
      </c>
      <c r="B106" s="35"/>
      <c r="C106" s="36" t="s">
        <v>678</v>
      </c>
      <c r="D106" s="36" t="s">
        <v>773</v>
      </c>
      <c r="E106" s="36" t="s">
        <v>741</v>
      </c>
      <c r="F106" s="37" t="s">
        <v>686</v>
      </c>
      <c r="G106" s="38">
        <v>730.8</v>
      </c>
      <c r="H106" s="38">
        <v>730.8</v>
      </c>
      <c r="I106" s="39">
        <f t="shared" si="4"/>
        <v>100</v>
      </c>
      <c r="J106" s="6">
        <f>SUM('[1]ведомствен.'!G87)</f>
        <v>730.8000000000001</v>
      </c>
      <c r="K106" s="6">
        <f>SUM('[1]ведомствен.'!H87)</f>
        <v>730.8</v>
      </c>
    </row>
    <row r="107" spans="1:9" ht="42.75">
      <c r="A107" s="54" t="s">
        <v>784</v>
      </c>
      <c r="B107" s="35"/>
      <c r="C107" s="36" t="s">
        <v>678</v>
      </c>
      <c r="D107" s="36" t="s">
        <v>773</v>
      </c>
      <c r="E107" s="36" t="s">
        <v>708</v>
      </c>
      <c r="F107" s="37"/>
      <c r="G107" s="38">
        <f>SUM(G108)</f>
        <v>1723.2</v>
      </c>
      <c r="H107" s="38">
        <f>SUM(H108)</f>
        <v>1663.3</v>
      </c>
      <c r="I107" s="39">
        <f t="shared" si="4"/>
        <v>96.52390900649954</v>
      </c>
    </row>
    <row r="108" spans="1:9" ht="42.75">
      <c r="A108" s="54" t="s">
        <v>709</v>
      </c>
      <c r="B108" s="35"/>
      <c r="C108" s="36" t="s">
        <v>678</v>
      </c>
      <c r="D108" s="36" t="s">
        <v>773</v>
      </c>
      <c r="E108" s="36" t="s">
        <v>785</v>
      </c>
      <c r="F108" s="37"/>
      <c r="G108" s="38">
        <f>SUM(G109)</f>
        <v>1723.2</v>
      </c>
      <c r="H108" s="38">
        <f>SUM(H109)</f>
        <v>1663.3</v>
      </c>
      <c r="I108" s="39">
        <f t="shared" si="4"/>
        <v>96.52390900649954</v>
      </c>
    </row>
    <row r="109" spans="1:11" ht="15">
      <c r="A109" s="40" t="s">
        <v>685</v>
      </c>
      <c r="B109" s="35"/>
      <c r="C109" s="36" t="s">
        <v>678</v>
      </c>
      <c r="D109" s="36" t="s">
        <v>773</v>
      </c>
      <c r="E109" s="36" t="s">
        <v>785</v>
      </c>
      <c r="F109" s="37" t="s">
        <v>686</v>
      </c>
      <c r="G109" s="38">
        <v>1723.2</v>
      </c>
      <c r="H109" s="38">
        <v>1663.3</v>
      </c>
      <c r="I109" s="39">
        <f t="shared" si="4"/>
        <v>96.52390900649954</v>
      </c>
      <c r="J109" s="6">
        <f>SUM('[1]ведомствен.'!G90)+'[1]ведомствен.'!G745</f>
        <v>1723.2</v>
      </c>
      <c r="K109" s="6">
        <f>SUM('[1]ведомствен.'!H90)+'[1]ведомствен.'!H745</f>
        <v>1663.3</v>
      </c>
    </row>
    <row r="110" spans="1:9" ht="28.5">
      <c r="A110" s="40" t="s">
        <v>696</v>
      </c>
      <c r="B110" s="35"/>
      <c r="C110" s="36" t="s">
        <v>678</v>
      </c>
      <c r="D110" s="36" t="s">
        <v>773</v>
      </c>
      <c r="E110" s="36" t="s">
        <v>697</v>
      </c>
      <c r="F110" s="42"/>
      <c r="G110" s="38">
        <f>SUM(G111)</f>
        <v>2996.5</v>
      </c>
      <c r="H110" s="38">
        <f>SUM(H111)</f>
        <v>2963.7</v>
      </c>
      <c r="I110" s="39">
        <f t="shared" si="4"/>
        <v>98.90538962122476</v>
      </c>
    </row>
    <row r="111" spans="1:9" ht="15">
      <c r="A111" s="40" t="s">
        <v>698</v>
      </c>
      <c r="B111" s="35"/>
      <c r="C111" s="36" t="s">
        <v>678</v>
      </c>
      <c r="D111" s="36" t="s">
        <v>773</v>
      </c>
      <c r="E111" s="36" t="s">
        <v>786</v>
      </c>
      <c r="F111" s="42"/>
      <c r="G111" s="38">
        <f>SUM(G112)</f>
        <v>2996.5</v>
      </c>
      <c r="H111" s="38">
        <f>SUM(H112)</f>
        <v>2963.7</v>
      </c>
      <c r="I111" s="39">
        <f t="shared" si="4"/>
        <v>98.90538962122476</v>
      </c>
    </row>
    <row r="112" spans="1:11" ht="15.75" customHeight="1">
      <c r="A112" s="40" t="s">
        <v>685</v>
      </c>
      <c r="B112" s="35"/>
      <c r="C112" s="36" t="s">
        <v>678</v>
      </c>
      <c r="D112" s="36" t="s">
        <v>773</v>
      </c>
      <c r="E112" s="36" t="s">
        <v>786</v>
      </c>
      <c r="F112" s="42" t="s">
        <v>686</v>
      </c>
      <c r="G112" s="38">
        <v>2996.5</v>
      </c>
      <c r="H112" s="38">
        <v>2963.7</v>
      </c>
      <c r="I112" s="39">
        <f t="shared" si="4"/>
        <v>98.90538962122476</v>
      </c>
      <c r="J112" s="6">
        <f>SUM('[1]ведомствен.'!G24+'[1]ведомствен.'!G91+'[1]ведомствен.'!G454+'[1]ведомствен.'!G748+'[1]ведомствен.'!G813)</f>
        <v>2996.5</v>
      </c>
      <c r="K112" s="6">
        <f>SUM('[1]ведомствен.'!H24+'[1]ведомствен.'!H91+'[1]ведомствен.'!H454+'[1]ведомствен.'!H748+'[1]ведомствен.'!H813)</f>
        <v>2963.7</v>
      </c>
    </row>
    <row r="113" spans="1:9" ht="31.5" customHeight="1" hidden="1">
      <c r="A113" s="51" t="s">
        <v>787</v>
      </c>
      <c r="B113" s="35"/>
      <c r="C113" s="36" t="s">
        <v>678</v>
      </c>
      <c r="D113" s="36" t="s">
        <v>773</v>
      </c>
      <c r="E113" s="36" t="s">
        <v>726</v>
      </c>
      <c r="F113" s="37"/>
      <c r="G113" s="38">
        <f>SUM(G115)</f>
        <v>0</v>
      </c>
      <c r="H113" s="38">
        <f>SUM(H115)</f>
        <v>0</v>
      </c>
      <c r="I113" s="39" t="e">
        <f t="shared" si="4"/>
        <v>#DIV/0!</v>
      </c>
    </row>
    <row r="114" spans="1:9" ht="31.5" customHeight="1" hidden="1">
      <c r="A114" s="51" t="s">
        <v>788</v>
      </c>
      <c r="B114" s="35"/>
      <c r="C114" s="36" t="s">
        <v>678</v>
      </c>
      <c r="D114" s="36" t="s">
        <v>773</v>
      </c>
      <c r="E114" s="36" t="s">
        <v>789</v>
      </c>
      <c r="F114" s="37"/>
      <c r="G114" s="38">
        <f>SUM(G115)</f>
        <v>0</v>
      </c>
      <c r="H114" s="38">
        <f>SUM(H115)</f>
        <v>0</v>
      </c>
      <c r="I114" s="39" t="e">
        <f t="shared" si="4"/>
        <v>#DIV/0!</v>
      </c>
    </row>
    <row r="115" spans="1:9" ht="18" customHeight="1" hidden="1">
      <c r="A115" s="51" t="s">
        <v>790</v>
      </c>
      <c r="B115" s="35"/>
      <c r="C115" s="36" t="s">
        <v>678</v>
      </c>
      <c r="D115" s="36" t="s">
        <v>773</v>
      </c>
      <c r="E115" s="36" t="s">
        <v>789</v>
      </c>
      <c r="F115" s="37" t="s">
        <v>791</v>
      </c>
      <c r="G115" s="38"/>
      <c r="H115" s="38"/>
      <c r="I115" s="39" t="e">
        <f t="shared" si="4"/>
        <v>#DIV/0!</v>
      </c>
    </row>
    <row r="116" spans="1:9" ht="31.5" customHeight="1">
      <c r="A116" s="34" t="s">
        <v>792</v>
      </c>
      <c r="B116" s="35"/>
      <c r="C116" s="36" t="s">
        <v>678</v>
      </c>
      <c r="D116" s="36" t="s">
        <v>773</v>
      </c>
      <c r="E116" s="53" t="s">
        <v>793</v>
      </c>
      <c r="F116" s="41"/>
      <c r="G116" s="38">
        <f>SUM(G117)</f>
        <v>1892.6</v>
      </c>
      <c r="H116" s="38">
        <f>SUM(H117)</f>
        <v>1888.1</v>
      </c>
      <c r="I116" s="39">
        <f t="shared" si="4"/>
        <v>99.76223185036459</v>
      </c>
    </row>
    <row r="117" spans="1:9" ht="18" customHeight="1">
      <c r="A117" s="40" t="s">
        <v>780</v>
      </c>
      <c r="B117" s="35"/>
      <c r="C117" s="36" t="s">
        <v>678</v>
      </c>
      <c r="D117" s="36" t="s">
        <v>773</v>
      </c>
      <c r="E117" s="53" t="s">
        <v>794</v>
      </c>
      <c r="F117" s="41"/>
      <c r="G117" s="38">
        <f>SUM(G118)</f>
        <v>1892.6</v>
      </c>
      <c r="H117" s="38">
        <f>SUM(H118)</f>
        <v>1888.1</v>
      </c>
      <c r="I117" s="39">
        <f t="shared" si="4"/>
        <v>99.76223185036459</v>
      </c>
    </row>
    <row r="118" spans="1:11" ht="17.25" customHeight="1">
      <c r="A118" s="57" t="s">
        <v>782</v>
      </c>
      <c r="B118" s="35"/>
      <c r="C118" s="36" t="s">
        <v>678</v>
      </c>
      <c r="D118" s="36" t="s">
        <v>773</v>
      </c>
      <c r="E118" s="53" t="s">
        <v>794</v>
      </c>
      <c r="F118" s="41" t="s">
        <v>783</v>
      </c>
      <c r="G118" s="38">
        <v>1892.6</v>
      </c>
      <c r="H118" s="38">
        <v>1888.1</v>
      </c>
      <c r="I118" s="39">
        <f t="shared" si="4"/>
        <v>99.76223185036459</v>
      </c>
      <c r="J118" s="6">
        <f>SUM('[1]ведомствен.'!G97)+'[1]ведомствен.'!G485</f>
        <v>1892.6000000000001</v>
      </c>
      <c r="K118" s="6">
        <f>SUM('[1]ведомствен.'!H97)+'[1]ведомствен.'!H485</f>
        <v>1888.1000000000001</v>
      </c>
    </row>
    <row r="119" spans="1:9" ht="16.5" customHeight="1">
      <c r="A119" s="34" t="s">
        <v>742</v>
      </c>
      <c r="B119" s="35"/>
      <c r="C119" s="36" t="s">
        <v>678</v>
      </c>
      <c r="D119" s="36" t="s">
        <v>773</v>
      </c>
      <c r="E119" s="36" t="s">
        <v>743</v>
      </c>
      <c r="F119" s="42"/>
      <c r="G119" s="38">
        <f>SUM(G120)</f>
        <v>2000</v>
      </c>
      <c r="H119" s="38">
        <f>SUM(H120)</f>
        <v>2000</v>
      </c>
      <c r="I119" s="39">
        <f t="shared" si="4"/>
        <v>100</v>
      </c>
    </row>
    <row r="120" spans="1:9" ht="16.5" customHeight="1">
      <c r="A120" s="40" t="s">
        <v>685</v>
      </c>
      <c r="B120" s="35"/>
      <c r="C120" s="36" t="s">
        <v>678</v>
      </c>
      <c r="D120" s="36" t="s">
        <v>773</v>
      </c>
      <c r="E120" s="36" t="s">
        <v>743</v>
      </c>
      <c r="F120" s="42" t="s">
        <v>686</v>
      </c>
      <c r="G120" s="38">
        <f>SUM(G121+G122)</f>
        <v>2000</v>
      </c>
      <c r="H120" s="38">
        <f>SUM(H121+H122)</f>
        <v>2000</v>
      </c>
      <c r="I120" s="39">
        <f t="shared" si="4"/>
        <v>100</v>
      </c>
    </row>
    <row r="121" spans="1:11" ht="16.5" customHeight="1">
      <c r="A121" s="40" t="s">
        <v>795</v>
      </c>
      <c r="B121" s="35"/>
      <c r="C121" s="36" t="s">
        <v>678</v>
      </c>
      <c r="D121" s="36" t="s">
        <v>773</v>
      </c>
      <c r="E121" s="36" t="s">
        <v>796</v>
      </c>
      <c r="F121" s="42" t="s">
        <v>686</v>
      </c>
      <c r="G121" s="38">
        <v>2000</v>
      </c>
      <c r="H121" s="38">
        <v>2000</v>
      </c>
      <c r="I121" s="39">
        <f t="shared" si="4"/>
        <v>100</v>
      </c>
      <c r="J121" s="6">
        <f>SUM('[1]ведомствен.'!G100)</f>
        <v>2000</v>
      </c>
      <c r="K121" s="6">
        <f>SUM('[1]ведомствен.'!H100)</f>
        <v>2000</v>
      </c>
    </row>
    <row r="122" spans="1:9" ht="27.75" customHeight="1" hidden="1">
      <c r="A122" s="40" t="s">
        <v>797</v>
      </c>
      <c r="B122" s="35"/>
      <c r="C122" s="36" t="s">
        <v>678</v>
      </c>
      <c r="D122" s="36" t="s">
        <v>773</v>
      </c>
      <c r="E122" s="36" t="s">
        <v>798</v>
      </c>
      <c r="F122" s="42" t="s">
        <v>686</v>
      </c>
      <c r="G122" s="38"/>
      <c r="H122" s="38"/>
      <c r="I122" s="39" t="e">
        <f t="shared" si="4"/>
        <v>#DIV/0!</v>
      </c>
    </row>
    <row r="123" spans="1:11" s="33" customFormat="1" ht="30">
      <c r="A123" s="58" t="s">
        <v>799</v>
      </c>
      <c r="B123" s="59"/>
      <c r="C123" s="60" t="s">
        <v>688</v>
      </c>
      <c r="D123" s="60"/>
      <c r="E123" s="60"/>
      <c r="F123" s="61"/>
      <c r="G123" s="62">
        <f>SUM(G124+G147)+G165</f>
        <v>83848.90000000001</v>
      </c>
      <c r="H123" s="62">
        <f>SUM(H124+H147)+H165</f>
        <v>83675.90000000001</v>
      </c>
      <c r="I123" s="63">
        <f t="shared" si="4"/>
        <v>99.79367648233907</v>
      </c>
      <c r="J123" s="32"/>
      <c r="K123" s="32"/>
    </row>
    <row r="124" spans="1:9" ht="15">
      <c r="A124" s="34" t="s">
        <v>800</v>
      </c>
      <c r="B124" s="35"/>
      <c r="C124" s="36" t="s">
        <v>688</v>
      </c>
      <c r="D124" s="36" t="s">
        <v>680</v>
      </c>
      <c r="E124" s="36"/>
      <c r="F124" s="41"/>
      <c r="G124" s="38">
        <f>SUM(G125)</f>
        <v>58041.9</v>
      </c>
      <c r="H124" s="38">
        <f>SUM(H125)</f>
        <v>57870.100000000006</v>
      </c>
      <c r="I124" s="39">
        <f t="shared" si="4"/>
        <v>99.70400693292261</v>
      </c>
    </row>
    <row r="125" spans="1:9" ht="15">
      <c r="A125" s="34" t="s">
        <v>800</v>
      </c>
      <c r="B125" s="35"/>
      <c r="C125" s="36" t="s">
        <v>688</v>
      </c>
      <c r="D125" s="36" t="s">
        <v>680</v>
      </c>
      <c r="E125" s="36"/>
      <c r="F125" s="37"/>
      <c r="G125" s="38">
        <f>SUM(G126+G143)</f>
        <v>58041.9</v>
      </c>
      <c r="H125" s="38">
        <f>SUM(H126+H143)</f>
        <v>57870.100000000006</v>
      </c>
      <c r="I125" s="39">
        <f t="shared" si="4"/>
        <v>99.70400693292261</v>
      </c>
    </row>
    <row r="126" spans="1:9" ht="26.25" customHeight="1">
      <c r="A126" s="54" t="s">
        <v>801</v>
      </c>
      <c r="B126" s="35"/>
      <c r="C126" s="36" t="s">
        <v>688</v>
      </c>
      <c r="D126" s="36" t="s">
        <v>680</v>
      </c>
      <c r="E126" s="64" t="s">
        <v>802</v>
      </c>
      <c r="F126" s="37"/>
      <c r="G126" s="38">
        <f>SUM(G127+G129+G131+G133+G136+G141)</f>
        <v>56641.9</v>
      </c>
      <c r="H126" s="38">
        <f>SUM(H127+H129+H131+H133+H136+H141)</f>
        <v>56470.100000000006</v>
      </c>
      <c r="I126" s="39">
        <f t="shared" si="4"/>
        <v>99.696690965522</v>
      </c>
    </row>
    <row r="127" spans="1:9" ht="71.25">
      <c r="A127" s="54" t="s">
        <v>803</v>
      </c>
      <c r="B127" s="35"/>
      <c r="C127" s="36" t="s">
        <v>688</v>
      </c>
      <c r="D127" s="36" t="s">
        <v>680</v>
      </c>
      <c r="E127" s="64" t="s">
        <v>804</v>
      </c>
      <c r="F127" s="37"/>
      <c r="G127" s="38">
        <f>SUM(G128)</f>
        <v>5085</v>
      </c>
      <c r="H127" s="38">
        <f>SUM(H128)</f>
        <v>5085</v>
      </c>
      <c r="I127" s="39">
        <f t="shared" si="4"/>
        <v>100</v>
      </c>
    </row>
    <row r="128" spans="1:11" ht="42.75">
      <c r="A128" s="54" t="s">
        <v>805</v>
      </c>
      <c r="B128" s="35"/>
      <c r="C128" s="36" t="s">
        <v>688</v>
      </c>
      <c r="D128" s="36" t="s">
        <v>680</v>
      </c>
      <c r="E128" s="64" t="s">
        <v>804</v>
      </c>
      <c r="F128" s="37" t="s">
        <v>806</v>
      </c>
      <c r="G128" s="38">
        <v>5085</v>
      </c>
      <c r="H128" s="38">
        <v>5085</v>
      </c>
      <c r="I128" s="39">
        <f t="shared" si="4"/>
        <v>100</v>
      </c>
      <c r="J128" s="6">
        <f>SUM('[1]ведомствен.'!G863)</f>
        <v>5085</v>
      </c>
      <c r="K128" s="6">
        <f>SUM('[1]ведомствен.'!H863)</f>
        <v>5085</v>
      </c>
    </row>
    <row r="129" spans="1:9" ht="15">
      <c r="A129" s="54" t="s">
        <v>807</v>
      </c>
      <c r="B129" s="35"/>
      <c r="C129" s="36" t="s">
        <v>688</v>
      </c>
      <c r="D129" s="36" t="s">
        <v>680</v>
      </c>
      <c r="E129" s="64" t="s">
        <v>808</v>
      </c>
      <c r="F129" s="37"/>
      <c r="G129" s="38">
        <f>SUM(G130)</f>
        <v>34803.2</v>
      </c>
      <c r="H129" s="38">
        <f>SUM(H130)</f>
        <v>34699.1</v>
      </c>
      <c r="I129" s="39">
        <f t="shared" si="4"/>
        <v>99.70088957337256</v>
      </c>
    </row>
    <row r="130" spans="1:11" ht="50.25" customHeight="1">
      <c r="A130" s="54" t="s">
        <v>805</v>
      </c>
      <c r="B130" s="35"/>
      <c r="C130" s="36" t="s">
        <v>688</v>
      </c>
      <c r="D130" s="36" t="s">
        <v>680</v>
      </c>
      <c r="E130" s="64" t="s">
        <v>808</v>
      </c>
      <c r="F130" s="37" t="s">
        <v>806</v>
      </c>
      <c r="G130" s="38">
        <v>34803.2</v>
      </c>
      <c r="H130" s="38">
        <v>34699.1</v>
      </c>
      <c r="I130" s="39">
        <f t="shared" si="4"/>
        <v>99.70088957337256</v>
      </c>
      <c r="J130" s="6">
        <f>SUM('[1]ведомствен.'!G865)</f>
        <v>34803.2</v>
      </c>
      <c r="K130" s="6">
        <f>SUM('[1]ведомствен.'!H865)</f>
        <v>34699.1</v>
      </c>
    </row>
    <row r="131" spans="1:9" ht="34.5" customHeight="1">
      <c r="A131" s="54" t="s">
        <v>864</v>
      </c>
      <c r="B131" s="35"/>
      <c r="C131" s="36" t="s">
        <v>688</v>
      </c>
      <c r="D131" s="36" t="s">
        <v>680</v>
      </c>
      <c r="E131" s="64" t="s">
        <v>865</v>
      </c>
      <c r="F131" s="37"/>
      <c r="G131" s="38">
        <f>SUM(G132)</f>
        <v>13769.8</v>
      </c>
      <c r="H131" s="38">
        <f>SUM(H132)</f>
        <v>13722.2</v>
      </c>
      <c r="I131" s="39">
        <f t="shared" si="4"/>
        <v>99.65431596682596</v>
      </c>
    </row>
    <row r="132" spans="1:11" ht="42.75">
      <c r="A132" s="54" t="s">
        <v>805</v>
      </c>
      <c r="B132" s="35"/>
      <c r="C132" s="36" t="s">
        <v>688</v>
      </c>
      <c r="D132" s="36" t="s">
        <v>680</v>
      </c>
      <c r="E132" s="64" t="s">
        <v>865</v>
      </c>
      <c r="F132" s="37" t="s">
        <v>806</v>
      </c>
      <c r="G132" s="38">
        <v>13769.8</v>
      </c>
      <c r="H132" s="38">
        <v>13722.2</v>
      </c>
      <c r="I132" s="39">
        <f t="shared" si="4"/>
        <v>99.65431596682596</v>
      </c>
      <c r="J132" s="6">
        <f>SUM('[1]ведомствен.'!G867+'[1]ведомствен.'!G490)</f>
        <v>13769.800000000001</v>
      </c>
      <c r="K132" s="6">
        <f>SUM('[1]ведомствен.'!H867+'[1]ведомствен.'!H490)</f>
        <v>13722.2</v>
      </c>
    </row>
    <row r="133" spans="1:9" ht="15">
      <c r="A133" s="54" t="s">
        <v>866</v>
      </c>
      <c r="B133" s="35"/>
      <c r="C133" s="36" t="s">
        <v>688</v>
      </c>
      <c r="D133" s="36" t="s">
        <v>680</v>
      </c>
      <c r="E133" s="64" t="s">
        <v>867</v>
      </c>
      <c r="F133" s="37"/>
      <c r="G133" s="38">
        <f>SUM(G134)</f>
        <v>97.5</v>
      </c>
      <c r="H133" s="38">
        <f>SUM(H134)</f>
        <v>97.5</v>
      </c>
      <c r="I133" s="39">
        <f t="shared" si="4"/>
        <v>100</v>
      </c>
    </row>
    <row r="134" spans="1:9" ht="28.5">
      <c r="A134" s="54" t="s">
        <v>868</v>
      </c>
      <c r="B134" s="35"/>
      <c r="C134" s="36" t="s">
        <v>688</v>
      </c>
      <c r="D134" s="36" t="s">
        <v>680</v>
      </c>
      <c r="E134" s="64" t="s">
        <v>869</v>
      </c>
      <c r="F134" s="37"/>
      <c r="G134" s="38">
        <f>SUM(G135)</f>
        <v>97.5</v>
      </c>
      <c r="H134" s="38">
        <f>SUM(H135)</f>
        <v>97.5</v>
      </c>
      <c r="I134" s="39">
        <f t="shared" si="4"/>
        <v>100</v>
      </c>
    </row>
    <row r="135" spans="1:11" ht="42.75">
      <c r="A135" s="54" t="s">
        <v>805</v>
      </c>
      <c r="B135" s="35"/>
      <c r="C135" s="36" t="s">
        <v>688</v>
      </c>
      <c r="D135" s="36" t="s">
        <v>680</v>
      </c>
      <c r="E135" s="64" t="s">
        <v>869</v>
      </c>
      <c r="F135" s="37" t="s">
        <v>806</v>
      </c>
      <c r="G135" s="38">
        <v>97.5</v>
      </c>
      <c r="H135" s="38">
        <v>97.5</v>
      </c>
      <c r="I135" s="39">
        <f t="shared" si="4"/>
        <v>100</v>
      </c>
      <c r="J135" s="6">
        <f>SUM('[1]ведомствен.'!G870)</f>
        <v>97.5</v>
      </c>
      <c r="K135" s="6">
        <f>SUM('[1]ведомствен.'!H870)</f>
        <v>97.5</v>
      </c>
    </row>
    <row r="136" spans="1:9" ht="15">
      <c r="A136" s="34" t="s">
        <v>870</v>
      </c>
      <c r="B136" s="35"/>
      <c r="C136" s="36" t="s">
        <v>871</v>
      </c>
      <c r="D136" s="36" t="s">
        <v>680</v>
      </c>
      <c r="E136" s="64" t="s">
        <v>872</v>
      </c>
      <c r="F136" s="37"/>
      <c r="G136" s="38">
        <f>SUM(G137+G139)</f>
        <v>1225.4</v>
      </c>
      <c r="H136" s="38">
        <f>SUM(H137+H139)</f>
        <v>1225.4</v>
      </c>
      <c r="I136" s="39">
        <f t="shared" si="4"/>
        <v>100</v>
      </c>
    </row>
    <row r="137" spans="1:9" ht="28.5">
      <c r="A137" s="54" t="s">
        <v>873</v>
      </c>
      <c r="B137" s="35"/>
      <c r="C137" s="36" t="s">
        <v>871</v>
      </c>
      <c r="D137" s="36" t="s">
        <v>680</v>
      </c>
      <c r="E137" s="64" t="s">
        <v>874</v>
      </c>
      <c r="F137" s="37"/>
      <c r="G137" s="38">
        <f>SUM(G138)</f>
        <v>1060</v>
      </c>
      <c r="H137" s="38">
        <f>SUM(H138)</f>
        <v>1060</v>
      </c>
      <c r="I137" s="39">
        <f t="shared" si="4"/>
        <v>100</v>
      </c>
    </row>
    <row r="138" spans="1:11" ht="42.75">
      <c r="A138" s="54" t="s">
        <v>805</v>
      </c>
      <c r="B138" s="35"/>
      <c r="C138" s="36" t="s">
        <v>871</v>
      </c>
      <c r="D138" s="36" t="s">
        <v>680</v>
      </c>
      <c r="E138" s="64" t="s">
        <v>874</v>
      </c>
      <c r="F138" s="37" t="s">
        <v>806</v>
      </c>
      <c r="G138" s="38">
        <v>1060</v>
      </c>
      <c r="H138" s="38">
        <v>1060</v>
      </c>
      <c r="I138" s="39">
        <f t="shared" si="4"/>
        <v>100</v>
      </c>
      <c r="J138" s="6">
        <f>SUM('[1]ведомствен.'!G873)</f>
        <v>1060</v>
      </c>
      <c r="K138" s="6">
        <f>SUM('[1]ведомствен.'!H873)</f>
        <v>1060</v>
      </c>
    </row>
    <row r="139" spans="1:9" ht="15">
      <c r="A139" s="54" t="s">
        <v>875</v>
      </c>
      <c r="B139" s="35"/>
      <c r="C139" s="36" t="s">
        <v>871</v>
      </c>
      <c r="D139" s="36" t="s">
        <v>680</v>
      </c>
      <c r="E139" s="64" t="s">
        <v>876</v>
      </c>
      <c r="F139" s="37"/>
      <c r="G139" s="38">
        <f>SUM(G140)</f>
        <v>165.4</v>
      </c>
      <c r="H139" s="38">
        <f>SUM(H140)</f>
        <v>165.4</v>
      </c>
      <c r="I139" s="39">
        <f t="shared" si="4"/>
        <v>100</v>
      </c>
    </row>
    <row r="140" spans="1:11" ht="42.75">
      <c r="A140" s="54" t="s">
        <v>805</v>
      </c>
      <c r="B140" s="35"/>
      <c r="C140" s="36" t="s">
        <v>871</v>
      </c>
      <c r="D140" s="36" t="s">
        <v>680</v>
      </c>
      <c r="E140" s="64" t="s">
        <v>876</v>
      </c>
      <c r="F140" s="37" t="s">
        <v>806</v>
      </c>
      <c r="G140" s="38">
        <v>165.4</v>
      </c>
      <c r="H140" s="38">
        <v>165.4</v>
      </c>
      <c r="I140" s="39">
        <f t="shared" si="4"/>
        <v>100</v>
      </c>
      <c r="J140" s="6">
        <f>SUM('[1]ведомствен.'!G875)</f>
        <v>165.4</v>
      </c>
      <c r="K140" s="6">
        <f>SUM('[1]ведомствен.'!H875)</f>
        <v>165.4</v>
      </c>
    </row>
    <row r="141" spans="1:9" ht="28.5">
      <c r="A141" s="34" t="s">
        <v>877</v>
      </c>
      <c r="B141" s="35"/>
      <c r="C141" s="36" t="s">
        <v>871</v>
      </c>
      <c r="D141" s="36" t="s">
        <v>680</v>
      </c>
      <c r="E141" s="64" t="s">
        <v>878</v>
      </c>
      <c r="F141" s="37"/>
      <c r="G141" s="38">
        <f>SUM(G142)</f>
        <v>1661</v>
      </c>
      <c r="H141" s="38">
        <f>SUM(H142)</f>
        <v>1640.9</v>
      </c>
      <c r="I141" s="39">
        <f t="shared" si="4"/>
        <v>98.78988561107766</v>
      </c>
    </row>
    <row r="142" spans="1:11" ht="18.75" customHeight="1">
      <c r="A142" s="54" t="s">
        <v>879</v>
      </c>
      <c r="B142" s="35"/>
      <c r="C142" s="36" t="s">
        <v>871</v>
      </c>
      <c r="D142" s="36" t="s">
        <v>680</v>
      </c>
      <c r="E142" s="64" t="s">
        <v>878</v>
      </c>
      <c r="F142" s="37" t="s">
        <v>880</v>
      </c>
      <c r="G142" s="38">
        <v>1661</v>
      </c>
      <c r="H142" s="38">
        <v>1640.9</v>
      </c>
      <c r="I142" s="39">
        <f t="shared" si="4"/>
        <v>98.78988561107766</v>
      </c>
      <c r="J142" s="6">
        <f>SUM('[1]ведомствен.'!G877)</f>
        <v>1661</v>
      </c>
      <c r="K142" s="6">
        <f>SUM('[1]ведомствен.'!H877)</f>
        <v>1640.9</v>
      </c>
    </row>
    <row r="143" spans="1:9" ht="15">
      <c r="A143" s="65" t="s">
        <v>742</v>
      </c>
      <c r="B143" s="66"/>
      <c r="C143" s="66" t="s">
        <v>688</v>
      </c>
      <c r="D143" s="66" t="s">
        <v>680</v>
      </c>
      <c r="E143" s="67" t="s">
        <v>743</v>
      </c>
      <c r="F143" s="68"/>
      <c r="G143" s="38">
        <f>SUM(G144)</f>
        <v>1400</v>
      </c>
      <c r="H143" s="38">
        <f>SUM(H144)</f>
        <v>1400</v>
      </c>
      <c r="I143" s="39">
        <f aca="true" t="shared" si="5" ref="I143:I206">SUM(H143/G143*100)</f>
        <v>100</v>
      </c>
    </row>
    <row r="144" spans="1:9" ht="42.75">
      <c r="A144" s="54" t="s">
        <v>805</v>
      </c>
      <c r="B144" s="66"/>
      <c r="C144" s="66" t="s">
        <v>688</v>
      </c>
      <c r="D144" s="66" t="s">
        <v>680</v>
      </c>
      <c r="E144" s="66" t="s">
        <v>881</v>
      </c>
      <c r="F144" s="69" t="s">
        <v>806</v>
      </c>
      <c r="G144" s="38">
        <f>SUM(G145)</f>
        <v>1400</v>
      </c>
      <c r="H144" s="38">
        <f>SUM(H145)</f>
        <v>1400</v>
      </c>
      <c r="I144" s="39">
        <f t="shared" si="5"/>
        <v>100</v>
      </c>
    </row>
    <row r="145" spans="1:11" ht="42" customHeight="1">
      <c r="A145" s="46" t="s">
        <v>882</v>
      </c>
      <c r="B145" s="70"/>
      <c r="C145" s="66" t="s">
        <v>688</v>
      </c>
      <c r="D145" s="66" t="s">
        <v>680</v>
      </c>
      <c r="E145" s="66" t="s">
        <v>883</v>
      </c>
      <c r="F145" s="69" t="s">
        <v>806</v>
      </c>
      <c r="G145" s="71">
        <v>1400</v>
      </c>
      <c r="H145" s="71">
        <v>1400</v>
      </c>
      <c r="I145" s="39">
        <f t="shared" si="5"/>
        <v>100</v>
      </c>
      <c r="J145" s="6">
        <f>SUM('[1]ведомствен.'!G880)</f>
        <v>1400</v>
      </c>
      <c r="K145" s="6">
        <f>SUM('[1]ведомствен.'!H880)</f>
        <v>1400</v>
      </c>
    </row>
    <row r="146" spans="1:9" ht="42.75" customHeight="1" hidden="1">
      <c r="A146" s="46" t="s">
        <v>884</v>
      </c>
      <c r="B146" s="70"/>
      <c r="C146" s="66" t="s">
        <v>688</v>
      </c>
      <c r="D146" s="66" t="s">
        <v>680</v>
      </c>
      <c r="E146" s="66" t="s">
        <v>885</v>
      </c>
      <c r="F146" s="69" t="s">
        <v>806</v>
      </c>
      <c r="G146" s="71"/>
      <c r="H146" s="71"/>
      <c r="I146" s="39" t="e">
        <f t="shared" si="5"/>
        <v>#DIV/0!</v>
      </c>
    </row>
    <row r="147" spans="1:9" ht="45.75" customHeight="1">
      <c r="A147" s="54" t="s">
        <v>886</v>
      </c>
      <c r="B147" s="35"/>
      <c r="C147" s="53" t="s">
        <v>688</v>
      </c>
      <c r="D147" s="53" t="s">
        <v>887</v>
      </c>
      <c r="E147" s="53"/>
      <c r="F147" s="41"/>
      <c r="G147" s="38">
        <f>SUM(G151+G156+G159+G162)+G149</f>
        <v>25807.000000000004</v>
      </c>
      <c r="H147" s="38">
        <f>SUM(H151+H156+H159+H162)+H149</f>
        <v>25805.800000000003</v>
      </c>
      <c r="I147" s="39">
        <f t="shared" si="5"/>
        <v>99.9953500988104</v>
      </c>
    </row>
    <row r="148" spans="1:9" ht="18" customHeight="1" hidden="1">
      <c r="A148" s="34" t="s">
        <v>769</v>
      </c>
      <c r="B148" s="35"/>
      <c r="C148" s="53" t="s">
        <v>688</v>
      </c>
      <c r="D148" s="53" t="s">
        <v>887</v>
      </c>
      <c r="E148" s="53" t="s">
        <v>771</v>
      </c>
      <c r="F148" s="41"/>
      <c r="G148" s="38">
        <f>SUM(G149)</f>
        <v>0</v>
      </c>
      <c r="H148" s="38">
        <f>SUM(H149)</f>
        <v>0</v>
      </c>
      <c r="I148" s="39" t="e">
        <f t="shared" si="5"/>
        <v>#DIV/0!</v>
      </c>
    </row>
    <row r="149" spans="1:9" ht="18.75" customHeight="1" hidden="1">
      <c r="A149" s="34" t="s">
        <v>740</v>
      </c>
      <c r="B149" s="35"/>
      <c r="C149" s="53" t="s">
        <v>688</v>
      </c>
      <c r="D149" s="53" t="s">
        <v>887</v>
      </c>
      <c r="E149" s="53" t="s">
        <v>741</v>
      </c>
      <c r="F149" s="41"/>
      <c r="G149" s="38">
        <f>SUM(G150)</f>
        <v>0</v>
      </c>
      <c r="H149" s="38">
        <f>SUM(H150)</f>
        <v>0</v>
      </c>
      <c r="I149" s="39" t="e">
        <f t="shared" si="5"/>
        <v>#DIV/0!</v>
      </c>
    </row>
    <row r="150" spans="1:9" ht="18" customHeight="1" hidden="1">
      <c r="A150" s="40" t="s">
        <v>685</v>
      </c>
      <c r="B150" s="35"/>
      <c r="C150" s="53" t="s">
        <v>688</v>
      </c>
      <c r="D150" s="53" t="s">
        <v>887</v>
      </c>
      <c r="E150" s="53" t="s">
        <v>741</v>
      </c>
      <c r="F150" s="41" t="s">
        <v>686</v>
      </c>
      <c r="G150" s="38"/>
      <c r="H150" s="38"/>
      <c r="I150" s="39" t="e">
        <f t="shared" si="5"/>
        <v>#DIV/0!</v>
      </c>
    </row>
    <row r="151" spans="1:9" ht="30" customHeight="1">
      <c r="A151" s="54" t="s">
        <v>888</v>
      </c>
      <c r="B151" s="35"/>
      <c r="C151" s="53" t="s">
        <v>688</v>
      </c>
      <c r="D151" s="53" t="s">
        <v>887</v>
      </c>
      <c r="E151" s="53" t="s">
        <v>889</v>
      </c>
      <c r="F151" s="41"/>
      <c r="G151" s="38">
        <f>SUM(G152)+G154</f>
        <v>16372.7</v>
      </c>
      <c r="H151" s="38">
        <f>SUM(H152)+H154</f>
        <v>16372.7</v>
      </c>
      <c r="I151" s="39">
        <f t="shared" si="5"/>
        <v>100</v>
      </c>
    </row>
    <row r="152" spans="1:9" ht="27" customHeight="1">
      <c r="A152" s="54" t="s">
        <v>890</v>
      </c>
      <c r="B152" s="35"/>
      <c r="C152" s="53" t="s">
        <v>688</v>
      </c>
      <c r="D152" s="53" t="s">
        <v>887</v>
      </c>
      <c r="E152" s="53" t="s">
        <v>891</v>
      </c>
      <c r="F152" s="41"/>
      <c r="G152" s="38">
        <f>SUM(G153)</f>
        <v>687</v>
      </c>
      <c r="H152" s="38">
        <f>SUM(H153)</f>
        <v>687</v>
      </c>
      <c r="I152" s="39">
        <f t="shared" si="5"/>
        <v>100</v>
      </c>
    </row>
    <row r="153" spans="1:11" ht="15">
      <c r="A153" s="40" t="s">
        <v>685</v>
      </c>
      <c r="B153" s="35"/>
      <c r="C153" s="53" t="s">
        <v>688</v>
      </c>
      <c r="D153" s="53" t="s">
        <v>887</v>
      </c>
      <c r="E153" s="53" t="s">
        <v>891</v>
      </c>
      <c r="F153" s="41" t="s">
        <v>686</v>
      </c>
      <c r="G153" s="38">
        <v>687</v>
      </c>
      <c r="H153" s="38">
        <v>687</v>
      </c>
      <c r="I153" s="39">
        <f t="shared" si="5"/>
        <v>100</v>
      </c>
      <c r="J153" s="6">
        <f>SUM('[1]ведомствен.'!G114)</f>
        <v>687</v>
      </c>
      <c r="K153" s="6">
        <f>SUM('[1]ведомствен.'!H114)</f>
        <v>687</v>
      </c>
    </row>
    <row r="154" spans="1:9" ht="28.5">
      <c r="A154" s="40" t="s">
        <v>892</v>
      </c>
      <c r="B154" s="35"/>
      <c r="C154" s="53" t="s">
        <v>688</v>
      </c>
      <c r="D154" s="53" t="s">
        <v>887</v>
      </c>
      <c r="E154" s="53" t="s">
        <v>893</v>
      </c>
      <c r="F154" s="41"/>
      <c r="G154" s="38">
        <f>SUM(G155)</f>
        <v>15685.7</v>
      </c>
      <c r="H154" s="38">
        <f>SUM(H155)</f>
        <v>15685.7</v>
      </c>
      <c r="I154" s="39">
        <f t="shared" si="5"/>
        <v>100</v>
      </c>
    </row>
    <row r="155" spans="1:11" ht="15">
      <c r="A155" s="40" t="s">
        <v>767</v>
      </c>
      <c r="B155" s="35"/>
      <c r="C155" s="53" t="s">
        <v>688</v>
      </c>
      <c r="D155" s="53" t="s">
        <v>887</v>
      </c>
      <c r="E155" s="53" t="s">
        <v>893</v>
      </c>
      <c r="F155" s="41" t="s">
        <v>768</v>
      </c>
      <c r="G155" s="38">
        <v>15685.7</v>
      </c>
      <c r="H155" s="38">
        <v>15685.7</v>
      </c>
      <c r="I155" s="39">
        <f t="shared" si="5"/>
        <v>100</v>
      </c>
      <c r="J155" s="6">
        <f>SUM('[1]ведомствен.'!G116)</f>
        <v>15685.699999999999</v>
      </c>
      <c r="K155" s="6">
        <f>SUM('[1]ведомствен.'!H116)</f>
        <v>15685.7</v>
      </c>
    </row>
    <row r="156" spans="1:9" ht="15">
      <c r="A156" s="54" t="s">
        <v>894</v>
      </c>
      <c r="B156" s="66"/>
      <c r="C156" s="66" t="s">
        <v>688</v>
      </c>
      <c r="D156" s="66" t="s">
        <v>887</v>
      </c>
      <c r="E156" s="66" t="s">
        <v>895</v>
      </c>
      <c r="F156" s="69"/>
      <c r="G156" s="38">
        <f>SUM(G157)</f>
        <v>300.5</v>
      </c>
      <c r="H156" s="38">
        <f>SUM(H157)</f>
        <v>300.2</v>
      </c>
      <c r="I156" s="39">
        <f t="shared" si="5"/>
        <v>99.90016638935107</v>
      </c>
    </row>
    <row r="157" spans="1:9" ht="28.5">
      <c r="A157" s="54" t="s">
        <v>896</v>
      </c>
      <c r="B157" s="66"/>
      <c r="C157" s="66" t="s">
        <v>688</v>
      </c>
      <c r="D157" s="66" t="s">
        <v>887</v>
      </c>
      <c r="E157" s="66" t="s">
        <v>897</v>
      </c>
      <c r="F157" s="69"/>
      <c r="G157" s="38">
        <f>SUM(G158)</f>
        <v>300.5</v>
      </c>
      <c r="H157" s="38">
        <f>SUM(H158)</f>
        <v>300.2</v>
      </c>
      <c r="I157" s="39">
        <f t="shared" si="5"/>
        <v>99.90016638935107</v>
      </c>
    </row>
    <row r="158" spans="1:11" ht="19.5" customHeight="1">
      <c r="A158" s="40" t="s">
        <v>685</v>
      </c>
      <c r="B158" s="66"/>
      <c r="C158" s="66" t="s">
        <v>688</v>
      </c>
      <c r="D158" s="66" t="s">
        <v>887</v>
      </c>
      <c r="E158" s="66" t="s">
        <v>897</v>
      </c>
      <c r="F158" s="69" t="s">
        <v>686</v>
      </c>
      <c r="G158" s="38">
        <f>320.5-20</f>
        <v>300.5</v>
      </c>
      <c r="H158" s="38">
        <v>300.2</v>
      </c>
      <c r="I158" s="39">
        <f t="shared" si="5"/>
        <v>99.90016638935107</v>
      </c>
      <c r="J158" s="6">
        <f>SUM('[1]ведомствен.'!G119)</f>
        <v>300.5</v>
      </c>
      <c r="K158" s="6">
        <f>SUM('[1]ведомствен.'!H119)</f>
        <v>300.2</v>
      </c>
    </row>
    <row r="159" spans="1:9" ht="51" customHeight="1">
      <c r="A159" s="34" t="s">
        <v>898</v>
      </c>
      <c r="B159" s="35"/>
      <c r="C159" s="53" t="s">
        <v>688</v>
      </c>
      <c r="D159" s="53" t="s">
        <v>887</v>
      </c>
      <c r="E159" s="53" t="s">
        <v>899</v>
      </c>
      <c r="F159" s="41"/>
      <c r="G159" s="38">
        <f>SUM(G160)</f>
        <v>8852.1</v>
      </c>
      <c r="H159" s="38">
        <f>SUM(H160)</f>
        <v>8851.2</v>
      </c>
      <c r="I159" s="39">
        <f t="shared" si="5"/>
        <v>99.98983292100179</v>
      </c>
    </row>
    <row r="160" spans="1:9" ht="21.75" customHeight="1">
      <c r="A160" s="34" t="s">
        <v>780</v>
      </c>
      <c r="B160" s="35"/>
      <c r="C160" s="53" t="s">
        <v>688</v>
      </c>
      <c r="D160" s="53" t="s">
        <v>887</v>
      </c>
      <c r="E160" s="53" t="s">
        <v>900</v>
      </c>
      <c r="F160" s="41"/>
      <c r="G160" s="38">
        <f>SUM(G161)</f>
        <v>8852.1</v>
      </c>
      <c r="H160" s="38">
        <f>SUM(H161)</f>
        <v>8851.2</v>
      </c>
      <c r="I160" s="39">
        <f t="shared" si="5"/>
        <v>99.98983292100179</v>
      </c>
    </row>
    <row r="161" spans="1:11" ht="15.75" customHeight="1">
      <c r="A161" s="57" t="s">
        <v>782</v>
      </c>
      <c r="B161" s="72"/>
      <c r="C161" s="73" t="s">
        <v>688</v>
      </c>
      <c r="D161" s="73" t="s">
        <v>887</v>
      </c>
      <c r="E161" s="73" t="s">
        <v>900</v>
      </c>
      <c r="F161" s="42" t="s">
        <v>783</v>
      </c>
      <c r="G161" s="38">
        <v>8852.1</v>
      </c>
      <c r="H161" s="38">
        <v>8851.2</v>
      </c>
      <c r="I161" s="39">
        <f t="shared" si="5"/>
        <v>99.98983292100179</v>
      </c>
      <c r="J161" s="6">
        <f>SUM('[1]ведомствен.'!G122)+'[1]ведомствен.'!G494</f>
        <v>8852.1</v>
      </c>
      <c r="K161" s="6">
        <f>SUM('[1]ведомствен.'!H122)+'[1]ведомствен.'!H494</f>
        <v>8851.199999999999</v>
      </c>
    </row>
    <row r="162" spans="1:11" s="77" customFormat="1" ht="15">
      <c r="A162" s="74" t="s">
        <v>742</v>
      </c>
      <c r="B162" s="75"/>
      <c r="C162" s="73" t="s">
        <v>688</v>
      </c>
      <c r="D162" s="73" t="s">
        <v>887</v>
      </c>
      <c r="E162" s="53" t="s">
        <v>743</v>
      </c>
      <c r="F162" s="42"/>
      <c r="G162" s="38">
        <f>SUM(G163)</f>
        <v>281.7</v>
      </c>
      <c r="H162" s="38">
        <f>SUM(H163)</f>
        <v>281.7</v>
      </c>
      <c r="I162" s="39">
        <f>SUM(H162/G162*100)</f>
        <v>100</v>
      </c>
      <c r="J162" s="76"/>
      <c r="K162" s="76"/>
    </row>
    <row r="163" spans="1:11" s="77" customFormat="1" ht="42.75" customHeight="1">
      <c r="A163" s="74" t="s">
        <v>901</v>
      </c>
      <c r="B163" s="75"/>
      <c r="C163" s="73" t="s">
        <v>688</v>
      </c>
      <c r="D163" s="73" t="s">
        <v>887</v>
      </c>
      <c r="E163" s="53" t="s">
        <v>902</v>
      </c>
      <c r="F163" s="42"/>
      <c r="G163" s="38">
        <f>SUM(G164)</f>
        <v>281.7</v>
      </c>
      <c r="H163" s="38">
        <f>SUM(H164)</f>
        <v>281.7</v>
      </c>
      <c r="I163" s="39">
        <f>SUM(H163/G163*100)</f>
        <v>100</v>
      </c>
      <c r="J163" s="76"/>
      <c r="K163" s="76"/>
    </row>
    <row r="164" spans="1:11" ht="17.25" customHeight="1">
      <c r="A164" s="34" t="s">
        <v>903</v>
      </c>
      <c r="B164" s="75"/>
      <c r="C164" s="73" t="s">
        <v>688</v>
      </c>
      <c r="D164" s="73" t="s">
        <v>887</v>
      </c>
      <c r="E164" s="53" t="s">
        <v>902</v>
      </c>
      <c r="F164" s="42" t="s">
        <v>904</v>
      </c>
      <c r="G164" s="38">
        <v>281.7</v>
      </c>
      <c r="H164" s="38">
        <v>281.7</v>
      </c>
      <c r="I164" s="39"/>
      <c r="J164">
        <f>SUM('[1]ведомствен.'!G125)</f>
        <v>281.7</v>
      </c>
      <c r="K164">
        <f>SUM('[1]ведомствен.'!H125)</f>
        <v>281.7</v>
      </c>
    </row>
    <row r="165" spans="1:9" ht="28.5" customHeight="1" hidden="1">
      <c r="A165" s="54" t="s">
        <v>905</v>
      </c>
      <c r="B165" s="35"/>
      <c r="C165" s="53" t="s">
        <v>688</v>
      </c>
      <c r="D165" s="53" t="s">
        <v>773</v>
      </c>
      <c r="E165" s="66"/>
      <c r="F165" s="41"/>
      <c r="G165" s="38">
        <f>SUM(G166+G169)</f>
        <v>0</v>
      </c>
      <c r="H165" s="38">
        <f>SUM(H166+H169)</f>
        <v>0</v>
      </c>
      <c r="I165" s="39" t="e">
        <f t="shared" si="5"/>
        <v>#DIV/0!</v>
      </c>
    </row>
    <row r="166" spans="1:9" ht="15.75" customHeight="1" hidden="1">
      <c r="A166" s="54" t="s">
        <v>906</v>
      </c>
      <c r="B166" s="35"/>
      <c r="C166" s="53" t="s">
        <v>688</v>
      </c>
      <c r="D166" s="53" t="s">
        <v>773</v>
      </c>
      <c r="E166" s="66" t="s">
        <v>907</v>
      </c>
      <c r="F166" s="41"/>
      <c r="G166" s="38">
        <f>SUM(G167)</f>
        <v>0</v>
      </c>
      <c r="H166" s="38">
        <f>SUM(H167)</f>
        <v>0</v>
      </c>
      <c r="I166" s="39" t="e">
        <f t="shared" si="5"/>
        <v>#DIV/0!</v>
      </c>
    </row>
    <row r="167" spans="1:9" ht="16.5" customHeight="1" hidden="1">
      <c r="A167" s="54" t="s">
        <v>908</v>
      </c>
      <c r="B167" s="35"/>
      <c r="C167" s="53" t="s">
        <v>688</v>
      </c>
      <c r="D167" s="53" t="s">
        <v>773</v>
      </c>
      <c r="E167" s="66" t="s">
        <v>909</v>
      </c>
      <c r="F167" s="41"/>
      <c r="G167" s="38">
        <f>SUM(G168)</f>
        <v>0</v>
      </c>
      <c r="H167" s="38">
        <f>SUM(H168)</f>
        <v>0</v>
      </c>
      <c r="I167" s="39" t="e">
        <f t="shared" si="5"/>
        <v>#DIV/0!</v>
      </c>
    </row>
    <row r="168" spans="1:9" ht="13.5" customHeight="1" hidden="1">
      <c r="A168" s="51" t="s">
        <v>790</v>
      </c>
      <c r="B168" s="35"/>
      <c r="C168" s="53" t="s">
        <v>688</v>
      </c>
      <c r="D168" s="53" t="s">
        <v>773</v>
      </c>
      <c r="E168" s="66" t="s">
        <v>909</v>
      </c>
      <c r="F168" s="41" t="s">
        <v>791</v>
      </c>
      <c r="G168" s="38"/>
      <c r="H168" s="38"/>
      <c r="I168" s="39" t="e">
        <f t="shared" si="5"/>
        <v>#DIV/0!</v>
      </c>
    </row>
    <row r="169" spans="1:9" ht="15" customHeight="1" hidden="1">
      <c r="A169" s="54" t="s">
        <v>906</v>
      </c>
      <c r="B169" s="35"/>
      <c r="C169" s="53" t="s">
        <v>688</v>
      </c>
      <c r="D169" s="53" t="s">
        <v>910</v>
      </c>
      <c r="E169" s="66" t="s">
        <v>907</v>
      </c>
      <c r="F169" s="41"/>
      <c r="G169" s="38">
        <f>SUM(G170)</f>
        <v>0</v>
      </c>
      <c r="H169" s="38">
        <f>SUM(H170)</f>
        <v>0</v>
      </c>
      <c r="I169" s="39" t="e">
        <f t="shared" si="5"/>
        <v>#DIV/0!</v>
      </c>
    </row>
    <row r="170" spans="1:9" ht="42.75" customHeight="1" hidden="1">
      <c r="A170" s="54" t="s">
        <v>908</v>
      </c>
      <c r="B170" s="35"/>
      <c r="C170" s="53" t="s">
        <v>688</v>
      </c>
      <c r="D170" s="53" t="s">
        <v>910</v>
      </c>
      <c r="E170" s="66" t="s">
        <v>909</v>
      </c>
      <c r="F170" s="41"/>
      <c r="G170" s="38"/>
      <c r="H170" s="38"/>
      <c r="I170" s="39" t="e">
        <f t="shared" si="5"/>
        <v>#DIV/0!</v>
      </c>
    </row>
    <row r="171" spans="1:9" ht="14.25" customHeight="1" hidden="1">
      <c r="A171" s="51" t="s">
        <v>790</v>
      </c>
      <c r="B171" s="35"/>
      <c r="C171" s="53" t="s">
        <v>688</v>
      </c>
      <c r="D171" s="53" t="s">
        <v>910</v>
      </c>
      <c r="E171" s="66" t="s">
        <v>909</v>
      </c>
      <c r="F171" s="41" t="s">
        <v>791</v>
      </c>
      <c r="G171" s="38">
        <f>SUM('[2]Ведомств.'!F141)</f>
        <v>0</v>
      </c>
      <c r="H171" s="38">
        <f>SUM('[2]Ведомств.'!G141)</f>
        <v>0</v>
      </c>
      <c r="I171" s="39" t="e">
        <f t="shared" si="5"/>
        <v>#DIV/0!</v>
      </c>
    </row>
    <row r="172" spans="1:9" ht="15" customHeight="1" hidden="1">
      <c r="A172" s="54"/>
      <c r="B172" s="35"/>
      <c r="C172" s="53"/>
      <c r="D172" s="53"/>
      <c r="E172" s="66"/>
      <c r="F172" s="41"/>
      <c r="G172" s="38"/>
      <c r="H172" s="38"/>
      <c r="I172" s="39" t="e">
        <f t="shared" si="5"/>
        <v>#DIV/0!</v>
      </c>
    </row>
    <row r="173" spans="1:11" s="33" customFormat="1" ht="15.75">
      <c r="A173" s="58" t="s">
        <v>711</v>
      </c>
      <c r="B173" s="59"/>
      <c r="C173" s="78" t="s">
        <v>712</v>
      </c>
      <c r="D173" s="78"/>
      <c r="E173" s="78"/>
      <c r="F173" s="79"/>
      <c r="G173" s="62">
        <f>SUM(G174+G191)</f>
        <v>79139.7</v>
      </c>
      <c r="H173" s="62">
        <f>SUM(H174+H191)</f>
        <v>79139.5</v>
      </c>
      <c r="I173" s="63">
        <f t="shared" si="5"/>
        <v>99.99974728233744</v>
      </c>
      <c r="J173" s="32"/>
      <c r="K173" s="32"/>
    </row>
    <row r="174" spans="1:9" ht="14.25" customHeight="1">
      <c r="A174" s="34" t="s">
        <v>713</v>
      </c>
      <c r="B174" s="35"/>
      <c r="C174" s="36" t="s">
        <v>712</v>
      </c>
      <c r="D174" s="36" t="s">
        <v>714</v>
      </c>
      <c r="E174" s="36"/>
      <c r="F174" s="37"/>
      <c r="G174" s="38">
        <f>SUM(G182)+G177+G175+G188</f>
        <v>77692</v>
      </c>
      <c r="H174" s="38">
        <f>SUM(H182)+H177+H175+H188</f>
        <v>77692</v>
      </c>
      <c r="I174" s="39">
        <f t="shared" si="5"/>
        <v>100</v>
      </c>
    </row>
    <row r="175" spans="1:9" ht="14.25" customHeight="1">
      <c r="A175" s="34" t="s">
        <v>911</v>
      </c>
      <c r="B175" s="35"/>
      <c r="C175" s="36" t="s">
        <v>712</v>
      </c>
      <c r="D175" s="36" t="s">
        <v>714</v>
      </c>
      <c r="E175" s="53" t="s">
        <v>912</v>
      </c>
      <c r="F175" s="41"/>
      <c r="G175" s="38">
        <f>SUM(G176)+G179+G180</f>
        <v>32769</v>
      </c>
      <c r="H175" s="38">
        <f>SUM(H176)+H179+H180</f>
        <v>32070.9</v>
      </c>
      <c r="I175" s="39">
        <f t="shared" si="5"/>
        <v>97.86963288473864</v>
      </c>
    </row>
    <row r="176" spans="1:11" ht="17.25" customHeight="1">
      <c r="A176" s="34" t="s">
        <v>903</v>
      </c>
      <c r="B176" s="35"/>
      <c r="C176" s="36" t="s">
        <v>712</v>
      </c>
      <c r="D176" s="36" t="s">
        <v>714</v>
      </c>
      <c r="E176" s="53" t="s">
        <v>912</v>
      </c>
      <c r="F176" s="37" t="s">
        <v>904</v>
      </c>
      <c r="G176" s="38">
        <v>30639.5</v>
      </c>
      <c r="H176" s="38">
        <v>29941.4</v>
      </c>
      <c r="I176" s="39">
        <f t="shared" si="5"/>
        <v>97.72156856345568</v>
      </c>
      <c r="J176" s="6">
        <f>SUM('[1]ведомствен.'!G133+'[1]ведомствен.'!G498)</f>
        <v>30639.5</v>
      </c>
      <c r="K176" s="6">
        <f>SUM('[1]ведомствен.'!H133+'[1]ведомствен.'!H498)</f>
        <v>29941.4</v>
      </c>
    </row>
    <row r="177" spans="1:9" ht="17.25" customHeight="1" hidden="1">
      <c r="A177" s="34" t="s">
        <v>769</v>
      </c>
      <c r="B177" s="35"/>
      <c r="C177" s="36" t="s">
        <v>712</v>
      </c>
      <c r="D177" s="36" t="s">
        <v>714</v>
      </c>
      <c r="E177" s="53" t="s">
        <v>771</v>
      </c>
      <c r="F177" s="41"/>
      <c r="G177" s="38">
        <f>SUM(G178)</f>
        <v>0</v>
      </c>
      <c r="H177" s="38">
        <f>SUM(H178)</f>
        <v>0</v>
      </c>
      <c r="I177" s="39" t="e">
        <f t="shared" si="5"/>
        <v>#DIV/0!</v>
      </c>
    </row>
    <row r="178" spans="1:9" ht="18" customHeight="1" hidden="1">
      <c r="A178" s="34" t="s">
        <v>913</v>
      </c>
      <c r="B178" s="35"/>
      <c r="C178" s="36" t="s">
        <v>712</v>
      </c>
      <c r="D178" s="36" t="s">
        <v>714</v>
      </c>
      <c r="E178" s="53" t="s">
        <v>771</v>
      </c>
      <c r="F178" s="41" t="s">
        <v>914</v>
      </c>
      <c r="G178" s="38"/>
      <c r="H178" s="38"/>
      <c r="I178" s="39" t="e">
        <f t="shared" si="5"/>
        <v>#DIV/0!</v>
      </c>
    </row>
    <row r="179" spans="1:9" ht="18" customHeight="1" hidden="1">
      <c r="A179" s="34" t="s">
        <v>903</v>
      </c>
      <c r="B179" s="35"/>
      <c r="C179" s="36" t="s">
        <v>712</v>
      </c>
      <c r="D179" s="36" t="s">
        <v>714</v>
      </c>
      <c r="E179" s="53" t="s">
        <v>912</v>
      </c>
      <c r="F179" s="41" t="s">
        <v>686</v>
      </c>
      <c r="G179" s="38"/>
      <c r="H179" s="38"/>
      <c r="I179" s="39" t="e">
        <f t="shared" si="5"/>
        <v>#DIV/0!</v>
      </c>
    </row>
    <row r="180" spans="1:9" ht="72.75" customHeight="1">
      <c r="A180" s="80" t="s">
        <v>915</v>
      </c>
      <c r="B180" s="35"/>
      <c r="C180" s="36" t="s">
        <v>712</v>
      </c>
      <c r="D180" s="36" t="s">
        <v>714</v>
      </c>
      <c r="E180" s="53" t="s">
        <v>916</v>
      </c>
      <c r="F180" s="41"/>
      <c r="G180" s="38">
        <f>SUM(G181)</f>
        <v>2129.5</v>
      </c>
      <c r="H180" s="38">
        <f>SUM(H181)</f>
        <v>2129.5</v>
      </c>
      <c r="I180" s="39">
        <f t="shared" si="5"/>
        <v>100</v>
      </c>
    </row>
    <row r="181" spans="1:11" ht="18" customHeight="1">
      <c r="A181" s="34" t="s">
        <v>903</v>
      </c>
      <c r="B181" s="35"/>
      <c r="C181" s="36" t="s">
        <v>712</v>
      </c>
      <c r="D181" s="36" t="s">
        <v>714</v>
      </c>
      <c r="E181" s="53" t="s">
        <v>916</v>
      </c>
      <c r="F181" s="41" t="s">
        <v>904</v>
      </c>
      <c r="G181" s="38">
        <v>2129.5</v>
      </c>
      <c r="H181" s="38">
        <v>2129.5</v>
      </c>
      <c r="I181" s="39">
        <f t="shared" si="5"/>
        <v>100</v>
      </c>
      <c r="J181" s="6">
        <f>SUM('[1]ведомствен.'!G500)</f>
        <v>2129.5</v>
      </c>
      <c r="K181" s="6">
        <f>SUM('[1]ведомствен.'!H500)</f>
        <v>2129.5</v>
      </c>
    </row>
    <row r="182" spans="1:9" ht="16.5" customHeight="1">
      <c r="A182" s="34" t="s">
        <v>715</v>
      </c>
      <c r="B182" s="35"/>
      <c r="C182" s="36" t="s">
        <v>712</v>
      </c>
      <c r="D182" s="36" t="s">
        <v>714</v>
      </c>
      <c r="E182" s="36" t="s">
        <v>716</v>
      </c>
      <c r="F182" s="37"/>
      <c r="G182" s="38">
        <f>SUM(G183)</f>
        <v>39376.9</v>
      </c>
      <c r="H182" s="38">
        <f>SUM(H183)</f>
        <v>40075</v>
      </c>
      <c r="I182" s="39">
        <f t="shared" si="5"/>
        <v>101.77286683309251</v>
      </c>
    </row>
    <row r="183" spans="1:9" ht="15" customHeight="1">
      <c r="A183" s="34" t="s">
        <v>717</v>
      </c>
      <c r="B183" s="35"/>
      <c r="C183" s="36" t="s">
        <v>712</v>
      </c>
      <c r="D183" s="36" t="s">
        <v>714</v>
      </c>
      <c r="E183" s="36" t="s">
        <v>917</v>
      </c>
      <c r="F183" s="37"/>
      <c r="G183" s="38">
        <f>SUM(G184)+G185+G187</f>
        <v>39376.9</v>
      </c>
      <c r="H183" s="38">
        <f>SUM(H184)+H185+H187</f>
        <v>40075</v>
      </c>
      <c r="I183" s="39">
        <f t="shared" si="5"/>
        <v>101.77286683309251</v>
      </c>
    </row>
    <row r="184" spans="1:11" ht="12.75" customHeight="1">
      <c r="A184" s="34" t="s">
        <v>903</v>
      </c>
      <c r="B184" s="35"/>
      <c r="C184" s="36" t="s">
        <v>712</v>
      </c>
      <c r="D184" s="36" t="s">
        <v>714</v>
      </c>
      <c r="E184" s="36" t="s">
        <v>917</v>
      </c>
      <c r="F184" s="37" t="s">
        <v>904</v>
      </c>
      <c r="G184" s="38">
        <v>37000</v>
      </c>
      <c r="H184" s="38">
        <v>37698.1</v>
      </c>
      <c r="I184" s="39">
        <f t="shared" si="5"/>
        <v>101.88675675675675</v>
      </c>
      <c r="J184" s="6">
        <f>SUM('[1]ведомствен.'!G137)</f>
        <v>37000</v>
      </c>
      <c r="K184" s="6">
        <f>SUM('[1]ведомствен.'!H137)</f>
        <v>37698.1</v>
      </c>
    </row>
    <row r="185" spans="1:9" ht="57" customHeight="1" hidden="1">
      <c r="A185" s="34" t="s">
        <v>918</v>
      </c>
      <c r="B185" s="35"/>
      <c r="C185" s="36" t="s">
        <v>712</v>
      </c>
      <c r="D185" s="36" t="s">
        <v>714</v>
      </c>
      <c r="E185" s="36" t="s">
        <v>919</v>
      </c>
      <c r="F185" s="37"/>
      <c r="G185" s="38">
        <f>SUM(G186)</f>
        <v>0</v>
      </c>
      <c r="H185" s="38">
        <f>SUM(H186)</f>
        <v>0</v>
      </c>
      <c r="I185" s="39" t="e">
        <f t="shared" si="5"/>
        <v>#DIV/0!</v>
      </c>
    </row>
    <row r="186" spans="1:9" ht="18.75" customHeight="1" hidden="1">
      <c r="A186" s="34" t="s">
        <v>903</v>
      </c>
      <c r="B186" s="35"/>
      <c r="C186" s="36" t="s">
        <v>712</v>
      </c>
      <c r="D186" s="36" t="s">
        <v>714</v>
      </c>
      <c r="E186" s="36" t="s">
        <v>919</v>
      </c>
      <c r="F186" s="37" t="s">
        <v>904</v>
      </c>
      <c r="G186" s="38"/>
      <c r="H186" s="38"/>
      <c r="I186" s="39" t="e">
        <f t="shared" si="5"/>
        <v>#DIV/0!</v>
      </c>
    </row>
    <row r="187" spans="1:11" ht="18.75" customHeight="1">
      <c r="A187" s="40" t="s">
        <v>685</v>
      </c>
      <c r="B187" s="35"/>
      <c r="C187" s="36" t="s">
        <v>712</v>
      </c>
      <c r="D187" s="36" t="s">
        <v>714</v>
      </c>
      <c r="E187" s="36" t="s">
        <v>917</v>
      </c>
      <c r="F187" s="37" t="s">
        <v>686</v>
      </c>
      <c r="G187" s="38">
        <v>2376.9</v>
      </c>
      <c r="H187" s="38">
        <v>2376.9</v>
      </c>
      <c r="I187" s="39"/>
      <c r="J187" s="6">
        <f>SUM('[1]ведомствен.'!G754)</f>
        <v>2376.9</v>
      </c>
      <c r="K187" s="6">
        <f>SUM('[1]ведомствен.'!H754)</f>
        <v>2376.9</v>
      </c>
    </row>
    <row r="188" spans="1:9" s="83" customFormat="1" ht="31.5" customHeight="1">
      <c r="A188" s="54" t="s">
        <v>920</v>
      </c>
      <c r="B188" s="47"/>
      <c r="C188" s="81" t="s">
        <v>712</v>
      </c>
      <c r="D188" s="81" t="s">
        <v>714</v>
      </c>
      <c r="E188" s="81" t="s">
        <v>921</v>
      </c>
      <c r="F188" s="68"/>
      <c r="G188" s="71">
        <f>SUM(G189)</f>
        <v>5546.1</v>
      </c>
      <c r="H188" s="71">
        <f>SUM(H189)</f>
        <v>5546.1</v>
      </c>
      <c r="I188" s="82"/>
    </row>
    <row r="189" spans="1:9" s="83" customFormat="1" ht="31.5" customHeight="1">
      <c r="A189" s="54" t="s">
        <v>922</v>
      </c>
      <c r="B189" s="47"/>
      <c r="C189" s="81" t="s">
        <v>923</v>
      </c>
      <c r="D189" s="81" t="s">
        <v>714</v>
      </c>
      <c r="E189" s="81" t="s">
        <v>924</v>
      </c>
      <c r="F189" s="68"/>
      <c r="G189" s="71">
        <f>SUM(G190)</f>
        <v>5546.1</v>
      </c>
      <c r="H189" s="71">
        <f>SUM(H190)</f>
        <v>5546.1</v>
      </c>
      <c r="I189" s="82"/>
    </row>
    <row r="190" spans="1:11" s="83" customFormat="1" ht="27" customHeight="1">
      <c r="A190" s="34" t="s">
        <v>903</v>
      </c>
      <c r="B190" s="47"/>
      <c r="C190" s="81" t="s">
        <v>712</v>
      </c>
      <c r="D190" s="81" t="s">
        <v>714</v>
      </c>
      <c r="E190" s="81" t="s">
        <v>924</v>
      </c>
      <c r="F190" s="68" t="s">
        <v>904</v>
      </c>
      <c r="G190" s="71">
        <v>5546.1</v>
      </c>
      <c r="H190" s="71">
        <v>5546.1</v>
      </c>
      <c r="I190" s="82"/>
      <c r="J190" s="83">
        <f>SUM('[1]ведомствен.'!G757)</f>
        <v>5546.1</v>
      </c>
      <c r="K190" s="83">
        <f>SUM('[1]ведомствен.'!H757)</f>
        <v>5546.1</v>
      </c>
    </row>
    <row r="191" spans="1:9" ht="16.5" customHeight="1">
      <c r="A191" s="51" t="s">
        <v>719</v>
      </c>
      <c r="B191" s="52"/>
      <c r="C191" s="53" t="s">
        <v>712</v>
      </c>
      <c r="D191" s="53" t="s">
        <v>770</v>
      </c>
      <c r="E191" s="53"/>
      <c r="F191" s="41"/>
      <c r="G191" s="38">
        <f>SUM(G195+G197+G202+G192)</f>
        <v>1447.7</v>
      </c>
      <c r="H191" s="38">
        <f>SUM(H195+H197+H202+H192)</f>
        <v>1447.5</v>
      </c>
      <c r="I191" s="39">
        <f t="shared" si="5"/>
        <v>99.9861849830766</v>
      </c>
    </row>
    <row r="192" spans="1:9" ht="0.75" customHeight="1" hidden="1">
      <c r="A192" s="51" t="s">
        <v>787</v>
      </c>
      <c r="B192" s="53"/>
      <c r="C192" s="53" t="s">
        <v>712</v>
      </c>
      <c r="D192" s="53" t="s">
        <v>770</v>
      </c>
      <c r="E192" s="53" t="s">
        <v>726</v>
      </c>
      <c r="F192" s="41"/>
      <c r="G192" s="38">
        <f>SUM(G194)</f>
        <v>0</v>
      </c>
      <c r="H192" s="38">
        <f>SUM(H194)</f>
        <v>0</v>
      </c>
      <c r="I192" s="39" t="e">
        <f t="shared" si="5"/>
        <v>#DIV/0!</v>
      </c>
    </row>
    <row r="193" spans="1:9" ht="27" customHeight="1" hidden="1">
      <c r="A193" s="51" t="s">
        <v>788</v>
      </c>
      <c r="B193" s="53"/>
      <c r="C193" s="53" t="s">
        <v>712</v>
      </c>
      <c r="D193" s="53" t="s">
        <v>770</v>
      </c>
      <c r="E193" s="66" t="s">
        <v>789</v>
      </c>
      <c r="F193" s="41"/>
      <c r="G193" s="38">
        <f>SUM(G194)</f>
        <v>0</v>
      </c>
      <c r="H193" s="38">
        <f>SUM(H194)</f>
        <v>0</v>
      </c>
      <c r="I193" s="39" t="e">
        <f t="shared" si="5"/>
        <v>#DIV/0!</v>
      </c>
    </row>
    <row r="194" spans="1:9" ht="18" customHeight="1" hidden="1">
      <c r="A194" s="51" t="s">
        <v>790</v>
      </c>
      <c r="B194" s="53"/>
      <c r="C194" s="53" t="s">
        <v>712</v>
      </c>
      <c r="D194" s="53" t="s">
        <v>770</v>
      </c>
      <c r="E194" s="66" t="s">
        <v>789</v>
      </c>
      <c r="F194" s="41" t="s">
        <v>791</v>
      </c>
      <c r="G194" s="38"/>
      <c r="H194" s="38"/>
      <c r="I194" s="39" t="e">
        <f t="shared" si="5"/>
        <v>#DIV/0!</v>
      </c>
    </row>
    <row r="195" spans="1:9" ht="28.5" customHeight="1" hidden="1">
      <c r="A195" s="84" t="s">
        <v>925</v>
      </c>
      <c r="B195" s="53"/>
      <c r="C195" s="53" t="s">
        <v>712</v>
      </c>
      <c r="D195" s="53" t="s">
        <v>770</v>
      </c>
      <c r="E195" s="53" t="s">
        <v>926</v>
      </c>
      <c r="F195" s="41"/>
      <c r="G195" s="38">
        <f>SUM(G196)</f>
        <v>0</v>
      </c>
      <c r="H195" s="38">
        <f>SUM(H196)</f>
        <v>0</v>
      </c>
      <c r="I195" s="39" t="e">
        <f t="shared" si="5"/>
        <v>#DIV/0!</v>
      </c>
    </row>
    <row r="196" spans="1:9" ht="15" customHeight="1" hidden="1">
      <c r="A196" s="40" t="s">
        <v>685</v>
      </c>
      <c r="B196" s="53"/>
      <c r="C196" s="53" t="s">
        <v>712</v>
      </c>
      <c r="D196" s="53" t="s">
        <v>770</v>
      </c>
      <c r="E196" s="53" t="s">
        <v>926</v>
      </c>
      <c r="F196" s="41" t="s">
        <v>686</v>
      </c>
      <c r="G196" s="38"/>
      <c r="H196" s="38"/>
      <c r="I196" s="39" t="e">
        <f t="shared" si="5"/>
        <v>#DIV/0!</v>
      </c>
    </row>
    <row r="197" spans="1:9" ht="28.5">
      <c r="A197" s="34" t="s">
        <v>721</v>
      </c>
      <c r="B197" s="35"/>
      <c r="C197" s="53" t="s">
        <v>712</v>
      </c>
      <c r="D197" s="53" t="s">
        <v>770</v>
      </c>
      <c r="E197" s="36" t="s">
        <v>722</v>
      </c>
      <c r="F197" s="41"/>
      <c r="G197" s="38">
        <f>SUM(G198)</f>
        <v>1042.7</v>
      </c>
      <c r="H197" s="38">
        <f>SUM(H198)</f>
        <v>1042.5</v>
      </c>
      <c r="I197" s="39">
        <f t="shared" si="5"/>
        <v>99.98081902752469</v>
      </c>
    </row>
    <row r="198" spans="1:9" ht="15">
      <c r="A198" s="34" t="s">
        <v>927</v>
      </c>
      <c r="B198" s="35"/>
      <c r="C198" s="53" t="s">
        <v>712</v>
      </c>
      <c r="D198" s="53" t="s">
        <v>770</v>
      </c>
      <c r="E198" s="36" t="s">
        <v>928</v>
      </c>
      <c r="F198" s="41"/>
      <c r="G198" s="38">
        <f>SUM(G199)</f>
        <v>1042.7</v>
      </c>
      <c r="H198" s="38">
        <f>SUM(H199)</f>
        <v>1042.5</v>
      </c>
      <c r="I198" s="39">
        <f t="shared" si="5"/>
        <v>99.98081902752469</v>
      </c>
    </row>
    <row r="199" spans="1:11" ht="15.75" customHeight="1">
      <c r="A199" s="40" t="s">
        <v>685</v>
      </c>
      <c r="B199" s="35"/>
      <c r="C199" s="53" t="s">
        <v>712</v>
      </c>
      <c r="D199" s="53" t="s">
        <v>770</v>
      </c>
      <c r="E199" s="36" t="s">
        <v>928</v>
      </c>
      <c r="F199" s="41" t="s">
        <v>686</v>
      </c>
      <c r="G199" s="38">
        <v>1042.7</v>
      </c>
      <c r="H199" s="38">
        <v>1042.5</v>
      </c>
      <c r="I199" s="39">
        <f t="shared" si="5"/>
        <v>99.98081902752469</v>
      </c>
      <c r="J199" s="6">
        <f>SUM('[1]ведомствен.'!G148+'[1]ведомствен.'!G766)</f>
        <v>1042.6999999999998</v>
      </c>
      <c r="K199" s="6">
        <f>SUM('[1]ведомствен.'!H148+'[1]ведомствен.'!H766)</f>
        <v>1042.5</v>
      </c>
    </row>
    <row r="200" spans="1:9" ht="28.5" customHeight="1" hidden="1">
      <c r="A200" s="34" t="s">
        <v>721</v>
      </c>
      <c r="B200" s="35"/>
      <c r="C200" s="53" t="s">
        <v>712</v>
      </c>
      <c r="D200" s="53" t="s">
        <v>770</v>
      </c>
      <c r="E200" s="36" t="s">
        <v>722</v>
      </c>
      <c r="F200" s="41"/>
      <c r="G200" s="38">
        <f>SUM(G201)</f>
        <v>0</v>
      </c>
      <c r="H200" s="38">
        <f>SUM(H201)</f>
        <v>0</v>
      </c>
      <c r="I200" s="39" t="e">
        <f t="shared" si="5"/>
        <v>#DIV/0!</v>
      </c>
    </row>
    <row r="201" spans="1:9" ht="15" customHeight="1" hidden="1">
      <c r="A201" s="34" t="s">
        <v>723</v>
      </c>
      <c r="B201" s="35"/>
      <c r="C201" s="53" t="s">
        <v>712</v>
      </c>
      <c r="D201" s="53" t="s">
        <v>770</v>
      </c>
      <c r="E201" s="36" t="s">
        <v>722</v>
      </c>
      <c r="F201" s="41" t="s">
        <v>724</v>
      </c>
      <c r="G201" s="38"/>
      <c r="H201" s="38"/>
      <c r="I201" s="39" t="e">
        <f t="shared" si="5"/>
        <v>#DIV/0!</v>
      </c>
    </row>
    <row r="202" spans="1:9" ht="18" customHeight="1">
      <c r="A202" s="34" t="s">
        <v>742</v>
      </c>
      <c r="B202" s="35"/>
      <c r="C202" s="53" t="s">
        <v>712</v>
      </c>
      <c r="D202" s="53" t="s">
        <v>770</v>
      </c>
      <c r="E202" s="36" t="s">
        <v>743</v>
      </c>
      <c r="F202" s="41"/>
      <c r="G202" s="38">
        <f>SUM(G203)</f>
        <v>405</v>
      </c>
      <c r="H202" s="38">
        <f>SUM(H203)</f>
        <v>405</v>
      </c>
      <c r="I202" s="39">
        <f t="shared" si="5"/>
        <v>100</v>
      </c>
    </row>
    <row r="203" spans="1:9" ht="21.75" customHeight="1">
      <c r="A203" s="40" t="s">
        <v>685</v>
      </c>
      <c r="B203" s="35"/>
      <c r="C203" s="53" t="s">
        <v>712</v>
      </c>
      <c r="D203" s="53" t="s">
        <v>770</v>
      </c>
      <c r="E203" s="36" t="s">
        <v>743</v>
      </c>
      <c r="F203" s="41" t="s">
        <v>686</v>
      </c>
      <c r="G203" s="38">
        <f>SUM(G204)</f>
        <v>405</v>
      </c>
      <c r="H203" s="38">
        <f>SUM(H204)</f>
        <v>405</v>
      </c>
      <c r="I203" s="39">
        <f t="shared" si="5"/>
        <v>100</v>
      </c>
    </row>
    <row r="204" spans="1:11" ht="43.5" customHeight="1">
      <c r="A204" s="85" t="s">
        <v>929</v>
      </c>
      <c r="B204" s="52"/>
      <c r="C204" s="53" t="s">
        <v>712</v>
      </c>
      <c r="D204" s="53" t="s">
        <v>770</v>
      </c>
      <c r="E204" s="36" t="s">
        <v>930</v>
      </c>
      <c r="F204" s="41" t="s">
        <v>686</v>
      </c>
      <c r="G204" s="71">
        <f>43.3+361.7</f>
        <v>405</v>
      </c>
      <c r="H204" s="71">
        <f>43.3+361.7</f>
        <v>405</v>
      </c>
      <c r="I204" s="39">
        <f t="shared" si="5"/>
        <v>100</v>
      </c>
      <c r="J204" s="6">
        <f>SUM('[1]ведомствен.'!G153)</f>
        <v>405</v>
      </c>
      <c r="K204" s="6">
        <f>SUM('[1]ведомствен.'!H153)</f>
        <v>405</v>
      </c>
    </row>
    <row r="205" spans="1:11" s="55" customFormat="1" ht="16.5" customHeight="1" hidden="1">
      <c r="A205" s="85" t="s">
        <v>931</v>
      </c>
      <c r="B205" s="52"/>
      <c r="C205" s="53" t="s">
        <v>712</v>
      </c>
      <c r="D205" s="53" t="s">
        <v>770</v>
      </c>
      <c r="E205" s="36" t="s">
        <v>932</v>
      </c>
      <c r="F205" s="41" t="s">
        <v>686</v>
      </c>
      <c r="G205" s="71"/>
      <c r="H205" s="71"/>
      <c r="I205" s="39" t="e">
        <f t="shared" si="5"/>
        <v>#DIV/0!</v>
      </c>
      <c r="J205" s="86"/>
      <c r="K205" s="86"/>
    </row>
    <row r="206" spans="1:11" s="33" customFormat="1" ht="15.75">
      <c r="A206" s="87" t="s">
        <v>933</v>
      </c>
      <c r="B206" s="88"/>
      <c r="C206" s="60" t="s">
        <v>747</v>
      </c>
      <c r="D206" s="60"/>
      <c r="E206" s="60"/>
      <c r="F206" s="89"/>
      <c r="G206" s="62">
        <f>SUM(G207+G262+G293+G320)</f>
        <v>649607.2</v>
      </c>
      <c r="H206" s="62">
        <f>SUM(H207+H262+H293+H320)</f>
        <v>639314.4999999999</v>
      </c>
      <c r="I206" s="63">
        <f t="shared" si="5"/>
        <v>98.41555019710371</v>
      </c>
      <c r="J206" s="32"/>
      <c r="K206" s="32"/>
    </row>
    <row r="207" spans="1:9" ht="15">
      <c r="A207" s="34" t="s">
        <v>934</v>
      </c>
      <c r="B207" s="35"/>
      <c r="C207" s="36" t="s">
        <v>747</v>
      </c>
      <c r="D207" s="36" t="s">
        <v>678</v>
      </c>
      <c r="E207" s="36"/>
      <c r="F207" s="37"/>
      <c r="G207" s="38">
        <f>SUM(G228+G251+G220+G233+G208+G249+G246)</f>
        <v>266517.69999999995</v>
      </c>
      <c r="H207" s="38">
        <f>SUM(H228+H251+H220+H233+H208+H249+H246)</f>
        <v>261080.99999999997</v>
      </c>
      <c r="I207" s="39">
        <f aca="true" t="shared" si="6" ref="I207:I270">SUM(H207/G207*100)</f>
        <v>97.96009795972276</v>
      </c>
    </row>
    <row r="208" spans="1:9" ht="42.75">
      <c r="A208" s="90" t="s">
        <v>935</v>
      </c>
      <c r="B208" s="35"/>
      <c r="C208" s="36" t="s">
        <v>747</v>
      </c>
      <c r="D208" s="36" t="s">
        <v>678</v>
      </c>
      <c r="E208" s="36" t="s">
        <v>936</v>
      </c>
      <c r="F208" s="37"/>
      <c r="G208" s="38">
        <f>SUM(G209+G216)</f>
        <v>264258.19999999995</v>
      </c>
      <c r="H208" s="38">
        <f>SUM(H209+H216)</f>
        <v>258964.19999999998</v>
      </c>
      <c r="I208" s="39">
        <f t="shared" si="6"/>
        <v>97.99665630054244</v>
      </c>
    </row>
    <row r="209" spans="1:9" ht="77.25" customHeight="1">
      <c r="A209" s="90" t="s">
        <v>937</v>
      </c>
      <c r="B209" s="35"/>
      <c r="C209" s="36" t="s">
        <v>747</v>
      </c>
      <c r="D209" s="36" t="s">
        <v>678</v>
      </c>
      <c r="E209" s="36" t="s">
        <v>938</v>
      </c>
      <c r="F209" s="37"/>
      <c r="G209" s="38">
        <f>SUM(G210)+G212+G214</f>
        <v>213049.59999999998</v>
      </c>
      <c r="H209" s="38">
        <f>SUM(H210)+H212+H214</f>
        <v>211018.19999999998</v>
      </c>
      <c r="I209" s="39">
        <f t="shared" si="6"/>
        <v>99.04651311243956</v>
      </c>
    </row>
    <row r="210" spans="1:9" ht="61.5" customHeight="1">
      <c r="A210" s="90" t="s">
        <v>939</v>
      </c>
      <c r="B210" s="35"/>
      <c r="C210" s="36" t="s">
        <v>747</v>
      </c>
      <c r="D210" s="36" t="s">
        <v>678</v>
      </c>
      <c r="E210" s="36" t="s">
        <v>940</v>
      </c>
      <c r="F210" s="37"/>
      <c r="G210" s="38">
        <f>SUM(G211)</f>
        <v>34568</v>
      </c>
      <c r="H210" s="38">
        <f>SUM(H211)</f>
        <v>34568</v>
      </c>
      <c r="I210" s="39">
        <f t="shared" si="6"/>
        <v>100</v>
      </c>
    </row>
    <row r="211" spans="1:11" ht="21" customHeight="1">
      <c r="A211" s="34" t="s">
        <v>903</v>
      </c>
      <c r="B211" s="35"/>
      <c r="C211" s="36" t="s">
        <v>747</v>
      </c>
      <c r="D211" s="36" t="s">
        <v>678</v>
      </c>
      <c r="E211" s="36" t="s">
        <v>940</v>
      </c>
      <c r="F211" s="37" t="s">
        <v>904</v>
      </c>
      <c r="G211" s="38">
        <f>16568+18000</f>
        <v>34568</v>
      </c>
      <c r="H211" s="38">
        <f>16568+18000</f>
        <v>34568</v>
      </c>
      <c r="I211" s="39">
        <f t="shared" si="6"/>
        <v>100</v>
      </c>
      <c r="J211" s="6">
        <f>SUM('[1]ведомствен.'!G160)</f>
        <v>34568</v>
      </c>
      <c r="K211" s="6">
        <f>SUM('[1]ведомствен.'!H160)</f>
        <v>34568</v>
      </c>
    </row>
    <row r="212" spans="1:9" ht="58.5" customHeight="1">
      <c r="A212" s="91" t="s">
        <v>941</v>
      </c>
      <c r="B212" s="92"/>
      <c r="C212" s="36" t="s">
        <v>747</v>
      </c>
      <c r="D212" s="36" t="s">
        <v>678</v>
      </c>
      <c r="E212" s="36" t="s">
        <v>942</v>
      </c>
      <c r="F212" s="37"/>
      <c r="G212" s="38">
        <f>SUM(G213)</f>
        <v>144801.9</v>
      </c>
      <c r="H212" s="38">
        <f>SUM(H213)</f>
        <v>142932.8</v>
      </c>
      <c r="I212" s="39">
        <f t="shared" si="6"/>
        <v>98.70920202013923</v>
      </c>
    </row>
    <row r="213" spans="1:11" ht="21" customHeight="1">
      <c r="A213" s="93" t="s">
        <v>790</v>
      </c>
      <c r="B213" s="92"/>
      <c r="C213" s="36" t="s">
        <v>747</v>
      </c>
      <c r="D213" s="36" t="s">
        <v>678</v>
      </c>
      <c r="E213" s="36" t="s">
        <v>942</v>
      </c>
      <c r="F213" s="37" t="s">
        <v>791</v>
      </c>
      <c r="G213" s="38">
        <f>108161.9+36640</f>
        <v>144801.9</v>
      </c>
      <c r="H213" s="38">
        <v>142932.8</v>
      </c>
      <c r="I213" s="39">
        <f t="shared" si="6"/>
        <v>98.70920202013923</v>
      </c>
      <c r="J213" s="6">
        <f>SUM('[1]ведомствен.'!G162+'[1]ведомствен.'!G771)</f>
        <v>144801.9</v>
      </c>
      <c r="K213" s="6">
        <f>SUM('[1]ведомствен.'!H162+'[1]ведомствен.'!H771)</f>
        <v>142932.8</v>
      </c>
    </row>
    <row r="214" spans="1:9" ht="90.75" customHeight="1">
      <c r="A214" s="91" t="s">
        <v>943</v>
      </c>
      <c r="B214" s="92"/>
      <c r="C214" s="36" t="s">
        <v>747</v>
      </c>
      <c r="D214" s="36" t="s">
        <v>678</v>
      </c>
      <c r="E214" s="36" t="s">
        <v>944</v>
      </c>
      <c r="F214" s="37"/>
      <c r="G214" s="38">
        <f>SUM(G215)</f>
        <v>33679.7</v>
      </c>
      <c r="H214" s="38">
        <f>SUM(H215)</f>
        <v>33517.4</v>
      </c>
      <c r="I214" s="39">
        <f t="shared" si="6"/>
        <v>99.51810734656189</v>
      </c>
    </row>
    <row r="215" spans="1:11" ht="21" customHeight="1">
      <c r="A215" s="93" t="s">
        <v>790</v>
      </c>
      <c r="B215" s="92"/>
      <c r="C215" s="36" t="s">
        <v>747</v>
      </c>
      <c r="D215" s="36" t="s">
        <v>678</v>
      </c>
      <c r="E215" s="36" t="s">
        <v>944</v>
      </c>
      <c r="F215" s="37" t="s">
        <v>791</v>
      </c>
      <c r="G215" s="38">
        <v>33679.7</v>
      </c>
      <c r="H215" s="38">
        <v>33517.4</v>
      </c>
      <c r="I215" s="39">
        <f t="shared" si="6"/>
        <v>99.51810734656189</v>
      </c>
      <c r="J215" s="6">
        <f>SUM('[1]ведомствен.'!G164)</f>
        <v>33679.7</v>
      </c>
      <c r="K215" s="6">
        <f>SUM('[1]ведомствен.'!H164)</f>
        <v>33517.4</v>
      </c>
    </row>
    <row r="216" spans="1:9" ht="42.75">
      <c r="A216" s="94" t="s">
        <v>945</v>
      </c>
      <c r="B216" s="35"/>
      <c r="C216" s="36" t="s">
        <v>747</v>
      </c>
      <c r="D216" s="36" t="s">
        <v>678</v>
      </c>
      <c r="E216" s="36" t="s">
        <v>946</v>
      </c>
      <c r="F216" s="37"/>
      <c r="G216" s="38">
        <f>SUM(G217)+G226+G223</f>
        <v>51208.59999999999</v>
      </c>
      <c r="H216" s="38">
        <f>SUM(H217)+H226+H223</f>
        <v>47946</v>
      </c>
      <c r="I216" s="39">
        <f t="shared" si="6"/>
        <v>93.62880453673799</v>
      </c>
    </row>
    <row r="217" spans="1:9" ht="28.5">
      <c r="A217" s="56" t="s">
        <v>947</v>
      </c>
      <c r="B217" s="92"/>
      <c r="C217" s="36" t="s">
        <v>747</v>
      </c>
      <c r="D217" s="36" t="s">
        <v>678</v>
      </c>
      <c r="E217" s="36" t="s">
        <v>948</v>
      </c>
      <c r="F217" s="37"/>
      <c r="G217" s="38">
        <f>SUM(G218+G219)</f>
        <v>3450.4</v>
      </c>
      <c r="H217" s="38">
        <f>SUM(H218+H219)</f>
        <v>3450</v>
      </c>
      <c r="I217" s="39">
        <f t="shared" si="6"/>
        <v>99.98840714120102</v>
      </c>
    </row>
    <row r="218" spans="1:11" ht="15.75" customHeight="1">
      <c r="A218" s="95" t="s">
        <v>903</v>
      </c>
      <c r="B218" s="92"/>
      <c r="C218" s="36" t="s">
        <v>747</v>
      </c>
      <c r="D218" s="36" t="s">
        <v>678</v>
      </c>
      <c r="E218" s="36" t="s">
        <v>948</v>
      </c>
      <c r="F218" s="37" t="s">
        <v>904</v>
      </c>
      <c r="G218" s="38">
        <v>518.4</v>
      </c>
      <c r="H218" s="38">
        <v>518</v>
      </c>
      <c r="I218" s="39">
        <f t="shared" si="6"/>
        <v>99.92283950617285</v>
      </c>
      <c r="J218" s="6">
        <f>SUM('[1]ведомствен.'!G167)</f>
        <v>518.4000000000001</v>
      </c>
      <c r="K218" s="6">
        <f>SUM('[1]ведомствен.'!H167)</f>
        <v>518</v>
      </c>
    </row>
    <row r="219" spans="1:11" ht="30.75" customHeight="1">
      <c r="A219" s="95" t="s">
        <v>949</v>
      </c>
      <c r="B219" s="92"/>
      <c r="C219" s="36" t="s">
        <v>747</v>
      </c>
      <c r="D219" s="36" t="s">
        <v>678</v>
      </c>
      <c r="E219" s="36" t="s">
        <v>948</v>
      </c>
      <c r="F219" s="37" t="s">
        <v>950</v>
      </c>
      <c r="G219" s="38">
        <f>1405+1527</f>
        <v>2932</v>
      </c>
      <c r="H219" s="38">
        <f>1405+1527</f>
        <v>2932</v>
      </c>
      <c r="I219" s="39">
        <f t="shared" si="6"/>
        <v>100</v>
      </c>
      <c r="J219" s="6">
        <f>SUM('[1]ведомствен.'!G168)</f>
        <v>2932</v>
      </c>
      <c r="K219" s="6">
        <f>SUM('[1]ведомствен.'!H168)</f>
        <v>2932</v>
      </c>
    </row>
    <row r="220" spans="1:9" ht="28.5" customHeight="1" hidden="1">
      <c r="A220" s="51" t="s">
        <v>787</v>
      </c>
      <c r="B220" s="35"/>
      <c r="C220" s="36" t="s">
        <v>747</v>
      </c>
      <c r="D220" s="36" t="s">
        <v>678</v>
      </c>
      <c r="E220" s="36" t="s">
        <v>726</v>
      </c>
      <c r="F220" s="37"/>
      <c r="G220" s="38">
        <f>SUM(G221)</f>
        <v>0</v>
      </c>
      <c r="H220" s="38">
        <f>SUM(H221)</f>
        <v>0</v>
      </c>
      <c r="I220" s="39" t="e">
        <f t="shared" si="6"/>
        <v>#DIV/0!</v>
      </c>
    </row>
    <row r="221" spans="1:9" ht="32.25" customHeight="1" hidden="1">
      <c r="A221" s="51" t="s">
        <v>788</v>
      </c>
      <c r="B221" s="35"/>
      <c r="C221" s="36" t="s">
        <v>747</v>
      </c>
      <c r="D221" s="36" t="s">
        <v>678</v>
      </c>
      <c r="E221" s="36" t="s">
        <v>789</v>
      </c>
      <c r="F221" s="37"/>
      <c r="G221" s="38">
        <f>SUM(G222)</f>
        <v>0</v>
      </c>
      <c r="H221" s="38">
        <f>SUM(H222)</f>
        <v>0</v>
      </c>
      <c r="I221" s="39" t="e">
        <f t="shared" si="6"/>
        <v>#DIV/0!</v>
      </c>
    </row>
    <row r="222" spans="1:9" ht="17.25" customHeight="1" hidden="1">
      <c r="A222" s="51" t="s">
        <v>790</v>
      </c>
      <c r="B222" s="35"/>
      <c r="C222" s="36" t="s">
        <v>747</v>
      </c>
      <c r="D222" s="36" t="s">
        <v>678</v>
      </c>
      <c r="E222" s="36" t="s">
        <v>789</v>
      </c>
      <c r="F222" s="37" t="s">
        <v>791</v>
      </c>
      <c r="G222" s="38"/>
      <c r="H222" s="38"/>
      <c r="I222" s="39" t="e">
        <f t="shared" si="6"/>
        <v>#DIV/0!</v>
      </c>
    </row>
    <row r="223" spans="1:9" ht="29.25" customHeight="1">
      <c r="A223" s="51" t="s">
        <v>951</v>
      </c>
      <c r="B223" s="35"/>
      <c r="C223" s="36" t="s">
        <v>747</v>
      </c>
      <c r="D223" s="36" t="s">
        <v>678</v>
      </c>
      <c r="E223" s="36" t="s">
        <v>952</v>
      </c>
      <c r="F223" s="37"/>
      <c r="G223" s="38">
        <f>SUM(G224+G225)</f>
        <v>38698.799999999996</v>
      </c>
      <c r="H223" s="38">
        <f>SUM(H224+H225)</f>
        <v>38512.299999999996</v>
      </c>
      <c r="I223" s="39">
        <f t="shared" si="6"/>
        <v>99.51807291182155</v>
      </c>
    </row>
    <row r="224" spans="1:11" ht="16.5" customHeight="1">
      <c r="A224" s="93" t="s">
        <v>790</v>
      </c>
      <c r="B224" s="35"/>
      <c r="C224" s="36" t="s">
        <v>747</v>
      </c>
      <c r="D224" s="36" t="s">
        <v>678</v>
      </c>
      <c r="E224" s="36" t="s">
        <v>952</v>
      </c>
      <c r="F224" s="37" t="s">
        <v>791</v>
      </c>
      <c r="G224" s="38">
        <f>23965.1+290.1</f>
        <v>24255.199999999997</v>
      </c>
      <c r="H224" s="38">
        <f>23965.1+290.1</f>
        <v>24255.199999999997</v>
      </c>
      <c r="I224" s="39">
        <f t="shared" si="6"/>
        <v>100</v>
      </c>
      <c r="J224" s="6">
        <f>SUM('[1]ведомствен.'!G173+'[1]ведомствен.'!G775)</f>
        <v>24255.200000000004</v>
      </c>
      <c r="K224" s="6">
        <f>SUM('[1]ведомствен.'!H173+'[1]ведомствен.'!H775)</f>
        <v>24255.199999999997</v>
      </c>
    </row>
    <row r="225" spans="1:11" ht="29.25" customHeight="1">
      <c r="A225" s="93" t="s">
        <v>953</v>
      </c>
      <c r="B225" s="35"/>
      <c r="C225" s="36" t="s">
        <v>747</v>
      </c>
      <c r="D225" s="36" t="s">
        <v>678</v>
      </c>
      <c r="E225" s="36" t="s">
        <v>952</v>
      </c>
      <c r="F225" s="37" t="s">
        <v>954</v>
      </c>
      <c r="G225" s="38">
        <f>10788.9+3654.7</f>
        <v>14443.599999999999</v>
      </c>
      <c r="H225" s="38">
        <v>14257.1</v>
      </c>
      <c r="I225" s="39">
        <f t="shared" si="6"/>
        <v>98.70877066659283</v>
      </c>
      <c r="J225" s="6">
        <f>SUM('[1]ведомствен.'!G174+'[1]ведомствен.'!G776)</f>
        <v>14443.599999999999</v>
      </c>
      <c r="K225" s="6">
        <f>SUM('[1]ведомствен.'!H174+'[1]ведомствен.'!H776)</f>
        <v>14257.099999999999</v>
      </c>
    </row>
    <row r="226" spans="1:9" ht="59.25" customHeight="1">
      <c r="A226" s="51" t="s">
        <v>955</v>
      </c>
      <c r="B226" s="35"/>
      <c r="C226" s="36" t="s">
        <v>747</v>
      </c>
      <c r="D226" s="36" t="s">
        <v>678</v>
      </c>
      <c r="E226" s="36" t="s">
        <v>956</v>
      </c>
      <c r="F226" s="37"/>
      <c r="G226" s="38">
        <f>SUM(G227)</f>
        <v>9059.4</v>
      </c>
      <c r="H226" s="38">
        <f>SUM(H227)</f>
        <v>5983.7</v>
      </c>
      <c r="I226" s="39">
        <f t="shared" si="6"/>
        <v>66.04962801068504</v>
      </c>
    </row>
    <row r="227" spans="1:11" ht="16.5" customHeight="1">
      <c r="A227" s="93" t="s">
        <v>790</v>
      </c>
      <c r="B227" s="35"/>
      <c r="C227" s="36" t="s">
        <v>747</v>
      </c>
      <c r="D227" s="36" t="s">
        <v>678</v>
      </c>
      <c r="E227" s="36" t="s">
        <v>956</v>
      </c>
      <c r="F227" s="37" t="s">
        <v>791</v>
      </c>
      <c r="G227" s="38">
        <v>9059.4</v>
      </c>
      <c r="H227" s="38">
        <v>5983.7</v>
      </c>
      <c r="I227" s="39">
        <f t="shared" si="6"/>
        <v>66.04962801068504</v>
      </c>
      <c r="J227" s="6">
        <f>SUM('[1]ведомствен.'!G176)</f>
        <v>9059.4</v>
      </c>
      <c r="K227" s="6">
        <f>SUM('[1]ведомствен.'!H176)</f>
        <v>5983.7</v>
      </c>
    </row>
    <row r="228" spans="1:9" ht="14.25" customHeight="1" hidden="1">
      <c r="A228" s="34" t="s">
        <v>957</v>
      </c>
      <c r="B228" s="35"/>
      <c r="C228" s="36" t="s">
        <v>747</v>
      </c>
      <c r="D228" s="36" t="s">
        <v>678</v>
      </c>
      <c r="E228" s="36" t="s">
        <v>958</v>
      </c>
      <c r="F228" s="37"/>
      <c r="G228" s="38">
        <f>SUM(G229+G231)</f>
        <v>0</v>
      </c>
      <c r="H228" s="38">
        <f>SUM(H229+H231)</f>
        <v>0</v>
      </c>
      <c r="I228" s="39" t="e">
        <f t="shared" si="6"/>
        <v>#DIV/0!</v>
      </c>
    </row>
    <row r="229" spans="1:9" ht="44.25" customHeight="1" hidden="1">
      <c r="A229" s="54" t="s">
        <v>959</v>
      </c>
      <c r="B229" s="35"/>
      <c r="C229" s="36" t="s">
        <v>747</v>
      </c>
      <c r="D229" s="36" t="s">
        <v>678</v>
      </c>
      <c r="E229" s="36" t="s">
        <v>960</v>
      </c>
      <c r="F229" s="37"/>
      <c r="G229" s="38">
        <f>SUM(G230)</f>
        <v>0</v>
      </c>
      <c r="H229" s="38">
        <f>SUM(H230)</f>
        <v>0</v>
      </c>
      <c r="I229" s="39" t="e">
        <f t="shared" si="6"/>
        <v>#DIV/0!</v>
      </c>
    </row>
    <row r="230" spans="1:9" ht="15.75" customHeight="1" hidden="1">
      <c r="A230" s="34" t="s">
        <v>903</v>
      </c>
      <c r="B230" s="35"/>
      <c r="C230" s="36" t="s">
        <v>747</v>
      </c>
      <c r="D230" s="36" t="s">
        <v>678</v>
      </c>
      <c r="E230" s="36" t="s">
        <v>960</v>
      </c>
      <c r="F230" s="37" t="s">
        <v>904</v>
      </c>
      <c r="G230" s="38"/>
      <c r="H230" s="38"/>
      <c r="I230" s="39" t="e">
        <f t="shared" si="6"/>
        <v>#DIV/0!</v>
      </c>
    </row>
    <row r="231" spans="1:11" s="55" customFormat="1" ht="28.5" customHeight="1" hidden="1">
      <c r="A231" s="54" t="s">
        <v>961</v>
      </c>
      <c r="B231" s="52"/>
      <c r="C231" s="36" t="s">
        <v>747</v>
      </c>
      <c r="D231" s="36" t="s">
        <v>678</v>
      </c>
      <c r="E231" s="36" t="s">
        <v>962</v>
      </c>
      <c r="F231" s="41"/>
      <c r="G231" s="38">
        <f>SUM(G232)</f>
        <v>0</v>
      </c>
      <c r="H231" s="38">
        <f>SUM(H232)</f>
        <v>0</v>
      </c>
      <c r="I231" s="39" t="e">
        <f t="shared" si="6"/>
        <v>#DIV/0!</v>
      </c>
      <c r="J231" s="86"/>
      <c r="K231" s="86"/>
    </row>
    <row r="232" spans="1:11" s="98" customFormat="1" ht="16.5" customHeight="1" hidden="1">
      <c r="A232" s="40" t="s">
        <v>685</v>
      </c>
      <c r="B232" s="96"/>
      <c r="C232" s="36" t="s">
        <v>747</v>
      </c>
      <c r="D232" s="36" t="s">
        <v>678</v>
      </c>
      <c r="E232" s="36" t="s">
        <v>962</v>
      </c>
      <c r="F232" s="69" t="s">
        <v>686</v>
      </c>
      <c r="G232" s="71"/>
      <c r="H232" s="71"/>
      <c r="I232" s="39" t="e">
        <f t="shared" si="6"/>
        <v>#DIV/0!</v>
      </c>
      <c r="J232" s="97"/>
      <c r="K232" s="97"/>
    </row>
    <row r="233" spans="1:11" s="100" customFormat="1" ht="18.75" customHeight="1" hidden="1">
      <c r="A233" s="54" t="s">
        <v>906</v>
      </c>
      <c r="B233" s="66"/>
      <c r="C233" s="66" t="s">
        <v>747</v>
      </c>
      <c r="D233" s="66" t="s">
        <v>678</v>
      </c>
      <c r="E233" s="66" t="s">
        <v>907</v>
      </c>
      <c r="F233" s="69"/>
      <c r="G233" s="38">
        <f>SUM(G236)+G241+G234</f>
        <v>0</v>
      </c>
      <c r="H233" s="38">
        <f>SUM(H236)+H241+H234</f>
        <v>0</v>
      </c>
      <c r="I233" s="39" t="e">
        <f t="shared" si="6"/>
        <v>#DIV/0!</v>
      </c>
      <c r="J233" s="99"/>
      <c r="K233" s="99"/>
    </row>
    <row r="234" spans="1:11" s="100" customFormat="1" ht="39.75" customHeight="1" hidden="1">
      <c r="A234" s="54" t="s">
        <v>963</v>
      </c>
      <c r="B234" s="66"/>
      <c r="C234" s="66" t="s">
        <v>747</v>
      </c>
      <c r="D234" s="66" t="s">
        <v>678</v>
      </c>
      <c r="E234" s="66" t="s">
        <v>964</v>
      </c>
      <c r="F234" s="69"/>
      <c r="G234" s="38">
        <f>SUM(G235)</f>
        <v>0</v>
      </c>
      <c r="H234" s="38">
        <f>SUM(H235)</f>
        <v>0</v>
      </c>
      <c r="I234" s="39" t="e">
        <f t="shared" si="6"/>
        <v>#DIV/0!</v>
      </c>
      <c r="J234" s="99"/>
      <c r="K234" s="99"/>
    </row>
    <row r="235" spans="1:11" s="100" customFormat="1" ht="18.75" customHeight="1" hidden="1">
      <c r="A235" s="54" t="s">
        <v>790</v>
      </c>
      <c r="B235" s="66"/>
      <c r="C235" s="66" t="s">
        <v>747</v>
      </c>
      <c r="D235" s="66" t="s">
        <v>678</v>
      </c>
      <c r="E235" s="66" t="s">
        <v>964</v>
      </c>
      <c r="F235" s="69" t="s">
        <v>791</v>
      </c>
      <c r="G235" s="38"/>
      <c r="H235" s="38"/>
      <c r="I235" s="39" t="e">
        <f t="shared" si="6"/>
        <v>#DIV/0!</v>
      </c>
      <c r="J235" s="99"/>
      <c r="K235" s="99"/>
    </row>
    <row r="236" spans="1:11" s="100" customFormat="1" ht="45" customHeight="1" hidden="1">
      <c r="A236" s="34" t="s">
        <v>965</v>
      </c>
      <c r="B236" s="66"/>
      <c r="C236" s="66" t="s">
        <v>747</v>
      </c>
      <c r="D236" s="66" t="s">
        <v>678</v>
      </c>
      <c r="E236" s="66" t="s">
        <v>966</v>
      </c>
      <c r="F236" s="69"/>
      <c r="G236" s="38">
        <f>SUM(G237+G239)</f>
        <v>0</v>
      </c>
      <c r="H236" s="38">
        <f>SUM(H237+H239)</f>
        <v>0</v>
      </c>
      <c r="I236" s="39" t="e">
        <f t="shared" si="6"/>
        <v>#DIV/0!</v>
      </c>
      <c r="J236" s="99"/>
      <c r="K236" s="99"/>
    </row>
    <row r="237" spans="1:11" s="100" customFormat="1" ht="49.5" customHeight="1" hidden="1">
      <c r="A237" s="54" t="s">
        <v>967</v>
      </c>
      <c r="B237" s="101"/>
      <c r="C237" s="66" t="s">
        <v>747</v>
      </c>
      <c r="D237" s="66" t="s">
        <v>678</v>
      </c>
      <c r="E237" s="66" t="s">
        <v>968</v>
      </c>
      <c r="F237" s="69"/>
      <c r="G237" s="38">
        <f>SUM(G238)</f>
        <v>0</v>
      </c>
      <c r="H237" s="38">
        <f>SUM(H238)</f>
        <v>0</v>
      </c>
      <c r="I237" s="39" t="e">
        <f t="shared" si="6"/>
        <v>#DIV/0!</v>
      </c>
      <c r="J237" s="99"/>
      <c r="K237" s="99"/>
    </row>
    <row r="238" spans="1:11" s="100" customFormat="1" ht="15" customHeight="1" hidden="1">
      <c r="A238" s="51" t="s">
        <v>790</v>
      </c>
      <c r="B238" s="66"/>
      <c r="C238" s="66" t="s">
        <v>747</v>
      </c>
      <c r="D238" s="66" t="s">
        <v>678</v>
      </c>
      <c r="E238" s="66" t="s">
        <v>968</v>
      </c>
      <c r="F238" s="69" t="s">
        <v>791</v>
      </c>
      <c r="G238" s="38">
        <v>0</v>
      </c>
      <c r="H238" s="38">
        <v>0</v>
      </c>
      <c r="I238" s="39" t="e">
        <f t="shared" si="6"/>
        <v>#DIV/0!</v>
      </c>
      <c r="J238" s="99"/>
      <c r="K238" s="99"/>
    </row>
    <row r="239" spans="1:11" s="100" customFormat="1" ht="18" customHeight="1" hidden="1">
      <c r="A239" s="51" t="s">
        <v>969</v>
      </c>
      <c r="B239" s="66"/>
      <c r="C239" s="66" t="s">
        <v>747</v>
      </c>
      <c r="D239" s="66" t="s">
        <v>678</v>
      </c>
      <c r="E239" s="66" t="s">
        <v>970</v>
      </c>
      <c r="F239" s="69"/>
      <c r="G239" s="38">
        <f>SUM(G240)</f>
        <v>0</v>
      </c>
      <c r="H239" s="38">
        <f>SUM(H240)</f>
        <v>0</v>
      </c>
      <c r="I239" s="39" t="e">
        <f t="shared" si="6"/>
        <v>#DIV/0!</v>
      </c>
      <c r="J239" s="99"/>
      <c r="K239" s="99"/>
    </row>
    <row r="240" spans="1:11" s="100" customFormat="1" ht="14.25" customHeight="1" hidden="1">
      <c r="A240" s="40" t="s">
        <v>685</v>
      </c>
      <c r="B240" s="96"/>
      <c r="C240" s="36" t="s">
        <v>747</v>
      </c>
      <c r="D240" s="36" t="s">
        <v>678</v>
      </c>
      <c r="E240" s="66" t="s">
        <v>970</v>
      </c>
      <c r="F240" s="69" t="s">
        <v>686</v>
      </c>
      <c r="G240" s="38">
        <f>SUM('[2]Ведомств.'!F180)</f>
        <v>0</v>
      </c>
      <c r="H240" s="38">
        <f>SUM('[2]Ведомств.'!G180)</f>
        <v>0</v>
      </c>
      <c r="I240" s="39" t="e">
        <f t="shared" si="6"/>
        <v>#DIV/0!</v>
      </c>
      <c r="J240" s="99"/>
      <c r="K240" s="99"/>
    </row>
    <row r="241" spans="1:11" s="100" customFormat="1" ht="28.5" customHeight="1" hidden="1">
      <c r="A241" s="40" t="s">
        <v>971</v>
      </c>
      <c r="B241" s="96"/>
      <c r="C241" s="36" t="s">
        <v>747</v>
      </c>
      <c r="D241" s="36" t="s">
        <v>678</v>
      </c>
      <c r="E241" s="66" t="s">
        <v>972</v>
      </c>
      <c r="F241" s="69"/>
      <c r="G241" s="38">
        <f>SUM(G242)+G244</f>
        <v>0</v>
      </c>
      <c r="H241" s="38">
        <f>SUM(H242)+H244</f>
        <v>0</v>
      </c>
      <c r="I241" s="39" t="e">
        <f t="shared" si="6"/>
        <v>#DIV/0!</v>
      </c>
      <c r="J241" s="99"/>
      <c r="K241" s="99"/>
    </row>
    <row r="242" spans="1:11" s="100" customFormat="1" ht="42.75" customHeight="1" hidden="1">
      <c r="A242" s="40" t="s">
        <v>973</v>
      </c>
      <c r="B242" s="96"/>
      <c r="C242" s="36" t="s">
        <v>747</v>
      </c>
      <c r="D242" s="36" t="s">
        <v>678</v>
      </c>
      <c r="E242" s="66" t="s">
        <v>974</v>
      </c>
      <c r="F242" s="69"/>
      <c r="G242" s="38">
        <f>SUM(G243)</f>
        <v>0</v>
      </c>
      <c r="H242" s="38">
        <f>SUM(H243)</f>
        <v>0</v>
      </c>
      <c r="I242" s="39" t="e">
        <f t="shared" si="6"/>
        <v>#DIV/0!</v>
      </c>
      <c r="J242" s="99"/>
      <c r="K242" s="99"/>
    </row>
    <row r="243" spans="1:11" s="100" customFormat="1" ht="15" customHeight="1" hidden="1">
      <c r="A243" s="34" t="s">
        <v>903</v>
      </c>
      <c r="B243" s="96"/>
      <c r="C243" s="36" t="s">
        <v>747</v>
      </c>
      <c r="D243" s="36" t="s">
        <v>678</v>
      </c>
      <c r="E243" s="66" t="s">
        <v>974</v>
      </c>
      <c r="F243" s="69" t="s">
        <v>904</v>
      </c>
      <c r="G243" s="38"/>
      <c r="H243" s="38"/>
      <c r="I243" s="39" t="e">
        <f t="shared" si="6"/>
        <v>#DIV/0!</v>
      </c>
      <c r="J243" s="99"/>
      <c r="K243" s="99"/>
    </row>
    <row r="244" spans="1:11" s="100" customFormat="1" ht="42.75" customHeight="1" hidden="1">
      <c r="A244" s="40" t="s">
        <v>975</v>
      </c>
      <c r="B244" s="96"/>
      <c r="C244" s="36" t="s">
        <v>747</v>
      </c>
      <c r="D244" s="36" t="s">
        <v>678</v>
      </c>
      <c r="E244" s="66" t="s">
        <v>976</v>
      </c>
      <c r="F244" s="69"/>
      <c r="G244" s="38">
        <f>SUM(G245)</f>
        <v>0</v>
      </c>
      <c r="H244" s="38">
        <f>SUM(H245)</f>
        <v>0</v>
      </c>
      <c r="I244" s="39" t="e">
        <f t="shared" si="6"/>
        <v>#DIV/0!</v>
      </c>
      <c r="J244" s="99"/>
      <c r="K244" s="99"/>
    </row>
    <row r="245" spans="1:11" s="100" customFormat="1" ht="15" customHeight="1" hidden="1">
      <c r="A245" s="34" t="s">
        <v>903</v>
      </c>
      <c r="B245" s="96"/>
      <c r="C245" s="36" t="s">
        <v>747</v>
      </c>
      <c r="D245" s="36" t="s">
        <v>678</v>
      </c>
      <c r="E245" s="66" t="s">
        <v>976</v>
      </c>
      <c r="F245" s="69" t="s">
        <v>904</v>
      </c>
      <c r="G245" s="38"/>
      <c r="H245" s="38"/>
      <c r="I245" s="39" t="e">
        <f t="shared" si="6"/>
        <v>#DIV/0!</v>
      </c>
      <c r="J245" s="99"/>
      <c r="K245" s="99"/>
    </row>
    <row r="246" spans="1:9" s="55" customFormat="1" ht="21.75" customHeight="1">
      <c r="A246" s="34" t="s">
        <v>957</v>
      </c>
      <c r="B246" s="96"/>
      <c r="C246" s="36" t="s">
        <v>747</v>
      </c>
      <c r="D246" s="36" t="s">
        <v>678</v>
      </c>
      <c r="E246" s="66" t="s">
        <v>958</v>
      </c>
      <c r="F246" s="69"/>
      <c r="G246" s="38">
        <f>SUM(G247)</f>
        <v>788.9</v>
      </c>
      <c r="H246" s="38">
        <f>SUM(H247)</f>
        <v>788.3</v>
      </c>
      <c r="I246" s="39"/>
    </row>
    <row r="247" spans="1:9" s="55" customFormat="1" ht="45.75" customHeight="1">
      <c r="A247" s="34" t="s">
        <v>977</v>
      </c>
      <c r="B247" s="96"/>
      <c r="C247" s="36" t="s">
        <v>747</v>
      </c>
      <c r="D247" s="36" t="s">
        <v>678</v>
      </c>
      <c r="E247" s="66" t="s">
        <v>962</v>
      </c>
      <c r="F247" s="69"/>
      <c r="G247" s="38">
        <f>SUM(G248)</f>
        <v>788.9</v>
      </c>
      <c r="H247" s="38">
        <f>SUM(H248)</f>
        <v>788.3</v>
      </c>
      <c r="I247" s="39"/>
    </row>
    <row r="248" spans="1:11" s="55" customFormat="1" ht="21" customHeight="1">
      <c r="A248" s="34" t="s">
        <v>685</v>
      </c>
      <c r="B248" s="96"/>
      <c r="C248" s="36" t="s">
        <v>747</v>
      </c>
      <c r="D248" s="36" t="s">
        <v>678</v>
      </c>
      <c r="E248" s="66" t="s">
        <v>962</v>
      </c>
      <c r="F248" s="69" t="s">
        <v>686</v>
      </c>
      <c r="G248" s="38">
        <v>788.9</v>
      </c>
      <c r="H248" s="38">
        <v>788.3</v>
      </c>
      <c r="I248" s="39"/>
      <c r="J248" s="55">
        <f>SUM('[1]ведомствен.'!G198)</f>
        <v>788.9</v>
      </c>
      <c r="K248" s="55">
        <f>SUM('[1]ведомствен.'!H198)</f>
        <v>788.3</v>
      </c>
    </row>
    <row r="249" spans="1:11" ht="15" hidden="1">
      <c r="A249" s="93" t="s">
        <v>978</v>
      </c>
      <c r="B249" s="52"/>
      <c r="C249" s="53" t="s">
        <v>747</v>
      </c>
      <c r="D249" s="53" t="s">
        <v>678</v>
      </c>
      <c r="E249" s="53" t="s">
        <v>979</v>
      </c>
      <c r="F249" s="37"/>
      <c r="G249" s="71">
        <f>SUM(G250)</f>
        <v>0</v>
      </c>
      <c r="H249" s="71">
        <f>SUM(H250)</f>
        <v>0</v>
      </c>
      <c r="I249" s="39"/>
      <c r="J249"/>
      <c r="K249"/>
    </row>
    <row r="250" spans="1:11" ht="15" hidden="1">
      <c r="A250" s="93" t="s">
        <v>790</v>
      </c>
      <c r="B250" s="52"/>
      <c r="C250" s="53" t="s">
        <v>747</v>
      </c>
      <c r="D250" s="53" t="s">
        <v>678</v>
      </c>
      <c r="E250" s="53" t="s">
        <v>979</v>
      </c>
      <c r="F250" s="41" t="s">
        <v>791</v>
      </c>
      <c r="G250" s="71"/>
      <c r="H250" s="71"/>
      <c r="I250" s="39"/>
      <c r="J250">
        <f>SUM('[1]ведомствен.'!G778)</f>
        <v>0</v>
      </c>
      <c r="K250">
        <f>SUM('[1]ведомствен.'!H778)</f>
        <v>0</v>
      </c>
    </row>
    <row r="251" spans="1:11" s="100" customFormat="1" ht="13.5" customHeight="1">
      <c r="A251" s="93" t="s">
        <v>742</v>
      </c>
      <c r="B251" s="66"/>
      <c r="C251" s="66" t="s">
        <v>747</v>
      </c>
      <c r="D251" s="66" t="s">
        <v>678</v>
      </c>
      <c r="E251" s="66" t="s">
        <v>743</v>
      </c>
      <c r="F251" s="69"/>
      <c r="G251" s="38">
        <f>SUM(G252+G255)+G260+G258</f>
        <v>1470.6</v>
      </c>
      <c r="H251" s="38">
        <f>SUM(H252+H255)+H260+H258</f>
        <v>1328.5</v>
      </c>
      <c r="I251" s="39">
        <f t="shared" si="6"/>
        <v>90.3372773017816</v>
      </c>
      <c r="J251" s="99"/>
      <c r="K251" s="99"/>
    </row>
    <row r="252" spans="1:11" s="100" customFormat="1" ht="21" customHeight="1" hidden="1">
      <c r="A252" s="40" t="s">
        <v>685</v>
      </c>
      <c r="B252" s="66"/>
      <c r="C252" s="66" t="s">
        <v>747</v>
      </c>
      <c r="D252" s="66" t="s">
        <v>678</v>
      </c>
      <c r="E252" s="66" t="s">
        <v>743</v>
      </c>
      <c r="F252" s="69" t="s">
        <v>686</v>
      </c>
      <c r="G252" s="102">
        <f>SUM(G253:G254)</f>
        <v>0</v>
      </c>
      <c r="H252" s="102">
        <f>SUM(H253:H254)</f>
        <v>0</v>
      </c>
      <c r="I252" s="39" t="e">
        <f t="shared" si="6"/>
        <v>#DIV/0!</v>
      </c>
      <c r="J252" s="99"/>
      <c r="K252" s="99"/>
    </row>
    <row r="253" spans="1:11" s="100" customFormat="1" ht="15.75" customHeight="1" hidden="1">
      <c r="A253" s="93" t="s">
        <v>980</v>
      </c>
      <c r="B253" s="66"/>
      <c r="C253" s="66" t="s">
        <v>747</v>
      </c>
      <c r="D253" s="66" t="s">
        <v>678</v>
      </c>
      <c r="E253" s="66" t="s">
        <v>981</v>
      </c>
      <c r="F253" s="69" t="s">
        <v>686</v>
      </c>
      <c r="G253" s="102">
        <f>SUM('[2]Ведомств.'!F188)</f>
        <v>0</v>
      </c>
      <c r="H253" s="102">
        <f>SUM('[2]Ведомств.'!G188)</f>
        <v>0</v>
      </c>
      <c r="I253" s="39" t="e">
        <f t="shared" si="6"/>
        <v>#DIV/0!</v>
      </c>
      <c r="J253" s="99"/>
      <c r="K253" s="99"/>
    </row>
    <row r="254" spans="1:11" s="100" customFormat="1" ht="15.75" customHeight="1" hidden="1">
      <c r="A254" s="93" t="s">
        <v>982</v>
      </c>
      <c r="B254" s="66"/>
      <c r="C254" s="66" t="s">
        <v>747</v>
      </c>
      <c r="D254" s="66" t="s">
        <v>678</v>
      </c>
      <c r="E254" s="66" t="s">
        <v>983</v>
      </c>
      <c r="F254" s="69" t="s">
        <v>686</v>
      </c>
      <c r="G254" s="102"/>
      <c r="H254" s="102"/>
      <c r="I254" s="39" t="e">
        <f t="shared" si="6"/>
        <v>#DIV/0!</v>
      </c>
      <c r="J254" s="99"/>
      <c r="K254" s="99"/>
    </row>
    <row r="255" spans="1:11" s="100" customFormat="1" ht="15">
      <c r="A255" s="93" t="s">
        <v>790</v>
      </c>
      <c r="B255" s="66"/>
      <c r="C255" s="66" t="s">
        <v>747</v>
      </c>
      <c r="D255" s="66" t="s">
        <v>678</v>
      </c>
      <c r="E255" s="66" t="s">
        <v>743</v>
      </c>
      <c r="F255" s="69" t="s">
        <v>791</v>
      </c>
      <c r="G255" s="71">
        <f>SUM(G257)</f>
        <v>682.1</v>
      </c>
      <c r="H255" s="71">
        <f>SUM(H257)</f>
        <v>620.3</v>
      </c>
      <c r="I255" s="39">
        <f t="shared" si="6"/>
        <v>90.93974490543908</v>
      </c>
      <c r="J255" s="6"/>
      <c r="K255" s="6"/>
    </row>
    <row r="256" spans="1:11" s="100" customFormat="1" ht="28.5" customHeight="1">
      <c r="A256" s="51" t="s">
        <v>984</v>
      </c>
      <c r="B256" s="66"/>
      <c r="C256" s="66" t="s">
        <v>747</v>
      </c>
      <c r="D256" s="66" t="s">
        <v>678</v>
      </c>
      <c r="E256" s="66" t="s">
        <v>985</v>
      </c>
      <c r="F256" s="69" t="s">
        <v>791</v>
      </c>
      <c r="G256" s="38">
        <f>SUM(G257)</f>
        <v>682.1</v>
      </c>
      <c r="H256" s="38">
        <f>SUM(H257)</f>
        <v>620.3</v>
      </c>
      <c r="I256" s="39">
        <f t="shared" si="6"/>
        <v>90.93974490543908</v>
      </c>
      <c r="J256" s="99"/>
      <c r="K256" s="99"/>
    </row>
    <row r="257" spans="1:11" s="100" customFormat="1" ht="42" customHeight="1">
      <c r="A257" s="54" t="s">
        <v>967</v>
      </c>
      <c r="B257" s="66"/>
      <c r="C257" s="66" t="s">
        <v>747</v>
      </c>
      <c r="D257" s="66" t="s">
        <v>678</v>
      </c>
      <c r="E257" s="66" t="s">
        <v>986</v>
      </c>
      <c r="F257" s="69" t="s">
        <v>791</v>
      </c>
      <c r="G257" s="38">
        <v>682.1</v>
      </c>
      <c r="H257" s="38">
        <v>620.3</v>
      </c>
      <c r="I257" s="39">
        <f t="shared" si="6"/>
        <v>90.93974490543908</v>
      </c>
      <c r="J257" s="6">
        <f>SUM('[1]ведомствен.'!G204)</f>
        <v>682.1</v>
      </c>
      <c r="K257" s="6">
        <f>SUM('[1]ведомствен.'!H204)</f>
        <v>620.3</v>
      </c>
    </row>
    <row r="258" spans="1:9" s="55" customFormat="1" ht="35.25" customHeight="1">
      <c r="A258" s="54" t="s">
        <v>987</v>
      </c>
      <c r="B258" s="66"/>
      <c r="C258" s="36" t="s">
        <v>747</v>
      </c>
      <c r="D258" s="36" t="s">
        <v>678</v>
      </c>
      <c r="E258" s="66" t="s">
        <v>988</v>
      </c>
      <c r="F258" s="69"/>
      <c r="G258" s="38">
        <f>SUM(G259)</f>
        <v>350</v>
      </c>
      <c r="H258" s="38">
        <f>SUM(H259)</f>
        <v>269.7</v>
      </c>
      <c r="I258" s="39"/>
    </row>
    <row r="259" spans="1:11" s="55" customFormat="1" ht="25.5" customHeight="1">
      <c r="A259" s="34" t="s">
        <v>685</v>
      </c>
      <c r="B259" s="66"/>
      <c r="C259" s="36" t="s">
        <v>747</v>
      </c>
      <c r="D259" s="36" t="s">
        <v>678</v>
      </c>
      <c r="E259" s="66" t="s">
        <v>988</v>
      </c>
      <c r="F259" s="69" t="s">
        <v>686</v>
      </c>
      <c r="G259" s="38">
        <v>350</v>
      </c>
      <c r="H259" s="38">
        <v>269.7</v>
      </c>
      <c r="I259" s="39"/>
      <c r="J259" s="55">
        <f>SUM('[1]ведомствен.'!G207)</f>
        <v>350</v>
      </c>
      <c r="K259" s="55">
        <f>SUM('[1]ведомствен.'!H207)</f>
        <v>269.7</v>
      </c>
    </row>
    <row r="260" spans="1:11" s="100" customFormat="1" ht="32.25" customHeight="1">
      <c r="A260" s="103" t="s">
        <v>989</v>
      </c>
      <c r="B260" s="66"/>
      <c r="C260" s="66" t="s">
        <v>747</v>
      </c>
      <c r="D260" s="66" t="s">
        <v>678</v>
      </c>
      <c r="E260" s="66" t="s">
        <v>990</v>
      </c>
      <c r="F260" s="69"/>
      <c r="G260" s="38">
        <f>SUM(G261)</f>
        <v>438.5</v>
      </c>
      <c r="H260" s="38">
        <f>SUM(H261)</f>
        <v>438.5</v>
      </c>
      <c r="I260" s="39">
        <f t="shared" si="6"/>
        <v>100</v>
      </c>
      <c r="J260" s="99"/>
      <c r="K260" s="99"/>
    </row>
    <row r="261" spans="1:11" s="100" customFormat="1" ht="22.5" customHeight="1">
      <c r="A261" s="93" t="s">
        <v>790</v>
      </c>
      <c r="B261" s="66"/>
      <c r="C261" s="66" t="s">
        <v>747</v>
      </c>
      <c r="D261" s="66" t="s">
        <v>678</v>
      </c>
      <c r="E261" s="66" t="s">
        <v>990</v>
      </c>
      <c r="F261" s="69" t="s">
        <v>791</v>
      </c>
      <c r="G261" s="38">
        <v>438.5</v>
      </c>
      <c r="H261" s="38">
        <v>438.5</v>
      </c>
      <c r="I261" s="39">
        <f t="shared" si="6"/>
        <v>100</v>
      </c>
      <c r="J261" s="6">
        <f>SUM('[1]ведомствен.'!G209)</f>
        <v>438.5</v>
      </c>
      <c r="K261" s="6">
        <f>SUM('[1]ведомствен.'!H209)</f>
        <v>438.5</v>
      </c>
    </row>
    <row r="262" spans="1:11" s="55" customFormat="1" ht="20.25" customHeight="1">
      <c r="A262" s="51" t="s">
        <v>991</v>
      </c>
      <c r="B262" s="52"/>
      <c r="C262" s="53" t="s">
        <v>747</v>
      </c>
      <c r="D262" s="53" t="s">
        <v>680</v>
      </c>
      <c r="E262" s="53"/>
      <c r="F262" s="41"/>
      <c r="G262" s="38">
        <f>SUM(G270+G282)+G265+G278+G267+G290</f>
        <v>87979.9</v>
      </c>
      <c r="H262" s="38">
        <f>SUM(H270+H282)+H265+H278+H267+H290</f>
        <v>84781.7</v>
      </c>
      <c r="I262" s="39">
        <f t="shared" si="6"/>
        <v>96.36485151722155</v>
      </c>
      <c r="J262" s="86"/>
      <c r="K262" s="86"/>
    </row>
    <row r="263" spans="1:11" s="55" customFormat="1" ht="18" customHeight="1" hidden="1">
      <c r="A263" s="34" t="s">
        <v>992</v>
      </c>
      <c r="B263" s="35"/>
      <c r="C263" s="53" t="s">
        <v>747</v>
      </c>
      <c r="D263" s="53" t="s">
        <v>680</v>
      </c>
      <c r="E263" s="53" t="s">
        <v>993</v>
      </c>
      <c r="F263" s="37"/>
      <c r="G263" s="38"/>
      <c r="H263" s="38"/>
      <c r="I263" s="39" t="e">
        <f t="shared" si="6"/>
        <v>#DIV/0!</v>
      </c>
      <c r="J263" s="86"/>
      <c r="K263" s="86"/>
    </row>
    <row r="264" spans="1:11" s="55" customFormat="1" ht="18" customHeight="1" hidden="1">
      <c r="A264" s="34" t="s">
        <v>994</v>
      </c>
      <c r="B264" s="35"/>
      <c r="C264" s="53" t="s">
        <v>747</v>
      </c>
      <c r="D264" s="53" t="s">
        <v>680</v>
      </c>
      <c r="E264" s="53" t="s">
        <v>993</v>
      </c>
      <c r="F264" s="37" t="s">
        <v>995</v>
      </c>
      <c r="G264" s="38"/>
      <c r="H264" s="38"/>
      <c r="I264" s="39" t="e">
        <f t="shared" si="6"/>
        <v>#DIV/0!</v>
      </c>
      <c r="J264" s="86"/>
      <c r="K264" s="86"/>
    </row>
    <row r="265" spans="1:11" s="55" customFormat="1" ht="19.5" customHeight="1" hidden="1">
      <c r="A265" s="34" t="s">
        <v>740</v>
      </c>
      <c r="B265" s="35"/>
      <c r="C265" s="53" t="s">
        <v>747</v>
      </c>
      <c r="D265" s="53" t="s">
        <v>680</v>
      </c>
      <c r="E265" s="53" t="s">
        <v>741</v>
      </c>
      <c r="F265" s="37"/>
      <c r="G265" s="38">
        <f>SUM(G266)</f>
        <v>0</v>
      </c>
      <c r="H265" s="38">
        <f>SUM(H266)</f>
        <v>0</v>
      </c>
      <c r="I265" s="39" t="e">
        <f t="shared" si="6"/>
        <v>#DIV/0!</v>
      </c>
      <c r="J265" s="86"/>
      <c r="K265" s="86"/>
    </row>
    <row r="266" spans="1:11" s="55" customFormat="1" ht="18" customHeight="1" hidden="1">
      <c r="A266" s="40" t="s">
        <v>685</v>
      </c>
      <c r="B266" s="35"/>
      <c r="C266" s="53" t="s">
        <v>747</v>
      </c>
      <c r="D266" s="53" t="s">
        <v>680</v>
      </c>
      <c r="E266" s="53" t="s">
        <v>741</v>
      </c>
      <c r="F266" s="37" t="s">
        <v>686</v>
      </c>
      <c r="G266" s="38"/>
      <c r="H266" s="38"/>
      <c r="I266" s="39" t="e">
        <f t="shared" si="6"/>
        <v>#DIV/0!</v>
      </c>
      <c r="J266" s="86"/>
      <c r="K266" s="86"/>
    </row>
    <row r="267" spans="1:11" s="55" customFormat="1" ht="38.25" customHeight="1">
      <c r="A267" s="40" t="s">
        <v>996</v>
      </c>
      <c r="B267" s="35"/>
      <c r="C267" s="53" t="s">
        <v>747</v>
      </c>
      <c r="D267" s="53" t="s">
        <v>680</v>
      </c>
      <c r="E267" s="53" t="s">
        <v>921</v>
      </c>
      <c r="F267" s="37"/>
      <c r="G267" s="38">
        <f>SUM(G268)</f>
        <v>23537.5</v>
      </c>
      <c r="H267" s="38">
        <f>SUM(H268)</f>
        <v>31110.1</v>
      </c>
      <c r="I267" s="39">
        <f t="shared" si="6"/>
        <v>132.17249070631968</v>
      </c>
      <c r="J267" s="86"/>
      <c r="K267" s="86"/>
    </row>
    <row r="268" spans="1:11" s="55" customFormat="1" ht="38.25" customHeight="1">
      <c r="A268" s="40" t="s">
        <v>997</v>
      </c>
      <c r="B268" s="35"/>
      <c r="C268" s="53" t="s">
        <v>747</v>
      </c>
      <c r="D268" s="53" t="s">
        <v>680</v>
      </c>
      <c r="E268" s="53" t="s">
        <v>924</v>
      </c>
      <c r="F268" s="37"/>
      <c r="G268" s="38">
        <f>SUM(G269)</f>
        <v>23537.5</v>
      </c>
      <c r="H268" s="38">
        <f>SUM(H269)</f>
        <v>31110.1</v>
      </c>
      <c r="I268" s="39">
        <f t="shared" si="6"/>
        <v>132.17249070631968</v>
      </c>
      <c r="J268" s="86"/>
      <c r="K268" s="86"/>
    </row>
    <row r="269" spans="1:11" s="55" customFormat="1" ht="18" customHeight="1">
      <c r="A269" s="34" t="s">
        <v>903</v>
      </c>
      <c r="B269" s="35"/>
      <c r="C269" s="53" t="s">
        <v>747</v>
      </c>
      <c r="D269" s="53" t="s">
        <v>680</v>
      </c>
      <c r="E269" s="53" t="s">
        <v>924</v>
      </c>
      <c r="F269" s="37" t="s">
        <v>904</v>
      </c>
      <c r="G269" s="38">
        <v>23537.5</v>
      </c>
      <c r="H269" s="38">
        <v>31110.1</v>
      </c>
      <c r="I269" s="39">
        <f t="shared" si="6"/>
        <v>132.17249070631968</v>
      </c>
      <c r="J269" s="6">
        <f>SUM('[1]ведомствен.'!G216+'[1]ведомствен.'!G782)</f>
        <v>23537.5</v>
      </c>
      <c r="K269" s="6">
        <f>SUM('[1]ведомствен.'!H216+'[1]ведомствен.'!H782)</f>
        <v>31110.1</v>
      </c>
    </row>
    <row r="270" spans="1:11" s="55" customFormat="1" ht="15">
      <c r="A270" s="84" t="s">
        <v>998</v>
      </c>
      <c r="B270" s="52"/>
      <c r="C270" s="53" t="s">
        <v>747</v>
      </c>
      <c r="D270" s="53" t="s">
        <v>680</v>
      </c>
      <c r="E270" s="53" t="s">
        <v>993</v>
      </c>
      <c r="F270" s="41"/>
      <c r="G270" s="38">
        <f>SUM(G271+G273+G275)</f>
        <v>64442.399999999994</v>
      </c>
      <c r="H270" s="38">
        <f>SUM(H271+H273+H275)</f>
        <v>53671.6</v>
      </c>
      <c r="I270" s="39">
        <f t="shared" si="6"/>
        <v>83.28615942298859</v>
      </c>
      <c r="J270" s="86"/>
      <c r="K270" s="86"/>
    </row>
    <row r="271" spans="1:11" s="55" customFormat="1" ht="42.75" customHeight="1" hidden="1">
      <c r="A271" s="93" t="s">
        <v>999</v>
      </c>
      <c r="B271" s="52"/>
      <c r="C271" s="53" t="s">
        <v>747</v>
      </c>
      <c r="D271" s="53" t="s">
        <v>680</v>
      </c>
      <c r="E271" s="53" t="s">
        <v>1000</v>
      </c>
      <c r="F271" s="41"/>
      <c r="G271" s="38">
        <f>SUM(G272)</f>
        <v>0</v>
      </c>
      <c r="H271" s="38">
        <f>SUM(H272)</f>
        <v>0</v>
      </c>
      <c r="I271" s="39" t="e">
        <f aca="true" t="shared" si="7" ref="I271:I334">SUM(H271/G271*100)</f>
        <v>#DIV/0!</v>
      </c>
      <c r="J271" s="86"/>
      <c r="K271" s="86"/>
    </row>
    <row r="272" spans="1:11" s="55" customFormat="1" ht="17.25" customHeight="1" hidden="1">
      <c r="A272" s="34" t="s">
        <v>903</v>
      </c>
      <c r="B272" s="35"/>
      <c r="C272" s="36" t="s">
        <v>747</v>
      </c>
      <c r="D272" s="53" t="s">
        <v>680</v>
      </c>
      <c r="E272" s="53" t="s">
        <v>1000</v>
      </c>
      <c r="F272" s="37" t="s">
        <v>904</v>
      </c>
      <c r="G272" s="38"/>
      <c r="H272" s="38"/>
      <c r="I272" s="39" t="e">
        <f t="shared" si="7"/>
        <v>#DIV/0!</v>
      </c>
      <c r="J272" s="86"/>
      <c r="K272" s="86"/>
    </row>
    <row r="273" spans="1:11" s="55" customFormat="1" ht="61.5" customHeight="1" hidden="1">
      <c r="A273" s="93" t="s">
        <v>1001</v>
      </c>
      <c r="B273" s="35"/>
      <c r="C273" s="53" t="s">
        <v>747</v>
      </c>
      <c r="D273" s="53" t="s">
        <v>680</v>
      </c>
      <c r="E273" s="53" t="s">
        <v>1002</v>
      </c>
      <c r="F273" s="37"/>
      <c r="G273" s="38">
        <f>SUM(G274)</f>
        <v>0</v>
      </c>
      <c r="H273" s="38">
        <f>SUM(H274)</f>
        <v>0</v>
      </c>
      <c r="I273" s="39" t="e">
        <f t="shared" si="7"/>
        <v>#DIV/0!</v>
      </c>
      <c r="J273" s="86"/>
      <c r="K273" s="86"/>
    </row>
    <row r="274" spans="1:11" s="55" customFormat="1" ht="17.25" customHeight="1" hidden="1">
      <c r="A274" s="34" t="s">
        <v>903</v>
      </c>
      <c r="B274" s="35"/>
      <c r="C274" s="53" t="s">
        <v>747</v>
      </c>
      <c r="D274" s="53" t="s">
        <v>680</v>
      </c>
      <c r="E274" s="53" t="s">
        <v>1002</v>
      </c>
      <c r="F274" s="37" t="s">
        <v>904</v>
      </c>
      <c r="G274" s="38"/>
      <c r="H274" s="38"/>
      <c r="I274" s="39" t="e">
        <f t="shared" si="7"/>
        <v>#DIV/0!</v>
      </c>
      <c r="J274" s="86"/>
      <c r="K274" s="86"/>
    </row>
    <row r="275" spans="1:11" s="55" customFormat="1" ht="17.25" customHeight="1">
      <c r="A275" s="54" t="s">
        <v>1003</v>
      </c>
      <c r="B275" s="52"/>
      <c r="C275" s="53" t="s">
        <v>747</v>
      </c>
      <c r="D275" s="53" t="s">
        <v>680</v>
      </c>
      <c r="E275" s="53" t="s">
        <v>1004</v>
      </c>
      <c r="F275" s="41"/>
      <c r="G275" s="38">
        <f>SUM(G276)+G277</f>
        <v>64442.399999999994</v>
      </c>
      <c r="H275" s="38">
        <f>SUM(H276)+H277</f>
        <v>53671.6</v>
      </c>
      <c r="I275" s="39">
        <f t="shared" si="7"/>
        <v>83.28615942298859</v>
      </c>
      <c r="J275" s="86"/>
      <c r="K275" s="86"/>
    </row>
    <row r="276" spans="1:11" s="55" customFormat="1" ht="14.25" customHeight="1">
      <c r="A276" s="34" t="s">
        <v>903</v>
      </c>
      <c r="B276" s="52"/>
      <c r="C276" s="53" t="s">
        <v>747</v>
      </c>
      <c r="D276" s="53" t="s">
        <v>680</v>
      </c>
      <c r="E276" s="53" t="s">
        <v>1004</v>
      </c>
      <c r="F276" s="37" t="s">
        <v>904</v>
      </c>
      <c r="G276" s="71">
        <v>32886.2</v>
      </c>
      <c r="H276" s="71">
        <v>22328.5</v>
      </c>
      <c r="I276" s="39">
        <f t="shared" si="7"/>
        <v>67.89626043750874</v>
      </c>
      <c r="J276" s="6">
        <f>SUM('[1]ведомствен.'!G223)</f>
        <v>32886.2</v>
      </c>
      <c r="K276" s="6">
        <f>SUM('[1]ведомствен.'!H223)</f>
        <v>22328.5</v>
      </c>
    </row>
    <row r="277" spans="1:11" s="55" customFormat="1" ht="14.25" customHeight="1">
      <c r="A277" s="40" t="s">
        <v>685</v>
      </c>
      <c r="B277" s="52"/>
      <c r="C277" s="53" t="s">
        <v>747</v>
      </c>
      <c r="D277" s="53" t="s">
        <v>680</v>
      </c>
      <c r="E277" s="53" t="s">
        <v>1004</v>
      </c>
      <c r="F277" s="37" t="s">
        <v>686</v>
      </c>
      <c r="G277" s="71">
        <v>31556.2</v>
      </c>
      <c r="H277" s="71">
        <v>31343.1</v>
      </c>
      <c r="I277" s="39">
        <f t="shared" si="7"/>
        <v>99.32469688999308</v>
      </c>
      <c r="J277" s="6">
        <f>SUM('[1]ведомствен.'!G224)+'[1]ведомствен.'!G785</f>
        <v>31556.2</v>
      </c>
      <c r="K277" s="6">
        <f>SUM('[1]ведомствен.'!H224)+'[1]ведомствен.'!H785</f>
        <v>31343.1</v>
      </c>
    </row>
    <row r="278" spans="1:11" s="55" customFormat="1" ht="15.75" customHeight="1" hidden="1">
      <c r="A278" s="54" t="s">
        <v>906</v>
      </c>
      <c r="B278" s="66"/>
      <c r="C278" s="53" t="s">
        <v>747</v>
      </c>
      <c r="D278" s="53" t="s">
        <v>680</v>
      </c>
      <c r="E278" s="66" t="s">
        <v>907</v>
      </c>
      <c r="F278" s="41"/>
      <c r="G278" s="71">
        <f aca="true" t="shared" si="8" ref="G278:H280">SUM(G279)</f>
        <v>0</v>
      </c>
      <c r="H278" s="71">
        <f t="shared" si="8"/>
        <v>0</v>
      </c>
      <c r="I278" s="39" t="e">
        <f t="shared" si="7"/>
        <v>#DIV/0!</v>
      </c>
      <c r="J278" s="86"/>
      <c r="K278" s="86"/>
    </row>
    <row r="279" spans="1:11" s="55" customFormat="1" ht="15.75" customHeight="1" hidden="1">
      <c r="A279" s="34" t="s">
        <v>965</v>
      </c>
      <c r="B279" s="66"/>
      <c r="C279" s="53" t="s">
        <v>747</v>
      </c>
      <c r="D279" s="53" t="s">
        <v>680</v>
      </c>
      <c r="E279" s="66" t="s">
        <v>966</v>
      </c>
      <c r="F279" s="41"/>
      <c r="G279" s="71">
        <f t="shared" si="8"/>
        <v>0</v>
      </c>
      <c r="H279" s="71">
        <f t="shared" si="8"/>
        <v>0</v>
      </c>
      <c r="I279" s="39" t="e">
        <f t="shared" si="7"/>
        <v>#DIV/0!</v>
      </c>
      <c r="J279" s="86"/>
      <c r="K279" s="86"/>
    </row>
    <row r="280" spans="1:11" s="55" customFormat="1" ht="30.75" customHeight="1" hidden="1">
      <c r="A280" s="54" t="s">
        <v>1005</v>
      </c>
      <c r="B280" s="35"/>
      <c r="C280" s="53" t="s">
        <v>747</v>
      </c>
      <c r="D280" s="53" t="s">
        <v>680</v>
      </c>
      <c r="E280" s="66" t="s">
        <v>1006</v>
      </c>
      <c r="F280" s="41"/>
      <c r="G280" s="71">
        <f t="shared" si="8"/>
        <v>0</v>
      </c>
      <c r="H280" s="71">
        <f t="shared" si="8"/>
        <v>0</v>
      </c>
      <c r="I280" s="39" t="e">
        <f t="shared" si="7"/>
        <v>#DIV/0!</v>
      </c>
      <c r="J280" s="86"/>
      <c r="K280" s="86"/>
    </row>
    <row r="281" spans="1:11" s="55" customFormat="1" ht="15.75" customHeight="1" hidden="1">
      <c r="A281" s="40" t="s">
        <v>685</v>
      </c>
      <c r="B281" s="52"/>
      <c r="C281" s="53" t="s">
        <v>747</v>
      </c>
      <c r="D281" s="53" t="s">
        <v>680</v>
      </c>
      <c r="E281" s="66" t="s">
        <v>1006</v>
      </c>
      <c r="F281" s="37" t="s">
        <v>686</v>
      </c>
      <c r="G281" s="71"/>
      <c r="H281" s="71"/>
      <c r="I281" s="39" t="e">
        <f t="shared" si="7"/>
        <v>#DIV/0!</v>
      </c>
      <c r="J281" s="86"/>
      <c r="K281" s="86"/>
    </row>
    <row r="282" spans="1:11" s="55" customFormat="1" ht="15.75" customHeight="1" hidden="1">
      <c r="A282" s="93" t="s">
        <v>742</v>
      </c>
      <c r="B282" s="104"/>
      <c r="C282" s="66" t="s">
        <v>747</v>
      </c>
      <c r="D282" s="66" t="s">
        <v>680</v>
      </c>
      <c r="E282" s="66" t="s">
        <v>743</v>
      </c>
      <c r="F282" s="69"/>
      <c r="G282" s="71">
        <f>SUM(G283)</f>
        <v>0</v>
      </c>
      <c r="H282" s="71">
        <f>SUM(H283)</f>
        <v>0</v>
      </c>
      <c r="I282" s="39" t="e">
        <f t="shared" si="7"/>
        <v>#DIV/0!</v>
      </c>
      <c r="J282" s="86"/>
      <c r="K282" s="86"/>
    </row>
    <row r="283" spans="1:11" s="55" customFormat="1" ht="15.75" customHeight="1" hidden="1">
      <c r="A283" s="40" t="s">
        <v>685</v>
      </c>
      <c r="B283" s="104"/>
      <c r="C283" s="66" t="s">
        <v>747</v>
      </c>
      <c r="D283" s="66" t="s">
        <v>680</v>
      </c>
      <c r="E283" s="66" t="s">
        <v>743</v>
      </c>
      <c r="F283" s="37" t="s">
        <v>686</v>
      </c>
      <c r="G283" s="71">
        <f>SUM(G284:G287)</f>
        <v>0</v>
      </c>
      <c r="H283" s="71">
        <f>SUM(H284:H287)</f>
        <v>0</v>
      </c>
      <c r="I283" s="39" t="e">
        <f t="shared" si="7"/>
        <v>#DIV/0!</v>
      </c>
      <c r="J283" s="86"/>
      <c r="K283" s="86"/>
    </row>
    <row r="284" spans="1:11" s="55" customFormat="1" ht="27.75" customHeight="1" hidden="1">
      <c r="A284" s="40" t="s">
        <v>1007</v>
      </c>
      <c r="B284" s="104"/>
      <c r="C284" s="66" t="s">
        <v>747</v>
      </c>
      <c r="D284" s="66" t="s">
        <v>680</v>
      </c>
      <c r="E284" s="66" t="s">
        <v>1008</v>
      </c>
      <c r="F284" s="37" t="s">
        <v>686</v>
      </c>
      <c r="G284" s="71"/>
      <c r="H284" s="71"/>
      <c r="I284" s="39" t="e">
        <f t="shared" si="7"/>
        <v>#DIV/0!</v>
      </c>
      <c r="J284" s="86"/>
      <c r="K284" s="86"/>
    </row>
    <row r="285" spans="1:11" s="55" customFormat="1" ht="34.5" customHeight="1" hidden="1">
      <c r="A285" s="93" t="s">
        <v>1009</v>
      </c>
      <c r="B285" s="104"/>
      <c r="C285" s="66" t="s">
        <v>747</v>
      </c>
      <c r="D285" s="66" t="s">
        <v>680</v>
      </c>
      <c r="E285" s="66" t="s">
        <v>1010</v>
      </c>
      <c r="F285" s="37" t="s">
        <v>686</v>
      </c>
      <c r="G285" s="71"/>
      <c r="H285" s="71"/>
      <c r="I285" s="39" t="e">
        <f t="shared" si="7"/>
        <v>#DIV/0!</v>
      </c>
      <c r="J285" s="86"/>
      <c r="K285" s="86"/>
    </row>
    <row r="286" spans="1:11" s="55" customFormat="1" ht="26.25" customHeight="1" hidden="1">
      <c r="A286" s="93" t="s">
        <v>1011</v>
      </c>
      <c r="B286" s="104"/>
      <c r="C286" s="66" t="s">
        <v>747</v>
      </c>
      <c r="D286" s="66" t="s">
        <v>680</v>
      </c>
      <c r="E286" s="66" t="s">
        <v>1012</v>
      </c>
      <c r="F286" s="37" t="s">
        <v>686</v>
      </c>
      <c r="G286" s="71"/>
      <c r="H286" s="71"/>
      <c r="I286" s="39" t="e">
        <f t="shared" si="7"/>
        <v>#DIV/0!</v>
      </c>
      <c r="J286" s="86"/>
      <c r="K286" s="86"/>
    </row>
    <row r="287" spans="1:11" s="55" customFormat="1" ht="35.25" customHeight="1" hidden="1">
      <c r="A287" s="103" t="s">
        <v>1013</v>
      </c>
      <c r="B287" s="104"/>
      <c r="C287" s="66" t="s">
        <v>747</v>
      </c>
      <c r="D287" s="66" t="s">
        <v>680</v>
      </c>
      <c r="E287" s="66" t="s">
        <v>1014</v>
      </c>
      <c r="F287" s="37"/>
      <c r="G287" s="71">
        <f>SUM(G288)</f>
        <v>0</v>
      </c>
      <c r="H287" s="71">
        <f>SUM(H288)</f>
        <v>0</v>
      </c>
      <c r="I287" s="39" t="e">
        <f t="shared" si="7"/>
        <v>#DIV/0!</v>
      </c>
      <c r="J287" s="86"/>
      <c r="K287" s="86"/>
    </row>
    <row r="288" spans="1:11" s="55" customFormat="1" ht="32.25" customHeight="1" hidden="1">
      <c r="A288" s="93" t="s">
        <v>1005</v>
      </c>
      <c r="B288" s="104"/>
      <c r="C288" s="66" t="s">
        <v>747</v>
      </c>
      <c r="D288" s="66" t="s">
        <v>680</v>
      </c>
      <c r="E288" s="66" t="s">
        <v>1015</v>
      </c>
      <c r="F288" s="37"/>
      <c r="G288" s="71">
        <f>SUM(G289)</f>
        <v>0</v>
      </c>
      <c r="H288" s="71">
        <f>SUM(H289)</f>
        <v>0</v>
      </c>
      <c r="I288" s="39" t="e">
        <f t="shared" si="7"/>
        <v>#DIV/0!</v>
      </c>
      <c r="J288" s="86"/>
      <c r="K288" s="86"/>
    </row>
    <row r="289" spans="1:11" s="55" customFormat="1" ht="21.75" customHeight="1" hidden="1">
      <c r="A289" s="40" t="s">
        <v>685</v>
      </c>
      <c r="B289" s="104"/>
      <c r="C289" s="66" t="s">
        <v>747</v>
      </c>
      <c r="D289" s="66" t="s">
        <v>680</v>
      </c>
      <c r="E289" s="66" t="s">
        <v>1015</v>
      </c>
      <c r="F289" s="37" t="s">
        <v>686</v>
      </c>
      <c r="G289" s="71"/>
      <c r="H289" s="71"/>
      <c r="I289" s="39" t="e">
        <f t="shared" si="7"/>
        <v>#DIV/0!</v>
      </c>
      <c r="J289" s="86"/>
      <c r="K289" s="86"/>
    </row>
    <row r="290" spans="1:11" ht="15" hidden="1">
      <c r="A290" s="74" t="s">
        <v>742</v>
      </c>
      <c r="B290" s="52"/>
      <c r="C290" s="53" t="s">
        <v>747</v>
      </c>
      <c r="D290" s="53" t="s">
        <v>680</v>
      </c>
      <c r="E290" s="53" t="s">
        <v>743</v>
      </c>
      <c r="F290" s="37"/>
      <c r="G290" s="71">
        <f>SUM(G291)</f>
        <v>0</v>
      </c>
      <c r="H290" s="71">
        <f>SUM(H291)</f>
        <v>0</v>
      </c>
      <c r="I290" s="39"/>
      <c r="J290"/>
      <c r="K290"/>
    </row>
    <row r="291" spans="1:11" ht="15" hidden="1">
      <c r="A291" s="56"/>
      <c r="B291" s="52"/>
      <c r="C291" s="53" t="s">
        <v>747</v>
      </c>
      <c r="D291" s="53" t="s">
        <v>680</v>
      </c>
      <c r="E291" s="53" t="s">
        <v>743</v>
      </c>
      <c r="F291" s="41"/>
      <c r="G291" s="71">
        <f>SUM(G292)</f>
        <v>0</v>
      </c>
      <c r="H291" s="71">
        <f>SUM(H292)</f>
        <v>0</v>
      </c>
      <c r="I291" s="39"/>
      <c r="J291"/>
      <c r="K291"/>
    </row>
    <row r="292" spans="1:11" ht="15" hidden="1">
      <c r="A292" s="56" t="s">
        <v>685</v>
      </c>
      <c r="B292" s="52"/>
      <c r="C292" s="53" t="s">
        <v>747</v>
      </c>
      <c r="D292" s="53" t="s">
        <v>680</v>
      </c>
      <c r="E292" s="53" t="s">
        <v>743</v>
      </c>
      <c r="F292" s="41" t="s">
        <v>686</v>
      </c>
      <c r="G292" s="71">
        <f>6000-6000</f>
        <v>0</v>
      </c>
      <c r="H292" s="71">
        <f>6000-6000</f>
        <v>0</v>
      </c>
      <c r="I292" s="39"/>
      <c r="J292">
        <f>SUM('[1]ведомствен.'!G788)</f>
        <v>0</v>
      </c>
      <c r="K292">
        <f>SUM('[1]ведомствен.'!H788)</f>
        <v>0</v>
      </c>
    </row>
    <row r="293" spans="1:11" s="55" customFormat="1" ht="17.25" customHeight="1">
      <c r="A293" s="105" t="s">
        <v>1016</v>
      </c>
      <c r="B293" s="52"/>
      <c r="C293" s="53" t="s">
        <v>747</v>
      </c>
      <c r="D293" s="53" t="s">
        <v>688</v>
      </c>
      <c r="E293" s="53"/>
      <c r="F293" s="41"/>
      <c r="G293" s="38">
        <f>SUM(G296+G313)+G294</f>
        <v>275494.39999999997</v>
      </c>
      <c r="H293" s="38">
        <f>SUM(H296+H313)+H294</f>
        <v>275398.79999999993</v>
      </c>
      <c r="I293" s="39">
        <f t="shared" si="7"/>
        <v>99.96529875017421</v>
      </c>
      <c r="J293" s="86"/>
      <c r="K293" s="86"/>
    </row>
    <row r="294" spans="1:11" s="55" customFormat="1" ht="73.5" customHeight="1" hidden="1">
      <c r="A294" s="105" t="s">
        <v>1017</v>
      </c>
      <c r="B294" s="52"/>
      <c r="C294" s="53" t="s">
        <v>747</v>
      </c>
      <c r="D294" s="53" t="s">
        <v>688</v>
      </c>
      <c r="E294" s="53" t="s">
        <v>1018</v>
      </c>
      <c r="F294" s="41"/>
      <c r="G294" s="38">
        <f>SUM(G295)</f>
        <v>0</v>
      </c>
      <c r="H294" s="38">
        <f>SUM(H295)</f>
        <v>0</v>
      </c>
      <c r="I294" s="39" t="e">
        <f t="shared" si="7"/>
        <v>#DIV/0!</v>
      </c>
      <c r="J294" s="86"/>
      <c r="K294" s="86"/>
    </row>
    <row r="295" spans="1:11" s="55" customFormat="1" ht="64.5" customHeight="1" hidden="1">
      <c r="A295" s="105" t="s">
        <v>1019</v>
      </c>
      <c r="B295" s="52"/>
      <c r="C295" s="53" t="s">
        <v>747</v>
      </c>
      <c r="D295" s="53" t="s">
        <v>688</v>
      </c>
      <c r="E295" s="53" t="s">
        <v>1018</v>
      </c>
      <c r="F295" s="41" t="s">
        <v>1020</v>
      </c>
      <c r="G295" s="38">
        <f>SUM('[2]Ведомств.'!F218)</f>
        <v>0</v>
      </c>
      <c r="H295" s="38">
        <f>SUM('[2]Ведомств.'!G218)</f>
        <v>0</v>
      </c>
      <c r="I295" s="39" t="e">
        <f t="shared" si="7"/>
        <v>#DIV/0!</v>
      </c>
      <c r="J295" s="86"/>
      <c r="K295" s="86"/>
    </row>
    <row r="296" spans="1:11" s="55" customFormat="1" ht="15">
      <c r="A296" s="105" t="s">
        <v>1016</v>
      </c>
      <c r="B296" s="66"/>
      <c r="C296" s="53" t="s">
        <v>747</v>
      </c>
      <c r="D296" s="53" t="s">
        <v>688</v>
      </c>
      <c r="E296" s="66" t="s">
        <v>1021</v>
      </c>
      <c r="F296" s="69"/>
      <c r="G296" s="38">
        <f>SUM(G297+G302+G307+G310)+G305</f>
        <v>273647.6</v>
      </c>
      <c r="H296" s="38">
        <f>SUM(H297+H302+H307+H310)+H305</f>
        <v>273551.99999999994</v>
      </c>
      <c r="I296" s="39">
        <f t="shared" si="7"/>
        <v>99.96506455748194</v>
      </c>
      <c r="J296" s="86"/>
      <c r="K296" s="86"/>
    </row>
    <row r="297" spans="1:11" s="55" customFormat="1" ht="15">
      <c r="A297" s="93" t="s">
        <v>1022</v>
      </c>
      <c r="B297" s="104"/>
      <c r="C297" s="53" t="s">
        <v>747</v>
      </c>
      <c r="D297" s="53" t="s">
        <v>688</v>
      </c>
      <c r="E297" s="66" t="s">
        <v>1023</v>
      </c>
      <c r="F297" s="69"/>
      <c r="G297" s="38">
        <f>SUM(G298:G300)</f>
        <v>36033.1</v>
      </c>
      <c r="H297" s="38">
        <f>SUM(H298:H300)</f>
        <v>36029.1</v>
      </c>
      <c r="I297" s="39">
        <f t="shared" si="7"/>
        <v>99.9888990955538</v>
      </c>
      <c r="J297" s="86"/>
      <c r="K297" s="86"/>
    </row>
    <row r="298" spans="1:11" s="106" customFormat="1" ht="15.75" customHeight="1">
      <c r="A298" s="34" t="s">
        <v>903</v>
      </c>
      <c r="B298" s="104"/>
      <c r="C298" s="53" t="s">
        <v>747</v>
      </c>
      <c r="D298" s="53" t="s">
        <v>688</v>
      </c>
      <c r="E298" s="66" t="s">
        <v>1023</v>
      </c>
      <c r="F298" s="69" t="s">
        <v>904</v>
      </c>
      <c r="G298" s="38">
        <v>1500</v>
      </c>
      <c r="H298" s="38">
        <v>1500</v>
      </c>
      <c r="I298" s="39"/>
      <c r="J298" s="6">
        <f>SUM('[1]ведомствен.'!G242)</f>
        <v>1500</v>
      </c>
      <c r="K298" s="6">
        <f>SUM('[1]ведомствен.'!H242)</f>
        <v>1500</v>
      </c>
    </row>
    <row r="299" spans="1:11" s="55" customFormat="1" ht="15">
      <c r="A299" s="40" t="s">
        <v>685</v>
      </c>
      <c r="B299" s="104"/>
      <c r="C299" s="53" t="s">
        <v>747</v>
      </c>
      <c r="D299" s="53" t="s">
        <v>688</v>
      </c>
      <c r="E299" s="66" t="s">
        <v>1023</v>
      </c>
      <c r="F299" s="69" t="s">
        <v>686</v>
      </c>
      <c r="G299" s="38">
        <v>34533.1</v>
      </c>
      <c r="H299" s="38">
        <v>34529.1</v>
      </c>
      <c r="I299" s="39">
        <f t="shared" si="7"/>
        <v>99.98841691015286</v>
      </c>
      <c r="J299" s="6">
        <f>SUM('[1]ведомствен.'!G243)</f>
        <v>34533.1</v>
      </c>
      <c r="K299" s="6">
        <f>SUM('[1]ведомствен.'!H243)</f>
        <v>34529.1</v>
      </c>
    </row>
    <row r="300" spans="1:11" s="55" customFormat="1" ht="57" customHeight="1" hidden="1">
      <c r="A300" s="40" t="s">
        <v>732</v>
      </c>
      <c r="B300" s="104"/>
      <c r="C300" s="53" t="s">
        <v>747</v>
      </c>
      <c r="D300" s="53" t="s">
        <v>688</v>
      </c>
      <c r="E300" s="66" t="s">
        <v>1024</v>
      </c>
      <c r="F300" s="69"/>
      <c r="G300" s="38">
        <f>SUM(G301)</f>
        <v>0</v>
      </c>
      <c r="H300" s="38">
        <f>SUM(H301)</f>
        <v>0</v>
      </c>
      <c r="I300" s="39" t="e">
        <f t="shared" si="7"/>
        <v>#DIV/0!</v>
      </c>
      <c r="J300" s="86"/>
      <c r="K300" s="86"/>
    </row>
    <row r="301" spans="1:11" s="55" customFormat="1" ht="15" customHeight="1" hidden="1">
      <c r="A301" s="40" t="s">
        <v>685</v>
      </c>
      <c r="B301" s="104"/>
      <c r="C301" s="53" t="s">
        <v>747</v>
      </c>
      <c r="D301" s="53" t="s">
        <v>688</v>
      </c>
      <c r="E301" s="66" t="s">
        <v>1024</v>
      </c>
      <c r="F301" s="69" t="s">
        <v>686</v>
      </c>
      <c r="G301" s="38"/>
      <c r="H301" s="38"/>
      <c r="I301" s="39" t="e">
        <f t="shared" si="7"/>
        <v>#DIV/0!</v>
      </c>
      <c r="J301" s="86"/>
      <c r="K301" s="86"/>
    </row>
    <row r="302" spans="1:11" s="55" customFormat="1" ht="42.75">
      <c r="A302" s="93" t="s">
        <v>1025</v>
      </c>
      <c r="B302" s="104"/>
      <c r="C302" s="53" t="s">
        <v>747</v>
      </c>
      <c r="D302" s="53" t="s">
        <v>688</v>
      </c>
      <c r="E302" s="66" t="s">
        <v>1026</v>
      </c>
      <c r="F302" s="69"/>
      <c r="G302" s="38">
        <f>SUM(G304+G303)</f>
        <v>219181.69999999998</v>
      </c>
      <c r="H302" s="38">
        <f>SUM(H304+H303)</f>
        <v>219181.69999999998</v>
      </c>
      <c r="I302" s="39">
        <f t="shared" si="7"/>
        <v>100</v>
      </c>
      <c r="J302" s="86"/>
      <c r="K302" s="86"/>
    </row>
    <row r="303" spans="1:11" s="55" customFormat="1" ht="15">
      <c r="A303" s="34" t="s">
        <v>903</v>
      </c>
      <c r="B303" s="104"/>
      <c r="C303" s="53" t="s">
        <v>747</v>
      </c>
      <c r="D303" s="53" t="s">
        <v>688</v>
      </c>
      <c r="E303" s="66" t="s">
        <v>1026</v>
      </c>
      <c r="F303" s="69" t="s">
        <v>904</v>
      </c>
      <c r="G303" s="38">
        <v>14894.8</v>
      </c>
      <c r="H303" s="38">
        <v>14894.8</v>
      </c>
      <c r="I303" s="39"/>
      <c r="J303" s="86">
        <f>SUM('[1]ведомствен.'!G247)</f>
        <v>14894.8</v>
      </c>
      <c r="K303" s="86">
        <f>SUM('[1]ведомствен.'!H247)</f>
        <v>14894.8</v>
      </c>
    </row>
    <row r="304" spans="1:11" s="55" customFormat="1" ht="15">
      <c r="A304" s="40" t="s">
        <v>685</v>
      </c>
      <c r="B304" s="104"/>
      <c r="C304" s="53" t="s">
        <v>747</v>
      </c>
      <c r="D304" s="53" t="s">
        <v>688</v>
      </c>
      <c r="E304" s="66" t="s">
        <v>1026</v>
      </c>
      <c r="F304" s="69" t="s">
        <v>686</v>
      </c>
      <c r="G304" s="38">
        <v>204286.9</v>
      </c>
      <c r="H304" s="38">
        <v>204286.9</v>
      </c>
      <c r="I304" s="39">
        <f t="shared" si="7"/>
        <v>100</v>
      </c>
      <c r="J304" s="6">
        <f>SUM('[1]ведомствен.'!G248)</f>
        <v>204286.90000000002</v>
      </c>
      <c r="K304" s="6">
        <f>SUM('[1]ведомствен.'!H248)</f>
        <v>204286.9</v>
      </c>
    </row>
    <row r="305" spans="1:11" s="55" customFormat="1" ht="57">
      <c r="A305" s="40" t="s">
        <v>1027</v>
      </c>
      <c r="B305" s="104"/>
      <c r="C305" s="53" t="s">
        <v>747</v>
      </c>
      <c r="D305" s="53" t="s">
        <v>688</v>
      </c>
      <c r="E305" s="66" t="s">
        <v>1028</v>
      </c>
      <c r="F305" s="69"/>
      <c r="G305" s="38">
        <f>SUM(G306)</f>
        <v>2672.3</v>
      </c>
      <c r="H305" s="38">
        <f>SUM(H306)</f>
        <v>2671.8</v>
      </c>
      <c r="I305" s="39">
        <f t="shared" si="7"/>
        <v>99.98128952587658</v>
      </c>
      <c r="J305" s="86"/>
      <c r="K305" s="86"/>
    </row>
    <row r="306" spans="1:11" s="55" customFormat="1" ht="14.25" customHeight="1">
      <c r="A306" s="40" t="s">
        <v>685</v>
      </c>
      <c r="B306" s="104"/>
      <c r="C306" s="53" t="s">
        <v>747</v>
      </c>
      <c r="D306" s="53" t="s">
        <v>688</v>
      </c>
      <c r="E306" s="66" t="s">
        <v>1028</v>
      </c>
      <c r="F306" s="69" t="s">
        <v>686</v>
      </c>
      <c r="G306" s="38">
        <v>2672.3</v>
      </c>
      <c r="H306" s="38">
        <v>2671.8</v>
      </c>
      <c r="I306" s="39">
        <f t="shared" si="7"/>
        <v>99.98128952587658</v>
      </c>
      <c r="J306" s="6">
        <f>SUM('[1]ведомствен.'!G250)</f>
        <v>2672.3</v>
      </c>
      <c r="K306" s="6">
        <f>SUM('[1]ведомствен.'!H250)</f>
        <v>2671.8</v>
      </c>
    </row>
    <row r="307" spans="1:11" s="55" customFormat="1" ht="14.25" customHeight="1">
      <c r="A307" s="93" t="s">
        <v>1029</v>
      </c>
      <c r="B307" s="104"/>
      <c r="C307" s="53" t="s">
        <v>747</v>
      </c>
      <c r="D307" s="53" t="s">
        <v>688</v>
      </c>
      <c r="E307" s="66" t="s">
        <v>1030</v>
      </c>
      <c r="F307" s="69"/>
      <c r="G307" s="38">
        <f>SUM(G309+G308)</f>
        <v>817.3</v>
      </c>
      <c r="H307" s="38">
        <f>SUM(H309+H308)</f>
        <v>817.3</v>
      </c>
      <c r="I307" s="39">
        <f t="shared" si="7"/>
        <v>100</v>
      </c>
      <c r="J307" s="86"/>
      <c r="K307" s="86"/>
    </row>
    <row r="308" spans="1:11" ht="16.5" customHeight="1" hidden="1">
      <c r="A308" s="34" t="s">
        <v>903</v>
      </c>
      <c r="B308" s="104"/>
      <c r="C308" s="53" t="s">
        <v>747</v>
      </c>
      <c r="D308" s="53" t="s">
        <v>688</v>
      </c>
      <c r="E308" s="66" t="s">
        <v>1030</v>
      </c>
      <c r="F308" s="69" t="s">
        <v>904</v>
      </c>
      <c r="G308" s="38"/>
      <c r="H308" s="38"/>
      <c r="I308" s="39"/>
      <c r="J308">
        <f>SUM('[1]ведомствен.'!G252)</f>
        <v>0</v>
      </c>
      <c r="K308">
        <f>SUM('[1]ведомствен.'!H252)</f>
        <v>0</v>
      </c>
    </row>
    <row r="309" spans="1:11" s="55" customFormat="1" ht="19.5" customHeight="1">
      <c r="A309" s="40" t="s">
        <v>685</v>
      </c>
      <c r="B309" s="104"/>
      <c r="C309" s="53" t="s">
        <v>747</v>
      </c>
      <c r="D309" s="53" t="s">
        <v>688</v>
      </c>
      <c r="E309" s="66" t="s">
        <v>1030</v>
      </c>
      <c r="F309" s="69" t="s">
        <v>686</v>
      </c>
      <c r="G309" s="38">
        <v>817.3</v>
      </c>
      <c r="H309" s="38">
        <v>817.3</v>
      </c>
      <c r="I309" s="39">
        <f t="shared" si="7"/>
        <v>100</v>
      </c>
      <c r="J309" s="6">
        <f>SUM('[1]ведомствен.'!G253)</f>
        <v>817.3</v>
      </c>
      <c r="K309" s="6">
        <f>SUM('[1]ведомствен.'!H253)</f>
        <v>817.3</v>
      </c>
    </row>
    <row r="310" spans="1:11" s="55" customFormat="1" ht="28.5">
      <c r="A310" s="93" t="s">
        <v>1031</v>
      </c>
      <c r="B310" s="104"/>
      <c r="C310" s="53" t="s">
        <v>747</v>
      </c>
      <c r="D310" s="53" t="s">
        <v>688</v>
      </c>
      <c r="E310" s="66" t="s">
        <v>1032</v>
      </c>
      <c r="F310" s="69"/>
      <c r="G310" s="38">
        <f>SUM(G312+G311)</f>
        <v>14943.2</v>
      </c>
      <c r="H310" s="38">
        <f>SUM(H312+H311)</f>
        <v>14852.1</v>
      </c>
      <c r="I310" s="39">
        <f t="shared" si="7"/>
        <v>99.39035815621821</v>
      </c>
      <c r="J310" s="86"/>
      <c r="K310" s="86"/>
    </row>
    <row r="311" spans="1:11" s="108" customFormat="1" ht="15">
      <c r="A311" s="34" t="s">
        <v>903</v>
      </c>
      <c r="B311" s="104"/>
      <c r="C311" s="53" t="s">
        <v>747</v>
      </c>
      <c r="D311" s="53" t="s">
        <v>688</v>
      </c>
      <c r="E311" s="66" t="s">
        <v>1032</v>
      </c>
      <c r="F311" s="69" t="s">
        <v>904</v>
      </c>
      <c r="G311" s="38">
        <v>440</v>
      </c>
      <c r="H311" s="38">
        <v>440</v>
      </c>
      <c r="I311" s="39"/>
      <c r="J311" s="107">
        <f>SUM('[1]ведомствен.'!G255)</f>
        <v>440</v>
      </c>
      <c r="K311" s="107">
        <f>SUM('[1]ведомствен.'!H255)</f>
        <v>440</v>
      </c>
    </row>
    <row r="312" spans="1:11" s="55" customFormat="1" ht="14.25" customHeight="1">
      <c r="A312" s="40" t="s">
        <v>685</v>
      </c>
      <c r="B312" s="104"/>
      <c r="C312" s="53" t="s">
        <v>747</v>
      </c>
      <c r="D312" s="53" t="s">
        <v>688</v>
      </c>
      <c r="E312" s="66" t="s">
        <v>1032</v>
      </c>
      <c r="F312" s="69" t="s">
        <v>686</v>
      </c>
      <c r="G312" s="38">
        <v>14503.2</v>
      </c>
      <c r="H312" s="38">
        <v>14412.1</v>
      </c>
      <c r="I312" s="39">
        <f t="shared" si="7"/>
        <v>99.37186276132164</v>
      </c>
      <c r="J312" s="6">
        <f>SUM('[1]ведомствен.'!G256)</f>
        <v>14503.2</v>
      </c>
      <c r="K312" s="6">
        <f>SUM('[1]ведомствен.'!H256)</f>
        <v>14412.1</v>
      </c>
    </row>
    <row r="313" spans="1:11" s="55" customFormat="1" ht="15">
      <c r="A313" s="93" t="s">
        <v>742</v>
      </c>
      <c r="B313" s="104"/>
      <c r="C313" s="53" t="s">
        <v>747</v>
      </c>
      <c r="D313" s="53" t="s">
        <v>688</v>
      </c>
      <c r="E313" s="66" t="s">
        <v>743</v>
      </c>
      <c r="F313" s="69"/>
      <c r="G313" s="38">
        <f>SUM(G314,G318)</f>
        <v>1846.8</v>
      </c>
      <c r="H313" s="38">
        <f>SUM(H314,H318)</f>
        <v>1846.8</v>
      </c>
      <c r="I313" s="39">
        <f t="shared" si="7"/>
        <v>100</v>
      </c>
      <c r="J313" s="86"/>
      <c r="K313" s="86"/>
    </row>
    <row r="314" spans="1:11" s="55" customFormat="1" ht="29.25" customHeight="1">
      <c r="A314" s="40" t="s">
        <v>1033</v>
      </c>
      <c r="B314" s="104"/>
      <c r="C314" s="53" t="s">
        <v>747</v>
      </c>
      <c r="D314" s="53" t="s">
        <v>688</v>
      </c>
      <c r="E314" s="66" t="s">
        <v>1008</v>
      </c>
      <c r="F314" s="69"/>
      <c r="G314" s="38">
        <f>SUM(G315:G317)</f>
        <v>546.8</v>
      </c>
      <c r="H314" s="38">
        <f>SUM(H315:H317)</f>
        <v>546.8</v>
      </c>
      <c r="I314" s="39">
        <f t="shared" si="7"/>
        <v>100</v>
      </c>
      <c r="J314" s="6"/>
      <c r="K314" s="6"/>
    </row>
    <row r="315" spans="1:11" s="98" customFormat="1" ht="36.75" customHeight="1" hidden="1">
      <c r="A315" s="93" t="s">
        <v>1034</v>
      </c>
      <c r="B315" s="109"/>
      <c r="C315" s="53" t="s">
        <v>747</v>
      </c>
      <c r="D315" s="53" t="s">
        <v>688</v>
      </c>
      <c r="E315" s="66" t="s">
        <v>1035</v>
      </c>
      <c r="F315" s="69" t="s">
        <v>686</v>
      </c>
      <c r="G315" s="71"/>
      <c r="H315" s="71"/>
      <c r="I315" s="39" t="e">
        <f t="shared" si="7"/>
        <v>#DIV/0!</v>
      </c>
      <c r="J315" s="97"/>
      <c r="K315" s="97"/>
    </row>
    <row r="316" spans="1:11" s="98" customFormat="1" ht="23.25" customHeight="1">
      <c r="A316" s="40" t="s">
        <v>685</v>
      </c>
      <c r="B316" s="104"/>
      <c r="C316" s="53" t="s">
        <v>747</v>
      </c>
      <c r="D316" s="53" t="s">
        <v>688</v>
      </c>
      <c r="E316" s="66" t="s">
        <v>1008</v>
      </c>
      <c r="F316" s="37" t="s">
        <v>686</v>
      </c>
      <c r="G316" s="71">
        <v>546.8</v>
      </c>
      <c r="H316" s="71">
        <v>546.8</v>
      </c>
      <c r="I316" s="39">
        <f t="shared" si="7"/>
        <v>100</v>
      </c>
      <c r="J316" s="6">
        <f>SUM('[1]ведомствен.'!G259)</f>
        <v>546.8</v>
      </c>
      <c r="K316" s="6">
        <f>SUM('[1]ведомствен.'!H259)</f>
        <v>546.8</v>
      </c>
    </row>
    <row r="317" spans="1:11" s="98" customFormat="1" ht="46.5" customHeight="1" hidden="1">
      <c r="A317" s="65" t="s">
        <v>1036</v>
      </c>
      <c r="B317" s="109"/>
      <c r="C317" s="53" t="s">
        <v>747</v>
      </c>
      <c r="D317" s="53" t="s">
        <v>688</v>
      </c>
      <c r="E317" s="66" t="s">
        <v>1037</v>
      </c>
      <c r="F317" s="69" t="s">
        <v>686</v>
      </c>
      <c r="G317" s="71"/>
      <c r="H317" s="71"/>
      <c r="I317" s="39" t="e">
        <f t="shared" si="7"/>
        <v>#DIV/0!</v>
      </c>
      <c r="J317" s="97"/>
      <c r="K317" s="97"/>
    </row>
    <row r="318" spans="1:11" ht="28.5">
      <c r="A318" s="51" t="s">
        <v>1038</v>
      </c>
      <c r="B318" s="35"/>
      <c r="C318" s="48" t="s">
        <v>747</v>
      </c>
      <c r="D318" s="48" t="s">
        <v>688</v>
      </c>
      <c r="E318" s="48" t="s">
        <v>1039</v>
      </c>
      <c r="F318" s="41"/>
      <c r="G318" s="71">
        <f>SUM(G319)</f>
        <v>1300</v>
      </c>
      <c r="H318" s="71">
        <f>SUM(H319)</f>
        <v>1300</v>
      </c>
      <c r="I318" s="39"/>
      <c r="J318"/>
      <c r="K318"/>
    </row>
    <row r="319" spans="1:11" ht="15">
      <c r="A319" s="51" t="s">
        <v>903</v>
      </c>
      <c r="B319" s="35"/>
      <c r="C319" s="48" t="s">
        <v>747</v>
      </c>
      <c r="D319" s="48" t="s">
        <v>688</v>
      </c>
      <c r="E319" s="48" t="s">
        <v>1040</v>
      </c>
      <c r="F319" s="41" t="s">
        <v>904</v>
      </c>
      <c r="G319" s="71">
        <v>1300</v>
      </c>
      <c r="H319" s="71">
        <v>1300</v>
      </c>
      <c r="I319" s="39"/>
      <c r="J319">
        <f>SUM('[1]ведомствен.'!G263)</f>
        <v>1300</v>
      </c>
      <c r="K319">
        <f>SUM('[1]ведомствен.'!H263)</f>
        <v>1300</v>
      </c>
    </row>
    <row r="320" spans="1:9" ht="32.25" customHeight="1">
      <c r="A320" s="84" t="s">
        <v>1041</v>
      </c>
      <c r="B320" s="35"/>
      <c r="C320" s="53" t="s">
        <v>747</v>
      </c>
      <c r="D320" s="53" t="s">
        <v>747</v>
      </c>
      <c r="E320" s="53"/>
      <c r="F320" s="42"/>
      <c r="G320" s="38">
        <f>SUM(G324+G328+G343+G331)+G339+G323</f>
        <v>19615.199999999997</v>
      </c>
      <c r="H320" s="38">
        <f>SUM(H324+H328+H343+H331)+H339+H323</f>
        <v>18053</v>
      </c>
      <c r="I320" s="39">
        <f t="shared" si="7"/>
        <v>92.03576817977897</v>
      </c>
    </row>
    <row r="321" spans="1:11" ht="20.25" customHeight="1">
      <c r="A321" s="34" t="s">
        <v>769</v>
      </c>
      <c r="B321" s="35"/>
      <c r="C321" s="53" t="s">
        <v>747</v>
      </c>
      <c r="D321" s="53" t="s">
        <v>747</v>
      </c>
      <c r="E321" s="36" t="s">
        <v>771</v>
      </c>
      <c r="F321" s="37"/>
      <c r="G321" s="38">
        <f>SUM(G323)</f>
        <v>105</v>
      </c>
      <c r="H321" s="38">
        <f>SUM(H323)</f>
        <v>105</v>
      </c>
      <c r="I321" s="39">
        <f>SUM(H321/G321*100)</f>
        <v>100</v>
      </c>
      <c r="J321"/>
      <c r="K321"/>
    </row>
    <row r="322" spans="1:11" ht="15">
      <c r="A322" s="57" t="s">
        <v>740</v>
      </c>
      <c r="B322" s="35"/>
      <c r="C322" s="53" t="s">
        <v>747</v>
      </c>
      <c r="D322" s="53" t="s">
        <v>747</v>
      </c>
      <c r="E322" s="53" t="s">
        <v>741</v>
      </c>
      <c r="F322" s="41"/>
      <c r="G322" s="38">
        <f>SUM(G323)</f>
        <v>105</v>
      </c>
      <c r="H322" s="38">
        <f>SUM(H323)</f>
        <v>105</v>
      </c>
      <c r="I322" s="39"/>
      <c r="J322"/>
      <c r="K322"/>
    </row>
    <row r="323" spans="1:11" ht="15">
      <c r="A323" s="51" t="s">
        <v>1042</v>
      </c>
      <c r="B323" s="35"/>
      <c r="C323" s="36" t="s">
        <v>887</v>
      </c>
      <c r="D323" s="36" t="s">
        <v>714</v>
      </c>
      <c r="E323" s="53" t="s">
        <v>741</v>
      </c>
      <c r="F323" s="41" t="s">
        <v>791</v>
      </c>
      <c r="G323" s="38">
        <v>105</v>
      </c>
      <c r="H323" s="38">
        <v>105</v>
      </c>
      <c r="I323" s="39"/>
      <c r="J323">
        <f>SUM('[1]ведомствен.'!G267)</f>
        <v>105</v>
      </c>
      <c r="K323">
        <f>SUM('[1]ведомствен.'!H267)</f>
        <v>105</v>
      </c>
    </row>
    <row r="324" spans="1:11" s="55" customFormat="1" ht="30.75" customHeight="1">
      <c r="A324" s="51" t="s">
        <v>787</v>
      </c>
      <c r="B324" s="52"/>
      <c r="C324" s="53" t="s">
        <v>747</v>
      </c>
      <c r="D324" s="53" t="s">
        <v>747</v>
      </c>
      <c r="E324" s="53" t="s">
        <v>726</v>
      </c>
      <c r="F324" s="41"/>
      <c r="G324" s="38">
        <f>SUM(G325)</f>
        <v>4000</v>
      </c>
      <c r="H324" s="38">
        <f>SUM(H325)</f>
        <v>3941.5</v>
      </c>
      <c r="I324" s="39">
        <f t="shared" si="7"/>
        <v>98.5375</v>
      </c>
      <c r="J324" s="86"/>
      <c r="K324" s="86"/>
    </row>
    <row r="325" spans="1:11" s="55" customFormat="1" ht="30.75" customHeight="1">
      <c r="A325" s="54" t="s">
        <v>727</v>
      </c>
      <c r="B325" s="35"/>
      <c r="C325" s="53" t="s">
        <v>747</v>
      </c>
      <c r="D325" s="53" t="s">
        <v>747</v>
      </c>
      <c r="E325" s="53" t="s">
        <v>1043</v>
      </c>
      <c r="F325" s="42"/>
      <c r="G325" s="38">
        <f>SUM(G327)</f>
        <v>4000</v>
      </c>
      <c r="H325" s="38">
        <f>SUM(H327)</f>
        <v>3941.5</v>
      </c>
      <c r="I325" s="39">
        <f t="shared" si="7"/>
        <v>98.5375</v>
      </c>
      <c r="J325" s="86"/>
      <c r="K325" s="86"/>
    </row>
    <row r="326" spans="1:11" s="55" customFormat="1" ht="42" customHeight="1">
      <c r="A326" s="54" t="s">
        <v>1044</v>
      </c>
      <c r="B326" s="35"/>
      <c r="C326" s="53" t="s">
        <v>747</v>
      </c>
      <c r="D326" s="53" t="s">
        <v>747</v>
      </c>
      <c r="E326" s="53" t="s">
        <v>1045</v>
      </c>
      <c r="F326" s="42"/>
      <c r="G326" s="38">
        <f>SUM(G327)</f>
        <v>4000</v>
      </c>
      <c r="H326" s="38">
        <f>SUM(H327)</f>
        <v>3941.5</v>
      </c>
      <c r="I326" s="39">
        <f t="shared" si="7"/>
        <v>98.5375</v>
      </c>
      <c r="J326" s="86"/>
      <c r="K326" s="86"/>
    </row>
    <row r="327" spans="1:11" s="55" customFormat="1" ht="16.5" customHeight="1">
      <c r="A327" s="51" t="s">
        <v>1042</v>
      </c>
      <c r="B327" s="35"/>
      <c r="C327" s="53" t="s">
        <v>747</v>
      </c>
      <c r="D327" s="53" t="s">
        <v>747</v>
      </c>
      <c r="E327" s="53" t="s">
        <v>1045</v>
      </c>
      <c r="F327" s="41" t="s">
        <v>791</v>
      </c>
      <c r="G327" s="71">
        <v>4000</v>
      </c>
      <c r="H327" s="71">
        <v>3941.5</v>
      </c>
      <c r="I327" s="39">
        <f t="shared" si="7"/>
        <v>98.5375</v>
      </c>
      <c r="J327" s="6">
        <f>SUM('[1]ведомствен.'!G274)</f>
        <v>4000</v>
      </c>
      <c r="K327" s="6">
        <f>SUM('[1]ведомствен.'!H274)</f>
        <v>3941.5</v>
      </c>
    </row>
    <row r="328" spans="1:9" ht="30" customHeight="1" hidden="1">
      <c r="A328" s="54" t="s">
        <v>1046</v>
      </c>
      <c r="B328" s="35"/>
      <c r="C328" s="53" t="s">
        <v>747</v>
      </c>
      <c r="D328" s="53" t="s">
        <v>747</v>
      </c>
      <c r="E328" s="53" t="s">
        <v>1047</v>
      </c>
      <c r="F328" s="42"/>
      <c r="G328" s="38">
        <f>SUM(G329)</f>
        <v>0</v>
      </c>
      <c r="H328" s="38">
        <f>SUM(H329)</f>
        <v>0</v>
      </c>
      <c r="I328" s="39" t="e">
        <f t="shared" si="7"/>
        <v>#DIV/0!</v>
      </c>
    </row>
    <row r="329" spans="1:9" ht="30.75" customHeight="1" hidden="1">
      <c r="A329" s="54" t="s">
        <v>1005</v>
      </c>
      <c r="B329" s="35"/>
      <c r="C329" s="53" t="s">
        <v>747</v>
      </c>
      <c r="D329" s="53" t="s">
        <v>747</v>
      </c>
      <c r="E329" s="53" t="s">
        <v>1048</v>
      </c>
      <c r="F329" s="42"/>
      <c r="G329" s="38">
        <f>SUM(G330)</f>
        <v>0</v>
      </c>
      <c r="H329" s="38">
        <f>SUM(H330)</f>
        <v>0</v>
      </c>
      <c r="I329" s="39" t="e">
        <f t="shared" si="7"/>
        <v>#DIV/0!</v>
      </c>
    </row>
    <row r="330" spans="1:9" ht="15.75" customHeight="1" hidden="1">
      <c r="A330" s="51" t="s">
        <v>1042</v>
      </c>
      <c r="B330" s="35"/>
      <c r="C330" s="53" t="s">
        <v>747</v>
      </c>
      <c r="D330" s="53" t="s">
        <v>747</v>
      </c>
      <c r="E330" s="53" t="s">
        <v>1048</v>
      </c>
      <c r="F330" s="41" t="s">
        <v>791</v>
      </c>
      <c r="G330" s="71">
        <f>SUM('[2]Ведомств.'!F241)</f>
        <v>0</v>
      </c>
      <c r="H330" s="71">
        <f>SUM('[2]Ведомств.'!G241)</f>
        <v>0</v>
      </c>
      <c r="I330" s="39" t="e">
        <f t="shared" si="7"/>
        <v>#DIV/0!</v>
      </c>
    </row>
    <row r="331" spans="1:9" ht="21.75" customHeight="1">
      <c r="A331" s="54" t="s">
        <v>906</v>
      </c>
      <c r="B331" s="66"/>
      <c r="C331" s="53" t="s">
        <v>747</v>
      </c>
      <c r="D331" s="53" t="s">
        <v>747</v>
      </c>
      <c r="E331" s="66" t="s">
        <v>907</v>
      </c>
      <c r="F331" s="41"/>
      <c r="G331" s="71">
        <f>SUM(G332+G337)</f>
        <v>10958.4</v>
      </c>
      <c r="H331" s="71">
        <f>SUM(H332+H337)</f>
        <v>9504.3</v>
      </c>
      <c r="I331" s="39">
        <f t="shared" si="7"/>
        <v>86.73072711344722</v>
      </c>
    </row>
    <row r="332" spans="1:9" ht="42.75" customHeight="1">
      <c r="A332" s="34" t="s">
        <v>965</v>
      </c>
      <c r="B332" s="66"/>
      <c r="C332" s="53" t="s">
        <v>747</v>
      </c>
      <c r="D332" s="53" t="s">
        <v>747</v>
      </c>
      <c r="E332" s="66" t="s">
        <v>966</v>
      </c>
      <c r="F332" s="41"/>
      <c r="G332" s="71">
        <f>SUM(G333+G335)</f>
        <v>10958.4</v>
      </c>
      <c r="H332" s="71">
        <f>SUM(H333+H335)</f>
        <v>9504.3</v>
      </c>
      <c r="I332" s="39">
        <f t="shared" si="7"/>
        <v>86.73072711344722</v>
      </c>
    </row>
    <row r="333" spans="1:9" ht="32.25" customHeight="1">
      <c r="A333" s="54" t="s">
        <v>1005</v>
      </c>
      <c r="B333" s="35"/>
      <c r="C333" s="53" t="s">
        <v>747</v>
      </c>
      <c r="D333" s="53" t="s">
        <v>747</v>
      </c>
      <c r="E333" s="66" t="s">
        <v>1006</v>
      </c>
      <c r="F333" s="41"/>
      <c r="G333" s="71">
        <f>SUM(G334+G342)</f>
        <v>10958.4</v>
      </c>
      <c r="H333" s="71">
        <f>SUM(H334+H342)</f>
        <v>9504.3</v>
      </c>
      <c r="I333" s="39">
        <f t="shared" si="7"/>
        <v>86.73072711344722</v>
      </c>
    </row>
    <row r="334" spans="1:11" ht="15.75" customHeight="1">
      <c r="A334" s="51" t="s">
        <v>1042</v>
      </c>
      <c r="B334" s="35"/>
      <c r="C334" s="53" t="s">
        <v>747</v>
      </c>
      <c r="D334" s="53" t="s">
        <v>747</v>
      </c>
      <c r="E334" s="66" t="s">
        <v>1006</v>
      </c>
      <c r="F334" s="41" t="s">
        <v>791</v>
      </c>
      <c r="G334" s="71">
        <v>6039.4</v>
      </c>
      <c r="H334" s="71">
        <v>5276.4</v>
      </c>
      <c r="I334" s="39">
        <f t="shared" si="7"/>
        <v>87.36629466503295</v>
      </c>
      <c r="J334" s="6">
        <f>SUM('[1]ведомствен.'!G278)</f>
        <v>6039.400000000001</v>
      </c>
      <c r="K334" s="6">
        <f>SUM('[1]ведомствен.'!H278)</f>
        <v>5276.4</v>
      </c>
    </row>
    <row r="335" spans="1:9" ht="28.5" customHeight="1" hidden="1">
      <c r="A335" s="51" t="s">
        <v>1049</v>
      </c>
      <c r="B335" s="35"/>
      <c r="C335" s="53" t="s">
        <v>747</v>
      </c>
      <c r="D335" s="53" t="s">
        <v>747</v>
      </c>
      <c r="E335" s="66" t="s">
        <v>1050</v>
      </c>
      <c r="F335" s="41"/>
      <c r="G335" s="71">
        <f>SUM(G336)</f>
        <v>0</v>
      </c>
      <c r="H335" s="71">
        <f>SUM(H336)</f>
        <v>0</v>
      </c>
      <c r="I335" s="39" t="e">
        <f aca="true" t="shared" si="9" ref="I335:I398">SUM(H335/G335*100)</f>
        <v>#DIV/0!</v>
      </c>
    </row>
    <row r="336" spans="1:9" ht="15" customHeight="1" hidden="1">
      <c r="A336" s="51" t="s">
        <v>1042</v>
      </c>
      <c r="B336" s="35"/>
      <c r="C336" s="53" t="s">
        <v>747</v>
      </c>
      <c r="D336" s="53" t="s">
        <v>747</v>
      </c>
      <c r="E336" s="66" t="s">
        <v>1050</v>
      </c>
      <c r="F336" s="41" t="s">
        <v>791</v>
      </c>
      <c r="G336" s="71"/>
      <c r="H336" s="71"/>
      <c r="I336" s="39" t="e">
        <f t="shared" si="9"/>
        <v>#DIV/0!</v>
      </c>
    </row>
    <row r="337" spans="1:9" ht="28.5" customHeight="1" hidden="1">
      <c r="A337" s="51" t="s">
        <v>1051</v>
      </c>
      <c r="B337" s="35"/>
      <c r="C337" s="53" t="s">
        <v>747</v>
      </c>
      <c r="D337" s="53" t="s">
        <v>747</v>
      </c>
      <c r="E337" s="66" t="s">
        <v>1052</v>
      </c>
      <c r="F337" s="41"/>
      <c r="G337" s="71">
        <f>SUM(G338)</f>
        <v>0</v>
      </c>
      <c r="H337" s="71">
        <f>SUM(H338)</f>
        <v>0</v>
      </c>
      <c r="I337" s="39" t="e">
        <f t="shared" si="9"/>
        <v>#DIV/0!</v>
      </c>
    </row>
    <row r="338" spans="1:9" ht="15" customHeight="1" hidden="1">
      <c r="A338" s="51" t="s">
        <v>1042</v>
      </c>
      <c r="B338" s="35"/>
      <c r="C338" s="53" t="s">
        <v>747</v>
      </c>
      <c r="D338" s="53" t="s">
        <v>747</v>
      </c>
      <c r="E338" s="66" t="s">
        <v>1052</v>
      </c>
      <c r="F338" s="41" t="s">
        <v>791</v>
      </c>
      <c r="G338" s="71"/>
      <c r="H338" s="71"/>
      <c r="I338" s="39" t="e">
        <f t="shared" si="9"/>
        <v>#DIV/0!</v>
      </c>
    </row>
    <row r="339" spans="1:9" ht="28.5" customHeight="1" hidden="1">
      <c r="A339" s="51" t="s">
        <v>1053</v>
      </c>
      <c r="B339" s="35"/>
      <c r="C339" s="53" t="s">
        <v>747</v>
      </c>
      <c r="D339" s="53" t="s">
        <v>747</v>
      </c>
      <c r="E339" s="66" t="s">
        <v>1054</v>
      </c>
      <c r="F339" s="41"/>
      <c r="G339" s="71">
        <f>SUM(G340)</f>
        <v>0</v>
      </c>
      <c r="H339" s="71">
        <f>SUM(H340)</f>
        <v>0</v>
      </c>
      <c r="I339" s="39" t="e">
        <f t="shared" si="9"/>
        <v>#DIV/0!</v>
      </c>
    </row>
    <row r="340" spans="1:9" ht="15" customHeight="1" hidden="1">
      <c r="A340" s="51" t="s">
        <v>1055</v>
      </c>
      <c r="B340" s="35"/>
      <c r="C340" s="53" t="s">
        <v>747</v>
      </c>
      <c r="D340" s="53" t="s">
        <v>747</v>
      </c>
      <c r="E340" s="66" t="s">
        <v>1056</v>
      </c>
      <c r="F340" s="41"/>
      <c r="G340" s="71">
        <f>SUM(G341)</f>
        <v>0</v>
      </c>
      <c r="H340" s="71">
        <f>SUM(H341)</f>
        <v>0</v>
      </c>
      <c r="I340" s="39" t="e">
        <f t="shared" si="9"/>
        <v>#DIV/0!</v>
      </c>
    </row>
    <row r="341" spans="1:9" ht="15" customHeight="1" hidden="1">
      <c r="A341" s="51" t="s">
        <v>1042</v>
      </c>
      <c r="B341" s="35"/>
      <c r="C341" s="53" t="s">
        <v>747</v>
      </c>
      <c r="D341" s="53" t="s">
        <v>747</v>
      </c>
      <c r="E341" s="66" t="s">
        <v>1056</v>
      </c>
      <c r="F341" s="41" t="s">
        <v>791</v>
      </c>
      <c r="G341" s="71"/>
      <c r="H341" s="71"/>
      <c r="I341" s="39" t="e">
        <f t="shared" si="9"/>
        <v>#DIV/0!</v>
      </c>
    </row>
    <row r="342" spans="1:11" ht="15" customHeight="1">
      <c r="A342" s="40" t="s">
        <v>685</v>
      </c>
      <c r="B342" s="35"/>
      <c r="C342" s="53" t="s">
        <v>747</v>
      </c>
      <c r="D342" s="53" t="s">
        <v>747</v>
      </c>
      <c r="E342" s="66" t="s">
        <v>1006</v>
      </c>
      <c r="F342" s="41" t="s">
        <v>686</v>
      </c>
      <c r="G342" s="71">
        <v>4919</v>
      </c>
      <c r="H342" s="71">
        <v>4227.9</v>
      </c>
      <c r="I342" s="39">
        <f t="shared" si="9"/>
        <v>85.95039642203699</v>
      </c>
      <c r="J342" s="6">
        <f>SUM('[1]ведомствен.'!G286)</f>
        <v>4919</v>
      </c>
      <c r="K342" s="6">
        <f>SUM('[1]ведомствен.'!H286)</f>
        <v>4227.9</v>
      </c>
    </row>
    <row r="343" spans="1:9" ht="15">
      <c r="A343" s="40" t="s">
        <v>742</v>
      </c>
      <c r="B343" s="35"/>
      <c r="C343" s="53" t="s">
        <v>747</v>
      </c>
      <c r="D343" s="53" t="s">
        <v>747</v>
      </c>
      <c r="E343" s="36" t="s">
        <v>743</v>
      </c>
      <c r="F343" s="42"/>
      <c r="G343" s="38">
        <f>SUM(G345+G349)</f>
        <v>4551.8</v>
      </c>
      <c r="H343" s="38">
        <f>SUM(H345+H349)</f>
        <v>4502.2</v>
      </c>
      <c r="I343" s="39">
        <f t="shared" si="9"/>
        <v>98.91032119161649</v>
      </c>
    </row>
    <row r="344" spans="1:9" ht="15" customHeight="1" hidden="1">
      <c r="A344" s="51" t="s">
        <v>1042</v>
      </c>
      <c r="B344" s="35"/>
      <c r="C344" s="53" t="s">
        <v>747</v>
      </c>
      <c r="D344" s="53" t="s">
        <v>747</v>
      </c>
      <c r="E344" s="36" t="s">
        <v>743</v>
      </c>
      <c r="F344" s="42" t="s">
        <v>791</v>
      </c>
      <c r="G344" s="38">
        <f>SUM(G345:G349)</f>
        <v>5893.3</v>
      </c>
      <c r="H344" s="38">
        <f>SUM(H345:H349)</f>
        <v>5841.2</v>
      </c>
      <c r="I344" s="39">
        <f t="shared" si="9"/>
        <v>99.11594522593454</v>
      </c>
    </row>
    <row r="345" spans="1:11" s="113" customFormat="1" ht="20.25" customHeight="1">
      <c r="A345" s="103" t="s">
        <v>1057</v>
      </c>
      <c r="B345" s="110"/>
      <c r="C345" s="111" t="s">
        <v>747</v>
      </c>
      <c r="D345" s="111" t="s">
        <v>747</v>
      </c>
      <c r="E345" s="66" t="s">
        <v>1058</v>
      </c>
      <c r="F345" s="42"/>
      <c r="G345" s="102">
        <f>SUM(G346)</f>
        <v>1341.5</v>
      </c>
      <c r="H345" s="102">
        <f>SUM(H346)</f>
        <v>1339</v>
      </c>
      <c r="I345" s="39">
        <f t="shared" si="9"/>
        <v>99.81364144614237</v>
      </c>
      <c r="J345" s="112"/>
      <c r="K345" s="112"/>
    </row>
    <row r="346" spans="1:11" s="113" customFormat="1" ht="20.25" customHeight="1">
      <c r="A346" s="51" t="s">
        <v>1042</v>
      </c>
      <c r="B346" s="35"/>
      <c r="C346" s="53" t="s">
        <v>747</v>
      </c>
      <c r="D346" s="53" t="s">
        <v>747</v>
      </c>
      <c r="E346" s="66" t="s">
        <v>1058</v>
      </c>
      <c r="F346" s="41" t="s">
        <v>791</v>
      </c>
      <c r="G346" s="102">
        <v>1341.5</v>
      </c>
      <c r="H346" s="102">
        <v>1339</v>
      </c>
      <c r="I346" s="39">
        <f t="shared" si="9"/>
        <v>99.81364144614237</v>
      </c>
      <c r="J346" s="6">
        <f>SUM('[1]ведомствен.'!G288)</f>
        <v>1341.5</v>
      </c>
      <c r="K346" s="6">
        <f>SUM('[1]ведомствен.'!H288)</f>
        <v>1339</v>
      </c>
    </row>
    <row r="347" spans="1:11" s="113" customFormat="1" ht="35.25" customHeight="1" hidden="1">
      <c r="A347" s="93" t="s">
        <v>1009</v>
      </c>
      <c r="B347" s="104"/>
      <c r="C347" s="66" t="s">
        <v>747</v>
      </c>
      <c r="D347" s="66" t="s">
        <v>680</v>
      </c>
      <c r="E347" s="66" t="s">
        <v>1010</v>
      </c>
      <c r="F347" s="37"/>
      <c r="G347" s="38">
        <f>SUM(G348)</f>
        <v>0</v>
      </c>
      <c r="H347" s="38">
        <f>SUM(H348)</f>
        <v>0</v>
      </c>
      <c r="I347" s="39" t="e">
        <f t="shared" si="9"/>
        <v>#DIV/0!</v>
      </c>
      <c r="J347" s="112"/>
      <c r="K347" s="112"/>
    </row>
    <row r="348" spans="1:11" s="113" customFormat="1" ht="19.5" customHeight="1" hidden="1">
      <c r="A348" s="40" t="s">
        <v>685</v>
      </c>
      <c r="B348" s="104"/>
      <c r="C348" s="53" t="s">
        <v>747</v>
      </c>
      <c r="D348" s="53" t="s">
        <v>747</v>
      </c>
      <c r="E348" s="66" t="s">
        <v>1010</v>
      </c>
      <c r="F348" s="69" t="s">
        <v>686</v>
      </c>
      <c r="G348" s="71"/>
      <c r="H348" s="71"/>
      <c r="I348" s="39" t="e">
        <f t="shared" si="9"/>
        <v>#DIV/0!</v>
      </c>
      <c r="J348" s="112"/>
      <c r="K348" s="112"/>
    </row>
    <row r="349" spans="1:9" ht="27.75" customHeight="1">
      <c r="A349" s="51" t="s">
        <v>984</v>
      </c>
      <c r="B349" s="35"/>
      <c r="C349" s="53" t="s">
        <v>747</v>
      </c>
      <c r="D349" s="53" t="s">
        <v>747</v>
      </c>
      <c r="E349" s="36" t="s">
        <v>1014</v>
      </c>
      <c r="F349" s="42"/>
      <c r="G349" s="38">
        <f>SUM(G350+G353)</f>
        <v>3210.3</v>
      </c>
      <c r="H349" s="38">
        <f>SUM(H350+H353)</f>
        <v>3163.2</v>
      </c>
      <c r="I349" s="39">
        <f t="shared" si="9"/>
        <v>98.53284739743948</v>
      </c>
    </row>
    <row r="350" spans="1:11" s="113" customFormat="1" ht="28.5">
      <c r="A350" s="103" t="s">
        <v>1005</v>
      </c>
      <c r="B350" s="110"/>
      <c r="C350" s="53" t="s">
        <v>747</v>
      </c>
      <c r="D350" s="53" t="s">
        <v>747</v>
      </c>
      <c r="E350" s="36" t="s">
        <v>1015</v>
      </c>
      <c r="F350" s="42"/>
      <c r="G350" s="102">
        <f>SUM(G351:G352)</f>
        <v>2329.5</v>
      </c>
      <c r="H350" s="102">
        <f>SUM(H351:H352)</f>
        <v>2282.4</v>
      </c>
      <c r="I350" s="39">
        <f t="shared" si="9"/>
        <v>97.97810688989054</v>
      </c>
      <c r="J350" s="112"/>
      <c r="K350" s="112"/>
    </row>
    <row r="351" spans="1:11" s="113" customFormat="1" ht="15">
      <c r="A351" s="51" t="s">
        <v>1042</v>
      </c>
      <c r="B351" s="35"/>
      <c r="C351" s="53" t="s">
        <v>747</v>
      </c>
      <c r="D351" s="53" t="s">
        <v>747</v>
      </c>
      <c r="E351" s="36" t="s">
        <v>1015</v>
      </c>
      <c r="F351" s="41" t="s">
        <v>791</v>
      </c>
      <c r="G351" s="71">
        <v>2329.5</v>
      </c>
      <c r="H351" s="71">
        <v>2282.4</v>
      </c>
      <c r="I351" s="39">
        <f t="shared" si="9"/>
        <v>97.97810688989054</v>
      </c>
      <c r="J351" s="6">
        <f>SUM('[1]ведомствен.'!G293)</f>
        <v>2329.5</v>
      </c>
      <c r="K351" s="6">
        <f>SUM('[1]ведомствен.'!H293)</f>
        <v>2282.4</v>
      </c>
    </row>
    <row r="352" spans="1:11" s="113" customFormat="1" ht="20.25" customHeight="1" hidden="1">
      <c r="A352" s="40" t="s">
        <v>685</v>
      </c>
      <c r="B352" s="104"/>
      <c r="C352" s="53" t="s">
        <v>747</v>
      </c>
      <c r="D352" s="53" t="s">
        <v>747</v>
      </c>
      <c r="E352" s="36" t="s">
        <v>1015</v>
      </c>
      <c r="F352" s="69" t="s">
        <v>686</v>
      </c>
      <c r="G352" s="102"/>
      <c r="H352" s="102"/>
      <c r="I352" s="39" t="e">
        <f t="shared" si="9"/>
        <v>#DIV/0!</v>
      </c>
      <c r="J352" s="112"/>
      <c r="K352" s="112"/>
    </row>
    <row r="353" spans="1:9" ht="28.5">
      <c r="A353" s="93" t="s">
        <v>1059</v>
      </c>
      <c r="B353" s="35"/>
      <c r="C353" s="53" t="s">
        <v>747</v>
      </c>
      <c r="D353" s="53" t="s">
        <v>747</v>
      </c>
      <c r="E353" s="36" t="s">
        <v>932</v>
      </c>
      <c r="F353" s="42"/>
      <c r="G353" s="38">
        <f>SUM(G354)</f>
        <v>880.8</v>
      </c>
      <c r="H353" s="38">
        <f>SUM(H354)</f>
        <v>880.8</v>
      </c>
      <c r="I353" s="39">
        <f t="shared" si="9"/>
        <v>100</v>
      </c>
    </row>
    <row r="354" spans="1:11" ht="15">
      <c r="A354" s="51" t="s">
        <v>1042</v>
      </c>
      <c r="B354" s="35"/>
      <c r="C354" s="53" t="s">
        <v>747</v>
      </c>
      <c r="D354" s="53" t="s">
        <v>747</v>
      </c>
      <c r="E354" s="36" t="s">
        <v>932</v>
      </c>
      <c r="F354" s="41" t="s">
        <v>791</v>
      </c>
      <c r="G354" s="38">
        <v>880.8</v>
      </c>
      <c r="H354" s="38">
        <v>880.8</v>
      </c>
      <c r="I354" s="39">
        <f t="shared" si="9"/>
        <v>100</v>
      </c>
      <c r="J354" s="6">
        <f>SUM('[1]ведомствен.'!G296)</f>
        <v>880.8</v>
      </c>
      <c r="K354" s="6">
        <f>SUM('[1]ведомствен.'!H296)</f>
        <v>880.8</v>
      </c>
    </row>
    <row r="355" spans="1:9" ht="29.25" customHeight="1" hidden="1">
      <c r="A355" s="51" t="s">
        <v>1060</v>
      </c>
      <c r="B355" s="35"/>
      <c r="C355" s="53" t="s">
        <v>747</v>
      </c>
      <c r="D355" s="53" t="s">
        <v>747</v>
      </c>
      <c r="E355" s="66" t="s">
        <v>990</v>
      </c>
      <c r="F355" s="41"/>
      <c r="G355" s="71">
        <f>SUM(G356)</f>
        <v>0</v>
      </c>
      <c r="H355" s="71">
        <f>SUM(H356)</f>
        <v>0</v>
      </c>
      <c r="I355" s="39" t="e">
        <f t="shared" si="9"/>
        <v>#DIV/0!</v>
      </c>
    </row>
    <row r="356" spans="1:9" ht="15" customHeight="1" hidden="1">
      <c r="A356" s="51" t="s">
        <v>1042</v>
      </c>
      <c r="B356" s="35"/>
      <c r="C356" s="53" t="s">
        <v>747</v>
      </c>
      <c r="D356" s="53" t="s">
        <v>747</v>
      </c>
      <c r="E356" s="66" t="s">
        <v>990</v>
      </c>
      <c r="F356" s="41" t="s">
        <v>791</v>
      </c>
      <c r="G356" s="71"/>
      <c r="H356" s="71"/>
      <c r="I356" s="39" t="e">
        <f t="shared" si="9"/>
        <v>#DIV/0!</v>
      </c>
    </row>
    <row r="357" spans="1:11" s="33" customFormat="1" ht="15.75">
      <c r="A357" s="58" t="s">
        <v>1061</v>
      </c>
      <c r="B357" s="59"/>
      <c r="C357" s="78" t="s">
        <v>751</v>
      </c>
      <c r="D357" s="78"/>
      <c r="E357" s="78"/>
      <c r="F357" s="79"/>
      <c r="G357" s="62">
        <f>SUM(G358)+G362</f>
        <v>4422.200000000001</v>
      </c>
      <c r="H357" s="62">
        <f>SUM(H358)+H362</f>
        <v>3742.7</v>
      </c>
      <c r="I357" s="63">
        <f t="shared" si="9"/>
        <v>84.63434489620549</v>
      </c>
      <c r="J357" s="32"/>
      <c r="K357" s="32"/>
    </row>
    <row r="358" spans="1:9" ht="27.75" customHeight="1">
      <c r="A358" s="34" t="s">
        <v>1062</v>
      </c>
      <c r="B358" s="35"/>
      <c r="C358" s="36" t="s">
        <v>751</v>
      </c>
      <c r="D358" s="36" t="s">
        <v>688</v>
      </c>
      <c r="E358" s="36"/>
      <c r="F358" s="37"/>
      <c r="G358" s="38">
        <f>SUM(G361)</f>
        <v>3207.3</v>
      </c>
      <c r="H358" s="38">
        <f>SUM(H361)</f>
        <v>3207</v>
      </c>
      <c r="I358" s="39">
        <f t="shared" si="9"/>
        <v>99.99064633804133</v>
      </c>
    </row>
    <row r="359" spans="1:9" ht="15">
      <c r="A359" s="34" t="s">
        <v>1063</v>
      </c>
      <c r="B359" s="35"/>
      <c r="C359" s="36" t="s">
        <v>751</v>
      </c>
      <c r="D359" s="36" t="s">
        <v>688</v>
      </c>
      <c r="E359" s="36" t="s">
        <v>1064</v>
      </c>
      <c r="F359" s="37"/>
      <c r="G359" s="38">
        <f>SUM(G360)</f>
        <v>3207.3</v>
      </c>
      <c r="H359" s="38">
        <f>SUM(H360)</f>
        <v>3207</v>
      </c>
      <c r="I359" s="39">
        <f t="shared" si="9"/>
        <v>99.99064633804133</v>
      </c>
    </row>
    <row r="360" spans="1:9" ht="17.25" customHeight="1">
      <c r="A360" s="74" t="s">
        <v>780</v>
      </c>
      <c r="B360" s="114"/>
      <c r="C360" s="73" t="s">
        <v>751</v>
      </c>
      <c r="D360" s="73" t="s">
        <v>688</v>
      </c>
      <c r="E360" s="73" t="s">
        <v>1065</v>
      </c>
      <c r="F360" s="42"/>
      <c r="G360" s="38">
        <f>SUM(G361)</f>
        <v>3207.3</v>
      </c>
      <c r="H360" s="38">
        <f>SUM(H361)</f>
        <v>3207</v>
      </c>
      <c r="I360" s="39">
        <f t="shared" si="9"/>
        <v>99.99064633804133</v>
      </c>
    </row>
    <row r="361" spans="1:11" ht="15.75" customHeight="1">
      <c r="A361" s="57" t="s">
        <v>782</v>
      </c>
      <c r="B361" s="35"/>
      <c r="C361" s="36" t="s">
        <v>751</v>
      </c>
      <c r="D361" s="36" t="s">
        <v>688</v>
      </c>
      <c r="E361" s="73" t="s">
        <v>1065</v>
      </c>
      <c r="F361" s="42" t="s">
        <v>783</v>
      </c>
      <c r="G361" s="38">
        <v>3207.3</v>
      </c>
      <c r="H361" s="38">
        <v>3207</v>
      </c>
      <c r="I361" s="39">
        <f t="shared" si="9"/>
        <v>99.99064633804133</v>
      </c>
      <c r="J361" s="6">
        <f>SUM('[1]ведомствен.'!G303)+'[1]ведомствен.'!G505</f>
        <v>3207.3</v>
      </c>
      <c r="K361" s="6">
        <f>SUM('[1]ведомствен.'!H303)+'[1]ведомствен.'!H505</f>
        <v>3207</v>
      </c>
    </row>
    <row r="362" spans="1:9" ht="17.25" customHeight="1">
      <c r="A362" s="46" t="s">
        <v>1066</v>
      </c>
      <c r="B362" s="35"/>
      <c r="C362" s="81" t="s">
        <v>751</v>
      </c>
      <c r="D362" s="81" t="s">
        <v>747</v>
      </c>
      <c r="E362" s="81"/>
      <c r="F362" s="68"/>
      <c r="G362" s="71">
        <f>SUM(G366)+G363</f>
        <v>1214.9</v>
      </c>
      <c r="H362" s="71">
        <f>SUM(H366)+H363</f>
        <v>535.7</v>
      </c>
      <c r="I362" s="39">
        <f t="shared" si="9"/>
        <v>44.094164128734874</v>
      </c>
    </row>
    <row r="363" spans="1:9" ht="16.5" customHeight="1" hidden="1">
      <c r="A363" s="54" t="s">
        <v>906</v>
      </c>
      <c r="B363" s="35"/>
      <c r="C363" s="81" t="s">
        <v>751</v>
      </c>
      <c r="D363" s="81" t="s">
        <v>747</v>
      </c>
      <c r="E363" s="36" t="s">
        <v>907</v>
      </c>
      <c r="F363" s="68"/>
      <c r="G363" s="71">
        <f>SUM(G364)</f>
        <v>0</v>
      </c>
      <c r="H363" s="71">
        <f>SUM(H364)</f>
        <v>0</v>
      </c>
      <c r="I363" s="39" t="e">
        <f t="shared" si="9"/>
        <v>#DIV/0!</v>
      </c>
    </row>
    <row r="364" spans="1:9" ht="42" customHeight="1" hidden="1">
      <c r="A364" s="54" t="s">
        <v>1067</v>
      </c>
      <c r="B364" s="35"/>
      <c r="C364" s="81" t="s">
        <v>751</v>
      </c>
      <c r="D364" s="81" t="s">
        <v>747</v>
      </c>
      <c r="E364" s="36" t="s">
        <v>1068</v>
      </c>
      <c r="F364" s="42"/>
      <c r="G364" s="71">
        <f>SUM(G365)</f>
        <v>0</v>
      </c>
      <c r="H364" s="71">
        <f>SUM(H365)</f>
        <v>0</v>
      </c>
      <c r="I364" s="39" t="e">
        <f t="shared" si="9"/>
        <v>#DIV/0!</v>
      </c>
    </row>
    <row r="365" spans="1:11" s="116" customFormat="1" ht="16.5" customHeight="1" hidden="1">
      <c r="A365" s="51" t="s">
        <v>1042</v>
      </c>
      <c r="B365" s="35"/>
      <c r="C365" s="81" t="s">
        <v>751</v>
      </c>
      <c r="D365" s="81" t="s">
        <v>747</v>
      </c>
      <c r="E365" s="36" t="s">
        <v>1068</v>
      </c>
      <c r="F365" s="42" t="s">
        <v>791</v>
      </c>
      <c r="G365" s="71"/>
      <c r="H365" s="71"/>
      <c r="I365" s="39" t="e">
        <f t="shared" si="9"/>
        <v>#DIV/0!</v>
      </c>
      <c r="J365" s="115"/>
      <c r="K365" s="115"/>
    </row>
    <row r="366" spans="1:9" ht="14.25" customHeight="1">
      <c r="A366" s="40" t="s">
        <v>742</v>
      </c>
      <c r="B366" s="35"/>
      <c r="C366" s="81" t="s">
        <v>751</v>
      </c>
      <c r="D366" s="81" t="s">
        <v>747</v>
      </c>
      <c r="E366" s="36" t="s">
        <v>743</v>
      </c>
      <c r="F366" s="68"/>
      <c r="G366" s="71">
        <f>SUM(G369+G370+G374)</f>
        <v>1214.9</v>
      </c>
      <c r="H366" s="71">
        <f>SUM(H369+H370+H374)</f>
        <v>535.7</v>
      </c>
      <c r="I366" s="39">
        <f t="shared" si="9"/>
        <v>44.094164128734874</v>
      </c>
    </row>
    <row r="367" spans="1:9" ht="15" customHeight="1" hidden="1">
      <c r="A367" s="54" t="s">
        <v>1069</v>
      </c>
      <c r="B367" s="35"/>
      <c r="C367" s="81" t="s">
        <v>751</v>
      </c>
      <c r="D367" s="81" t="s">
        <v>747</v>
      </c>
      <c r="E367" s="36" t="s">
        <v>743</v>
      </c>
      <c r="F367" s="68" t="s">
        <v>1070</v>
      </c>
      <c r="G367" s="71"/>
      <c r="H367" s="71"/>
      <c r="I367" s="39" t="e">
        <f t="shared" si="9"/>
        <v>#DIV/0!</v>
      </c>
    </row>
    <row r="368" spans="1:9" ht="26.25" customHeight="1" hidden="1">
      <c r="A368" s="117" t="s">
        <v>1071</v>
      </c>
      <c r="B368" s="35"/>
      <c r="C368" s="81" t="s">
        <v>751</v>
      </c>
      <c r="D368" s="81" t="s">
        <v>747</v>
      </c>
      <c r="E368" s="118" t="s">
        <v>743</v>
      </c>
      <c r="F368" s="119" t="s">
        <v>1070</v>
      </c>
      <c r="G368" s="120">
        <v>300</v>
      </c>
      <c r="H368" s="120">
        <v>300</v>
      </c>
      <c r="I368" s="39">
        <f t="shared" si="9"/>
        <v>100</v>
      </c>
    </row>
    <row r="369" spans="1:9" ht="15" customHeight="1" hidden="1">
      <c r="A369" s="57" t="s">
        <v>782</v>
      </c>
      <c r="B369" s="35"/>
      <c r="C369" s="81" t="s">
        <v>751</v>
      </c>
      <c r="D369" s="81" t="s">
        <v>747</v>
      </c>
      <c r="E369" s="81" t="s">
        <v>743</v>
      </c>
      <c r="F369" s="68" t="s">
        <v>783</v>
      </c>
      <c r="G369" s="71"/>
      <c r="H369" s="71"/>
      <c r="I369" s="39" t="e">
        <f t="shared" si="9"/>
        <v>#DIV/0!</v>
      </c>
    </row>
    <row r="370" spans="1:9" ht="27.75" customHeight="1">
      <c r="A370" s="46" t="s">
        <v>1071</v>
      </c>
      <c r="B370" s="35"/>
      <c r="C370" s="81" t="s">
        <v>751</v>
      </c>
      <c r="D370" s="81" t="s">
        <v>747</v>
      </c>
      <c r="E370" s="81" t="s">
        <v>1040</v>
      </c>
      <c r="F370" s="68"/>
      <c r="G370" s="71">
        <f>SUM(G371:G373)</f>
        <v>1214.9</v>
      </c>
      <c r="H370" s="71">
        <f>SUM(H371:H373)</f>
        <v>535.7</v>
      </c>
      <c r="I370" s="39">
        <f t="shared" si="9"/>
        <v>44.094164128734874</v>
      </c>
    </row>
    <row r="371" spans="1:9" ht="18" customHeight="1" hidden="1">
      <c r="A371" s="51" t="s">
        <v>1042</v>
      </c>
      <c r="B371" s="35"/>
      <c r="C371" s="81" t="s">
        <v>751</v>
      </c>
      <c r="D371" s="81" t="s">
        <v>747</v>
      </c>
      <c r="E371" s="81" t="s">
        <v>1040</v>
      </c>
      <c r="F371" s="42" t="s">
        <v>791</v>
      </c>
      <c r="G371" s="71"/>
      <c r="H371" s="71"/>
      <c r="I371" s="39" t="e">
        <f t="shared" si="9"/>
        <v>#DIV/0!</v>
      </c>
    </row>
    <row r="372" spans="1:11" ht="15.75" customHeight="1" hidden="1">
      <c r="A372" s="51" t="s">
        <v>903</v>
      </c>
      <c r="B372" s="35"/>
      <c r="C372" s="48" t="s">
        <v>751</v>
      </c>
      <c r="D372" s="48" t="s">
        <v>747</v>
      </c>
      <c r="E372" s="48" t="s">
        <v>1039</v>
      </c>
      <c r="F372" s="41" t="s">
        <v>904</v>
      </c>
      <c r="G372" s="71">
        <f>1300-1300</f>
        <v>0</v>
      </c>
      <c r="H372" s="71">
        <f>1300-1300</f>
        <v>0</v>
      </c>
      <c r="I372" s="39"/>
      <c r="J372" s="6">
        <f>SUM('[1]ведомствен.'!G315)</f>
        <v>0</v>
      </c>
      <c r="K372" s="6">
        <f>SUM('[1]ведомствен.'!H315)</f>
        <v>0</v>
      </c>
    </row>
    <row r="373" spans="1:11" ht="13.5" customHeight="1">
      <c r="A373" s="57" t="s">
        <v>1072</v>
      </c>
      <c r="B373" s="35"/>
      <c r="C373" s="81" t="s">
        <v>751</v>
      </c>
      <c r="D373" s="81" t="s">
        <v>747</v>
      </c>
      <c r="E373" s="81" t="s">
        <v>1040</v>
      </c>
      <c r="F373" s="68" t="s">
        <v>1073</v>
      </c>
      <c r="G373" s="71">
        <f>2514.9-1300</f>
        <v>1214.9</v>
      </c>
      <c r="H373" s="71">
        <v>535.7</v>
      </c>
      <c r="I373" s="39">
        <f t="shared" si="9"/>
        <v>44.094164128734874</v>
      </c>
      <c r="J373" s="6">
        <f>SUM('[1]ведомствен.'!G316)</f>
        <v>1214.9</v>
      </c>
      <c r="K373" s="6">
        <f>SUM('[1]ведомствен.'!H316)</f>
        <v>535.7</v>
      </c>
    </row>
    <row r="374" spans="1:9" ht="25.5" customHeight="1" hidden="1">
      <c r="A374" s="121" t="s">
        <v>1074</v>
      </c>
      <c r="B374" s="35"/>
      <c r="C374" s="81" t="s">
        <v>751</v>
      </c>
      <c r="D374" s="81" t="s">
        <v>747</v>
      </c>
      <c r="E374" s="81" t="s">
        <v>1075</v>
      </c>
      <c r="F374" s="68"/>
      <c r="G374" s="71">
        <f>SUM(G375+G376)</f>
        <v>0</v>
      </c>
      <c r="H374" s="71">
        <f>SUM(H375+H376)</f>
        <v>0</v>
      </c>
      <c r="I374" s="39" t="e">
        <f t="shared" si="9"/>
        <v>#DIV/0!</v>
      </c>
    </row>
    <row r="375" spans="1:9" ht="18" customHeight="1" hidden="1">
      <c r="A375" s="51" t="s">
        <v>1042</v>
      </c>
      <c r="B375" s="35"/>
      <c r="C375" s="81" t="s">
        <v>751</v>
      </c>
      <c r="D375" s="81" t="s">
        <v>747</v>
      </c>
      <c r="E375" s="81" t="s">
        <v>1075</v>
      </c>
      <c r="F375" s="42" t="s">
        <v>791</v>
      </c>
      <c r="G375" s="71"/>
      <c r="H375" s="71"/>
      <c r="I375" s="39" t="e">
        <f t="shared" si="9"/>
        <v>#DIV/0!</v>
      </c>
    </row>
    <row r="376" spans="1:9" ht="21.75" customHeight="1" hidden="1">
      <c r="A376" s="57" t="s">
        <v>1072</v>
      </c>
      <c r="B376" s="35"/>
      <c r="C376" s="81" t="s">
        <v>751</v>
      </c>
      <c r="D376" s="81" t="s">
        <v>747</v>
      </c>
      <c r="E376" s="81" t="s">
        <v>1075</v>
      </c>
      <c r="F376" s="68" t="s">
        <v>1076</v>
      </c>
      <c r="G376" s="71"/>
      <c r="H376" s="71"/>
      <c r="I376" s="39" t="e">
        <f t="shared" si="9"/>
        <v>#DIV/0!</v>
      </c>
    </row>
    <row r="377" spans="1:11" s="116" customFormat="1" ht="12" customHeight="1" hidden="1">
      <c r="A377" s="122" t="s">
        <v>1077</v>
      </c>
      <c r="B377" s="123"/>
      <c r="C377" s="118" t="s">
        <v>678</v>
      </c>
      <c r="D377" s="118" t="s">
        <v>770</v>
      </c>
      <c r="E377" s="118" t="s">
        <v>741</v>
      </c>
      <c r="F377" s="124" t="s">
        <v>768</v>
      </c>
      <c r="G377" s="125">
        <v>5000</v>
      </c>
      <c r="H377" s="125">
        <v>5000</v>
      </c>
      <c r="I377" s="39">
        <f t="shared" si="9"/>
        <v>100</v>
      </c>
      <c r="J377" s="115"/>
      <c r="K377" s="115"/>
    </row>
    <row r="378" spans="1:11" s="116" customFormat="1" ht="12" customHeight="1" hidden="1">
      <c r="A378" s="122" t="s">
        <v>1078</v>
      </c>
      <c r="B378" s="43"/>
      <c r="C378" s="118" t="s">
        <v>678</v>
      </c>
      <c r="D378" s="118" t="s">
        <v>770</v>
      </c>
      <c r="E378" s="118" t="s">
        <v>741</v>
      </c>
      <c r="F378" s="124" t="s">
        <v>768</v>
      </c>
      <c r="G378" s="125">
        <v>2000</v>
      </c>
      <c r="H378" s="125">
        <v>2000</v>
      </c>
      <c r="I378" s="39">
        <f t="shared" si="9"/>
        <v>100</v>
      </c>
      <c r="J378" s="115"/>
      <c r="K378" s="115"/>
    </row>
    <row r="379" spans="1:9" ht="42.75" customHeight="1" hidden="1">
      <c r="A379" s="40" t="s">
        <v>707</v>
      </c>
      <c r="B379" s="35"/>
      <c r="C379" s="36" t="s">
        <v>678</v>
      </c>
      <c r="D379" s="36" t="s">
        <v>695</v>
      </c>
      <c r="E379" s="36" t="s">
        <v>708</v>
      </c>
      <c r="F379" s="37"/>
      <c r="G379" s="38">
        <f>SUM(G380)</f>
        <v>0</v>
      </c>
      <c r="H379" s="38">
        <f>SUM(H380)</f>
        <v>0</v>
      </c>
      <c r="I379" s="39" t="e">
        <f t="shared" si="9"/>
        <v>#DIV/0!</v>
      </c>
    </row>
    <row r="380" spans="1:9" ht="42.75" customHeight="1" hidden="1">
      <c r="A380" s="40" t="s">
        <v>709</v>
      </c>
      <c r="B380" s="35"/>
      <c r="C380" s="36" t="s">
        <v>678</v>
      </c>
      <c r="D380" s="36" t="s">
        <v>695</v>
      </c>
      <c r="E380" s="36" t="s">
        <v>708</v>
      </c>
      <c r="F380" s="37" t="s">
        <v>710</v>
      </c>
      <c r="G380" s="38"/>
      <c r="H380" s="38"/>
      <c r="I380" s="39" t="e">
        <f t="shared" si="9"/>
        <v>#DIV/0!</v>
      </c>
    </row>
    <row r="381" spans="1:9" ht="14.25" customHeight="1" hidden="1">
      <c r="A381" s="34" t="s">
        <v>711</v>
      </c>
      <c r="B381" s="35"/>
      <c r="C381" s="36" t="s">
        <v>712</v>
      </c>
      <c r="D381" s="36"/>
      <c r="E381" s="36"/>
      <c r="F381" s="41"/>
      <c r="G381" s="38">
        <f>SUM(G385+G382)</f>
        <v>0</v>
      </c>
      <c r="H381" s="38">
        <f>SUM(H385+H382)</f>
        <v>0</v>
      </c>
      <c r="I381" s="39" t="e">
        <f t="shared" si="9"/>
        <v>#DIV/0!</v>
      </c>
    </row>
    <row r="382" spans="1:9" ht="15" customHeight="1" hidden="1">
      <c r="A382" s="34" t="s">
        <v>713</v>
      </c>
      <c r="B382" s="35"/>
      <c r="C382" s="36" t="s">
        <v>712</v>
      </c>
      <c r="D382" s="36" t="s">
        <v>714</v>
      </c>
      <c r="E382" s="36"/>
      <c r="F382" s="41"/>
      <c r="G382" s="38">
        <f>SUM(G383)</f>
        <v>0</v>
      </c>
      <c r="H382" s="38">
        <f>SUM(H383)</f>
        <v>0</v>
      </c>
      <c r="I382" s="39" t="e">
        <f t="shared" si="9"/>
        <v>#DIV/0!</v>
      </c>
    </row>
    <row r="383" spans="1:9" ht="15" customHeight="1" hidden="1">
      <c r="A383" s="34" t="s">
        <v>715</v>
      </c>
      <c r="B383" s="35"/>
      <c r="C383" s="36" t="s">
        <v>712</v>
      </c>
      <c r="D383" s="36" t="s">
        <v>714</v>
      </c>
      <c r="E383" s="36" t="s">
        <v>716</v>
      </c>
      <c r="F383" s="37"/>
      <c r="G383" s="38">
        <f>SUM(G384)</f>
        <v>0</v>
      </c>
      <c r="H383" s="38">
        <f>SUM(H384)</f>
        <v>0</v>
      </c>
      <c r="I383" s="39" t="e">
        <f t="shared" si="9"/>
        <v>#DIV/0!</v>
      </c>
    </row>
    <row r="384" spans="1:9" ht="15" customHeight="1" hidden="1">
      <c r="A384" s="34" t="s">
        <v>717</v>
      </c>
      <c r="B384" s="35"/>
      <c r="C384" s="36" t="s">
        <v>712</v>
      </c>
      <c r="D384" s="36" t="s">
        <v>714</v>
      </c>
      <c r="E384" s="36" t="s">
        <v>716</v>
      </c>
      <c r="F384" s="37" t="s">
        <v>718</v>
      </c>
      <c r="G384" s="38"/>
      <c r="H384" s="38"/>
      <c r="I384" s="39" t="e">
        <f t="shared" si="9"/>
        <v>#DIV/0!</v>
      </c>
    </row>
    <row r="385" spans="1:9" ht="15" customHeight="1" hidden="1">
      <c r="A385" s="51" t="s">
        <v>719</v>
      </c>
      <c r="B385" s="52"/>
      <c r="C385" s="53" t="s">
        <v>712</v>
      </c>
      <c r="D385" s="53" t="s">
        <v>720</v>
      </c>
      <c r="E385" s="53"/>
      <c r="F385" s="41"/>
      <c r="G385" s="38">
        <f>SUM(G386+G388)</f>
        <v>0</v>
      </c>
      <c r="H385" s="38">
        <f>SUM(H386+H388)</f>
        <v>0</v>
      </c>
      <c r="I385" s="39" t="e">
        <f t="shared" si="9"/>
        <v>#DIV/0!</v>
      </c>
    </row>
    <row r="386" spans="1:9" ht="28.5" customHeight="1" hidden="1">
      <c r="A386" s="34" t="s">
        <v>721</v>
      </c>
      <c r="B386" s="35"/>
      <c r="C386" s="36" t="s">
        <v>712</v>
      </c>
      <c r="D386" s="36" t="s">
        <v>720</v>
      </c>
      <c r="E386" s="36" t="s">
        <v>722</v>
      </c>
      <c r="F386" s="41"/>
      <c r="G386" s="38">
        <f>SUM(G387)</f>
        <v>0</v>
      </c>
      <c r="H386" s="38">
        <f>SUM(H387)</f>
        <v>0</v>
      </c>
      <c r="I386" s="39" t="e">
        <f t="shared" si="9"/>
        <v>#DIV/0!</v>
      </c>
    </row>
    <row r="387" spans="1:9" ht="15" customHeight="1" hidden="1">
      <c r="A387" s="34" t="s">
        <v>723</v>
      </c>
      <c r="B387" s="35"/>
      <c r="C387" s="36" t="s">
        <v>712</v>
      </c>
      <c r="D387" s="36" t="s">
        <v>720</v>
      </c>
      <c r="E387" s="36" t="s">
        <v>722</v>
      </c>
      <c r="F387" s="41" t="s">
        <v>724</v>
      </c>
      <c r="G387" s="38"/>
      <c r="H387" s="38"/>
      <c r="I387" s="39" t="e">
        <f t="shared" si="9"/>
        <v>#DIV/0!</v>
      </c>
    </row>
    <row r="388" spans="1:9" ht="15" customHeight="1" hidden="1">
      <c r="A388" s="51" t="s">
        <v>725</v>
      </c>
      <c r="B388" s="52"/>
      <c r="C388" s="53" t="s">
        <v>712</v>
      </c>
      <c r="D388" s="53" t="s">
        <v>720</v>
      </c>
      <c r="E388" s="53" t="s">
        <v>726</v>
      </c>
      <c r="F388" s="41"/>
      <c r="G388" s="38">
        <f>SUM(G389)</f>
        <v>0</v>
      </c>
      <c r="H388" s="38">
        <f>SUM(H389)</f>
        <v>0</v>
      </c>
      <c r="I388" s="39" t="e">
        <f t="shared" si="9"/>
        <v>#DIV/0!</v>
      </c>
    </row>
    <row r="389" spans="1:9" ht="15" customHeight="1" hidden="1">
      <c r="A389" s="51" t="s">
        <v>727</v>
      </c>
      <c r="B389" s="52"/>
      <c r="C389" s="53" t="s">
        <v>712</v>
      </c>
      <c r="D389" s="53" t="s">
        <v>720</v>
      </c>
      <c r="E389" s="53" t="s">
        <v>726</v>
      </c>
      <c r="F389" s="41" t="s">
        <v>728</v>
      </c>
      <c r="G389" s="38"/>
      <c r="H389" s="38"/>
      <c r="I389" s="39" t="e">
        <f t="shared" si="9"/>
        <v>#DIV/0!</v>
      </c>
    </row>
    <row r="390" spans="1:9" ht="15" customHeight="1" hidden="1">
      <c r="A390" s="46" t="s">
        <v>700</v>
      </c>
      <c r="B390" s="47"/>
      <c r="C390" s="48" t="s">
        <v>701</v>
      </c>
      <c r="D390" s="36"/>
      <c r="E390" s="36"/>
      <c r="F390" s="37"/>
      <c r="G390" s="38">
        <f aca="true" t="shared" si="10" ref="G390:H392">SUM(G391)</f>
        <v>0</v>
      </c>
      <c r="H390" s="38">
        <f t="shared" si="10"/>
        <v>0</v>
      </c>
      <c r="I390" s="39" t="e">
        <f t="shared" si="9"/>
        <v>#DIV/0!</v>
      </c>
    </row>
    <row r="391" spans="1:9" ht="15" customHeight="1" hidden="1">
      <c r="A391" s="40" t="s">
        <v>702</v>
      </c>
      <c r="B391" s="43"/>
      <c r="C391" s="36" t="s">
        <v>701</v>
      </c>
      <c r="D391" s="36" t="s">
        <v>701</v>
      </c>
      <c r="E391" s="36"/>
      <c r="F391" s="37"/>
      <c r="G391" s="38">
        <f t="shared" si="10"/>
        <v>0</v>
      </c>
      <c r="H391" s="38">
        <f t="shared" si="10"/>
        <v>0</v>
      </c>
      <c r="I391" s="39" t="e">
        <f t="shared" si="9"/>
        <v>#DIV/0!</v>
      </c>
    </row>
    <row r="392" spans="1:9" ht="28.5" customHeight="1" hidden="1">
      <c r="A392" s="40" t="s">
        <v>703</v>
      </c>
      <c r="B392" s="43"/>
      <c r="C392" s="36" t="s">
        <v>701</v>
      </c>
      <c r="D392" s="36" t="s">
        <v>701</v>
      </c>
      <c r="E392" s="36" t="s">
        <v>704</v>
      </c>
      <c r="F392" s="37"/>
      <c r="G392" s="38">
        <f t="shared" si="10"/>
        <v>0</v>
      </c>
      <c r="H392" s="38">
        <f t="shared" si="10"/>
        <v>0</v>
      </c>
      <c r="I392" s="39" t="e">
        <f t="shared" si="9"/>
        <v>#DIV/0!</v>
      </c>
    </row>
    <row r="393" spans="1:9" ht="15" customHeight="1" hidden="1">
      <c r="A393" s="40" t="s">
        <v>705</v>
      </c>
      <c r="B393" s="43"/>
      <c r="C393" s="36" t="s">
        <v>701</v>
      </c>
      <c r="D393" s="36" t="s">
        <v>701</v>
      </c>
      <c r="E393" s="36" t="s">
        <v>704</v>
      </c>
      <c r="F393" s="37" t="s">
        <v>706</v>
      </c>
      <c r="G393" s="38"/>
      <c r="H393" s="38"/>
      <c r="I393" s="39" t="e">
        <f t="shared" si="9"/>
        <v>#DIV/0!</v>
      </c>
    </row>
    <row r="394" spans="1:9" ht="15" customHeight="1" hidden="1">
      <c r="A394" s="34" t="s">
        <v>711</v>
      </c>
      <c r="B394" s="35"/>
      <c r="C394" s="36" t="s">
        <v>712</v>
      </c>
      <c r="D394" s="36"/>
      <c r="E394" s="36"/>
      <c r="F394" s="37"/>
      <c r="G394" s="38">
        <f aca="true" t="shared" si="11" ref="G394:H396">SUM(G395)</f>
        <v>0</v>
      </c>
      <c r="H394" s="38">
        <f t="shared" si="11"/>
        <v>0</v>
      </c>
      <c r="I394" s="39" t="e">
        <f t="shared" si="9"/>
        <v>#DIV/0!</v>
      </c>
    </row>
    <row r="395" spans="1:9" ht="15" customHeight="1" hidden="1">
      <c r="A395" s="34" t="s">
        <v>1079</v>
      </c>
      <c r="B395" s="35"/>
      <c r="C395" s="36" t="s">
        <v>712</v>
      </c>
      <c r="D395" s="53" t="s">
        <v>678</v>
      </c>
      <c r="E395" s="126"/>
      <c r="F395" s="127"/>
      <c r="G395" s="38">
        <f t="shared" si="11"/>
        <v>0</v>
      </c>
      <c r="H395" s="38">
        <f t="shared" si="11"/>
        <v>0</v>
      </c>
      <c r="I395" s="39" t="e">
        <f t="shared" si="9"/>
        <v>#DIV/0!</v>
      </c>
    </row>
    <row r="396" spans="1:9" ht="15" customHeight="1" hidden="1">
      <c r="A396" s="34" t="s">
        <v>1080</v>
      </c>
      <c r="B396" s="35"/>
      <c r="C396" s="36" t="s">
        <v>712</v>
      </c>
      <c r="D396" s="53" t="s">
        <v>678</v>
      </c>
      <c r="E396" s="64" t="s">
        <v>1081</v>
      </c>
      <c r="F396" s="127"/>
      <c r="G396" s="38">
        <f t="shared" si="11"/>
        <v>0</v>
      </c>
      <c r="H396" s="38">
        <f t="shared" si="11"/>
        <v>0</v>
      </c>
      <c r="I396" s="39" t="e">
        <f t="shared" si="9"/>
        <v>#DIV/0!</v>
      </c>
    </row>
    <row r="397" spans="1:9" ht="15" customHeight="1" hidden="1">
      <c r="A397" s="34" t="s">
        <v>1082</v>
      </c>
      <c r="B397" s="35"/>
      <c r="C397" s="36" t="s">
        <v>712</v>
      </c>
      <c r="D397" s="53" t="s">
        <v>678</v>
      </c>
      <c r="E397" s="64" t="s">
        <v>1081</v>
      </c>
      <c r="F397" s="127">
        <v>273</v>
      </c>
      <c r="G397" s="38"/>
      <c r="H397" s="38"/>
      <c r="I397" s="39" t="e">
        <f t="shared" si="9"/>
        <v>#DIV/0!</v>
      </c>
    </row>
    <row r="398" spans="1:11" s="33" customFormat="1" ht="15.75">
      <c r="A398" s="58" t="s">
        <v>700</v>
      </c>
      <c r="B398" s="59"/>
      <c r="C398" s="60" t="s">
        <v>701</v>
      </c>
      <c r="D398" s="60"/>
      <c r="E398" s="60"/>
      <c r="F398" s="61"/>
      <c r="G398" s="62">
        <f>SUM(G399+G415+G483+G509)</f>
        <v>975831</v>
      </c>
      <c r="H398" s="62">
        <f>SUM(H399+H415+H483+H509)</f>
        <v>968875.9</v>
      </c>
      <c r="I398" s="63">
        <f t="shared" si="9"/>
        <v>99.28726388073345</v>
      </c>
      <c r="J398" s="32"/>
      <c r="K398" s="32"/>
    </row>
    <row r="399" spans="1:11" s="106" customFormat="1" ht="15">
      <c r="A399" s="40" t="s">
        <v>1083</v>
      </c>
      <c r="B399" s="128"/>
      <c r="C399" s="53" t="s">
        <v>701</v>
      </c>
      <c r="D399" s="53" t="s">
        <v>678</v>
      </c>
      <c r="E399" s="53"/>
      <c r="F399" s="41"/>
      <c r="G399" s="38">
        <f>SUM(G400+G412)</f>
        <v>320885.3</v>
      </c>
      <c r="H399" s="38">
        <f>SUM(H400+H412)</f>
        <v>318840.39999999997</v>
      </c>
      <c r="I399" s="39">
        <f aca="true" t="shared" si="12" ref="I399:I462">SUM(H399/G399*100)</f>
        <v>99.36273179232579</v>
      </c>
      <c r="J399" s="129"/>
      <c r="K399" s="129"/>
    </row>
    <row r="400" spans="1:11" s="106" customFormat="1" ht="15">
      <c r="A400" s="40" t="s">
        <v>1084</v>
      </c>
      <c r="B400" s="128"/>
      <c r="C400" s="53" t="s">
        <v>701</v>
      </c>
      <c r="D400" s="53" t="s">
        <v>678</v>
      </c>
      <c r="E400" s="53" t="s">
        <v>1085</v>
      </c>
      <c r="F400" s="41"/>
      <c r="G400" s="38">
        <f>SUM(G401)</f>
        <v>306757.6</v>
      </c>
      <c r="H400" s="38">
        <f>SUM(H401)</f>
        <v>305882.3</v>
      </c>
      <c r="I400" s="39">
        <f t="shared" si="12"/>
        <v>99.71466069626311</v>
      </c>
      <c r="J400" s="129"/>
      <c r="K400" s="129"/>
    </row>
    <row r="401" spans="1:11" s="106" customFormat="1" ht="18.75" customHeight="1">
      <c r="A401" s="40" t="s">
        <v>780</v>
      </c>
      <c r="B401" s="128"/>
      <c r="C401" s="53" t="s">
        <v>701</v>
      </c>
      <c r="D401" s="53" t="s">
        <v>678</v>
      </c>
      <c r="E401" s="53" t="s">
        <v>1086</v>
      </c>
      <c r="F401" s="41"/>
      <c r="G401" s="38">
        <f>SUM(G402+G406+G408+G410+G404)</f>
        <v>306757.6</v>
      </c>
      <c r="H401" s="38">
        <f>SUM(H402+H406+H408+H410+H404)</f>
        <v>305882.3</v>
      </c>
      <c r="I401" s="39">
        <f t="shared" si="12"/>
        <v>99.71466069626311</v>
      </c>
      <c r="J401" s="129"/>
      <c r="K401" s="129"/>
    </row>
    <row r="402" spans="1:11" s="106" customFormat="1" ht="14.25" customHeight="1">
      <c r="A402" s="57" t="s">
        <v>782</v>
      </c>
      <c r="B402" s="72"/>
      <c r="C402" s="73" t="s">
        <v>701</v>
      </c>
      <c r="D402" s="73" t="s">
        <v>678</v>
      </c>
      <c r="E402" s="73" t="s">
        <v>1086</v>
      </c>
      <c r="F402" s="42" t="s">
        <v>783</v>
      </c>
      <c r="G402" s="38">
        <v>277202.7</v>
      </c>
      <c r="H402" s="38">
        <v>277095.2</v>
      </c>
      <c r="I402" s="39">
        <f t="shared" si="12"/>
        <v>99.96121971394939</v>
      </c>
      <c r="J402" s="129">
        <f>SUM('[1]ведомствен.'!G890)+'[1]ведомствен.'!G510</f>
        <v>277202.7</v>
      </c>
      <c r="K402" s="129">
        <f>SUM('[1]ведомствен.'!H890)+'[1]ведомствен.'!H510</f>
        <v>277095.19999999995</v>
      </c>
    </row>
    <row r="403" spans="1:11" s="106" customFormat="1" ht="47.25" customHeight="1" hidden="1">
      <c r="A403" s="57" t="s">
        <v>1087</v>
      </c>
      <c r="B403" s="72"/>
      <c r="C403" s="73" t="s">
        <v>701</v>
      </c>
      <c r="D403" s="73" t="s">
        <v>678</v>
      </c>
      <c r="E403" s="73" t="s">
        <v>1086</v>
      </c>
      <c r="F403" s="41" t="s">
        <v>1088</v>
      </c>
      <c r="G403" s="38"/>
      <c r="H403" s="38"/>
      <c r="I403" s="39" t="e">
        <f t="shared" si="12"/>
        <v>#DIV/0!</v>
      </c>
      <c r="J403" s="129"/>
      <c r="K403" s="129"/>
    </row>
    <row r="404" spans="1:9" ht="60.75" customHeight="1">
      <c r="A404" s="57" t="s">
        <v>1089</v>
      </c>
      <c r="B404" s="72"/>
      <c r="C404" s="73" t="s">
        <v>701</v>
      </c>
      <c r="D404" s="73" t="s">
        <v>678</v>
      </c>
      <c r="E404" s="73" t="s">
        <v>1090</v>
      </c>
      <c r="F404" s="42"/>
      <c r="G404" s="38">
        <f>SUM(G405)</f>
        <v>579.3</v>
      </c>
      <c r="H404" s="38">
        <f>SUM(H405)</f>
        <v>496.5</v>
      </c>
      <c r="I404" s="39">
        <f t="shared" si="12"/>
        <v>85.70688762299328</v>
      </c>
    </row>
    <row r="405" spans="1:11" ht="30.75" customHeight="1">
      <c r="A405" s="57" t="s">
        <v>1091</v>
      </c>
      <c r="B405" s="72"/>
      <c r="C405" s="73" t="s">
        <v>701</v>
      </c>
      <c r="D405" s="73" t="s">
        <v>678</v>
      </c>
      <c r="E405" s="73" t="s">
        <v>1090</v>
      </c>
      <c r="F405" s="42" t="s">
        <v>1092</v>
      </c>
      <c r="G405" s="38">
        <v>579.3</v>
      </c>
      <c r="H405" s="38">
        <v>496.5</v>
      </c>
      <c r="I405" s="39">
        <f t="shared" si="12"/>
        <v>85.70688762299328</v>
      </c>
      <c r="J405" s="129">
        <f>SUM('[1]ведомствен.'!G892)</f>
        <v>579.3</v>
      </c>
      <c r="K405" s="129">
        <f>SUM('[1]ведомствен.'!H892)</f>
        <v>496.5</v>
      </c>
    </row>
    <row r="406" spans="1:11" s="106" customFormat="1" ht="32.25" customHeight="1">
      <c r="A406" s="57" t="s">
        <v>1093</v>
      </c>
      <c r="B406" s="35"/>
      <c r="C406" s="73" t="s">
        <v>701</v>
      </c>
      <c r="D406" s="73" t="s">
        <v>678</v>
      </c>
      <c r="E406" s="73" t="s">
        <v>1094</v>
      </c>
      <c r="F406" s="41"/>
      <c r="G406" s="38">
        <f>SUM(G407)</f>
        <v>24134</v>
      </c>
      <c r="H406" s="38">
        <f>SUM(H407)</f>
        <v>24134</v>
      </c>
      <c r="I406" s="39">
        <f t="shared" si="12"/>
        <v>100</v>
      </c>
      <c r="J406" s="129"/>
      <c r="K406" s="129"/>
    </row>
    <row r="407" spans="1:11" s="106" customFormat="1" ht="17.25" customHeight="1">
      <c r="A407" s="57" t="s">
        <v>782</v>
      </c>
      <c r="B407" s="72"/>
      <c r="C407" s="73" t="s">
        <v>701</v>
      </c>
      <c r="D407" s="73" t="s">
        <v>678</v>
      </c>
      <c r="E407" s="73" t="s">
        <v>1094</v>
      </c>
      <c r="F407" s="42" t="s">
        <v>783</v>
      </c>
      <c r="G407" s="38">
        <v>24134</v>
      </c>
      <c r="H407" s="38">
        <v>24134</v>
      </c>
      <c r="I407" s="39">
        <f t="shared" si="12"/>
        <v>100</v>
      </c>
      <c r="J407" s="129">
        <f>SUM('[1]ведомствен.'!G895)</f>
        <v>24134</v>
      </c>
      <c r="K407" s="129">
        <f>SUM('[1]ведомствен.'!H895)</f>
        <v>24134</v>
      </c>
    </row>
    <row r="408" spans="1:11" s="106" customFormat="1" ht="33" customHeight="1">
      <c r="A408" s="57" t="s">
        <v>1095</v>
      </c>
      <c r="B408" s="72"/>
      <c r="C408" s="73" t="s">
        <v>701</v>
      </c>
      <c r="D408" s="73" t="s">
        <v>678</v>
      </c>
      <c r="E408" s="73" t="s">
        <v>1096</v>
      </c>
      <c r="F408" s="42"/>
      <c r="G408" s="38">
        <f>SUM(G409)</f>
        <v>2341.6</v>
      </c>
      <c r="H408" s="38">
        <f>SUM(H409)</f>
        <v>1656.6</v>
      </c>
      <c r="I408" s="39">
        <f t="shared" si="12"/>
        <v>70.74649812094295</v>
      </c>
      <c r="J408" s="129"/>
      <c r="K408" s="129"/>
    </row>
    <row r="409" spans="1:11" s="106" customFormat="1" ht="15.75" customHeight="1">
      <c r="A409" s="57" t="s">
        <v>782</v>
      </c>
      <c r="B409" s="72"/>
      <c r="C409" s="73" t="s">
        <v>701</v>
      </c>
      <c r="D409" s="73" t="s">
        <v>678</v>
      </c>
      <c r="E409" s="73" t="s">
        <v>1096</v>
      </c>
      <c r="F409" s="42" t="s">
        <v>783</v>
      </c>
      <c r="G409" s="38">
        <v>2341.6</v>
      </c>
      <c r="H409" s="38">
        <v>1656.6</v>
      </c>
      <c r="I409" s="39">
        <f t="shared" si="12"/>
        <v>70.74649812094295</v>
      </c>
      <c r="J409" s="129">
        <f>SUM('[1]ведомствен.'!G897)</f>
        <v>2341.6</v>
      </c>
      <c r="K409" s="129">
        <f>SUM('[1]ведомствен.'!H897)</f>
        <v>1656.6</v>
      </c>
    </row>
    <row r="410" spans="1:11" s="106" customFormat="1" ht="26.25" customHeight="1">
      <c r="A410" s="40" t="s">
        <v>1097</v>
      </c>
      <c r="B410" s="43"/>
      <c r="C410" s="73" t="s">
        <v>701</v>
      </c>
      <c r="D410" s="73" t="s">
        <v>678</v>
      </c>
      <c r="E410" s="73" t="s">
        <v>1098</v>
      </c>
      <c r="F410" s="42"/>
      <c r="G410" s="38">
        <f>SUM(G411)</f>
        <v>2500</v>
      </c>
      <c r="H410" s="38">
        <f>SUM(H411)</f>
        <v>2500</v>
      </c>
      <c r="I410" s="39">
        <f t="shared" si="12"/>
        <v>100</v>
      </c>
      <c r="J410" s="129"/>
      <c r="K410" s="129"/>
    </row>
    <row r="411" spans="1:11" s="106" customFormat="1" ht="21" customHeight="1">
      <c r="A411" s="57" t="s">
        <v>782</v>
      </c>
      <c r="B411" s="43"/>
      <c r="C411" s="73" t="s">
        <v>701</v>
      </c>
      <c r="D411" s="73" t="s">
        <v>678</v>
      </c>
      <c r="E411" s="73" t="s">
        <v>1098</v>
      </c>
      <c r="F411" s="42" t="s">
        <v>783</v>
      </c>
      <c r="G411" s="38">
        <v>2500</v>
      </c>
      <c r="H411" s="38">
        <v>2500</v>
      </c>
      <c r="I411" s="39">
        <f t="shared" si="12"/>
        <v>100</v>
      </c>
      <c r="J411" s="129">
        <f>SUM('[1]ведомствен.'!G900)</f>
        <v>2500</v>
      </c>
      <c r="K411" s="129">
        <f>SUM('[1]ведомствен.'!H900)</f>
        <v>2500</v>
      </c>
    </row>
    <row r="412" spans="1:11" s="106" customFormat="1" ht="15.75" customHeight="1">
      <c r="A412" s="40" t="s">
        <v>906</v>
      </c>
      <c r="B412" s="72"/>
      <c r="C412" s="73" t="s">
        <v>701</v>
      </c>
      <c r="D412" s="73" t="s">
        <v>678</v>
      </c>
      <c r="E412" s="53" t="s">
        <v>907</v>
      </c>
      <c r="F412" s="42"/>
      <c r="G412" s="38">
        <f>SUM(G413)</f>
        <v>14127.7</v>
      </c>
      <c r="H412" s="38">
        <f>SUM(H413)</f>
        <v>12958.1</v>
      </c>
      <c r="I412" s="39">
        <f t="shared" si="12"/>
        <v>91.72122850853287</v>
      </c>
      <c r="J412" s="129"/>
      <c r="K412" s="129"/>
    </row>
    <row r="413" spans="1:11" s="106" customFormat="1" ht="45" customHeight="1">
      <c r="A413" s="40" t="s">
        <v>1099</v>
      </c>
      <c r="B413" s="72"/>
      <c r="C413" s="73" t="s">
        <v>701</v>
      </c>
      <c r="D413" s="73" t="s">
        <v>678</v>
      </c>
      <c r="E413" s="53" t="s">
        <v>1100</v>
      </c>
      <c r="F413" s="42"/>
      <c r="G413" s="38">
        <f>SUM(G414)</f>
        <v>14127.7</v>
      </c>
      <c r="H413" s="38">
        <f>SUM(H414)</f>
        <v>12958.1</v>
      </c>
      <c r="I413" s="39">
        <f t="shared" si="12"/>
        <v>91.72122850853287</v>
      </c>
      <c r="J413" s="129"/>
      <c r="K413" s="129"/>
    </row>
    <row r="414" spans="1:11" s="106" customFormat="1" ht="27.75" customHeight="1">
      <c r="A414" s="57" t="s">
        <v>782</v>
      </c>
      <c r="B414" s="72"/>
      <c r="C414" s="73" t="s">
        <v>701</v>
      </c>
      <c r="D414" s="73" t="s">
        <v>678</v>
      </c>
      <c r="E414" s="53" t="s">
        <v>1100</v>
      </c>
      <c r="F414" s="42" t="s">
        <v>783</v>
      </c>
      <c r="G414" s="38">
        <v>14127.7</v>
      </c>
      <c r="H414" s="38">
        <v>12958.1</v>
      </c>
      <c r="I414" s="39">
        <f t="shared" si="12"/>
        <v>91.72122850853287</v>
      </c>
      <c r="J414" s="129">
        <f>SUM('[1]ведомствен.'!G903)</f>
        <v>14127.7</v>
      </c>
      <c r="K414" s="129">
        <f>SUM('[1]ведомствен.'!H903)</f>
        <v>12958.1</v>
      </c>
    </row>
    <row r="415" spans="1:11" s="106" customFormat="1" ht="15.75" customHeight="1">
      <c r="A415" s="40" t="s">
        <v>1101</v>
      </c>
      <c r="B415" s="128"/>
      <c r="C415" s="53" t="s">
        <v>701</v>
      </c>
      <c r="D415" s="53" t="s">
        <v>680</v>
      </c>
      <c r="E415" s="53"/>
      <c r="F415" s="41"/>
      <c r="G415" s="38">
        <f>SUM(G421+G441+G458+G474)+G479+G451+G470+G467+G416+G481</f>
        <v>561610.2</v>
      </c>
      <c r="H415" s="38">
        <f>SUM(H421+H441+H458+H474)+H479+H451+H470+H467+H416+H481</f>
        <v>556959.3</v>
      </c>
      <c r="I415" s="39">
        <f t="shared" si="12"/>
        <v>99.17186333154207</v>
      </c>
      <c r="J415" s="129"/>
      <c r="K415" s="129"/>
    </row>
    <row r="416" spans="1:11" s="106" customFormat="1" ht="16.5" customHeight="1" hidden="1">
      <c r="A416" s="40" t="s">
        <v>769</v>
      </c>
      <c r="B416" s="128"/>
      <c r="C416" s="53" t="s">
        <v>701</v>
      </c>
      <c r="D416" s="53" t="s">
        <v>680</v>
      </c>
      <c r="E416" s="53" t="s">
        <v>771</v>
      </c>
      <c r="F416" s="41"/>
      <c r="G416" s="38">
        <f>SUM(G417+G419)</f>
        <v>0</v>
      </c>
      <c r="H416" s="38">
        <f>SUM(H417+H419)</f>
        <v>0</v>
      </c>
      <c r="I416" s="39" t="e">
        <f t="shared" si="12"/>
        <v>#DIV/0!</v>
      </c>
      <c r="J416" s="129"/>
      <c r="K416" s="129"/>
    </row>
    <row r="417" spans="1:9" ht="20.25" customHeight="1" hidden="1">
      <c r="A417" s="40" t="s">
        <v>1102</v>
      </c>
      <c r="B417" s="128"/>
      <c r="C417" s="53" t="s">
        <v>701</v>
      </c>
      <c r="D417" s="53" t="s">
        <v>680</v>
      </c>
      <c r="E417" s="53" t="s">
        <v>1103</v>
      </c>
      <c r="F417" s="41"/>
      <c r="G417" s="38">
        <f>SUM(G418)</f>
        <v>0</v>
      </c>
      <c r="H417" s="38">
        <f>SUM(H418)</f>
        <v>0</v>
      </c>
      <c r="I417" s="39" t="e">
        <f t="shared" si="12"/>
        <v>#DIV/0!</v>
      </c>
    </row>
    <row r="418" spans="1:9" ht="20.25" customHeight="1" hidden="1">
      <c r="A418" s="57" t="s">
        <v>782</v>
      </c>
      <c r="B418" s="128"/>
      <c r="C418" s="53" t="s">
        <v>701</v>
      </c>
      <c r="D418" s="53" t="s">
        <v>680</v>
      </c>
      <c r="E418" s="53" t="s">
        <v>1103</v>
      </c>
      <c r="F418" s="41" t="s">
        <v>783</v>
      </c>
      <c r="G418" s="38"/>
      <c r="H418" s="38"/>
      <c r="I418" s="39" t="e">
        <f t="shared" si="12"/>
        <v>#DIV/0!</v>
      </c>
    </row>
    <row r="419" spans="1:9" ht="20.25" customHeight="1" hidden="1">
      <c r="A419" s="34" t="s">
        <v>740</v>
      </c>
      <c r="B419" s="35"/>
      <c r="C419" s="53" t="s">
        <v>701</v>
      </c>
      <c r="D419" s="53" t="s">
        <v>680</v>
      </c>
      <c r="E419" s="36" t="s">
        <v>741</v>
      </c>
      <c r="F419" s="41"/>
      <c r="G419" s="38">
        <f>SUM(G420)</f>
        <v>0</v>
      </c>
      <c r="H419" s="38">
        <f>SUM(H420)</f>
        <v>0</v>
      </c>
      <c r="I419" s="39" t="e">
        <f t="shared" si="12"/>
        <v>#DIV/0!</v>
      </c>
    </row>
    <row r="420" spans="1:9" ht="20.25" customHeight="1" hidden="1">
      <c r="A420" s="57" t="s">
        <v>782</v>
      </c>
      <c r="B420" s="128"/>
      <c r="C420" s="53" t="s">
        <v>701</v>
      </c>
      <c r="D420" s="53" t="s">
        <v>680</v>
      </c>
      <c r="E420" s="53" t="s">
        <v>741</v>
      </c>
      <c r="F420" s="41" t="s">
        <v>783</v>
      </c>
      <c r="G420" s="38"/>
      <c r="H420" s="38"/>
      <c r="I420" s="39" t="e">
        <f t="shared" si="12"/>
        <v>#DIV/0!</v>
      </c>
    </row>
    <row r="421" spans="1:11" s="106" customFormat="1" ht="28.5" customHeight="1">
      <c r="A421" s="40" t="s">
        <v>1104</v>
      </c>
      <c r="B421" s="128"/>
      <c r="C421" s="53" t="s">
        <v>701</v>
      </c>
      <c r="D421" s="53" t="s">
        <v>680</v>
      </c>
      <c r="E421" s="53" t="s">
        <v>1105</v>
      </c>
      <c r="F421" s="41"/>
      <c r="G421" s="38">
        <f>SUM(G422)</f>
        <v>401466.19999999995</v>
      </c>
      <c r="H421" s="38">
        <f>SUM(H422)</f>
        <v>398358.8</v>
      </c>
      <c r="I421" s="39">
        <f t="shared" si="12"/>
        <v>99.22598714412322</v>
      </c>
      <c r="J421" s="129"/>
      <c r="K421" s="129"/>
    </row>
    <row r="422" spans="1:11" s="106" customFormat="1" ht="18.75" customHeight="1">
      <c r="A422" s="40" t="s">
        <v>780</v>
      </c>
      <c r="B422" s="128"/>
      <c r="C422" s="53" t="s">
        <v>701</v>
      </c>
      <c r="D422" s="53" t="s">
        <v>680</v>
      </c>
      <c r="E422" s="53" t="s">
        <v>1106</v>
      </c>
      <c r="F422" s="41"/>
      <c r="G422" s="38">
        <f>SUM(G423+G430+G432+G434+G439+G426+G428)+G437</f>
        <v>401466.19999999995</v>
      </c>
      <c r="H422" s="38">
        <f>SUM(H423+H430+H432+H434+H439+H426+H428)+H437</f>
        <v>398358.8</v>
      </c>
      <c r="I422" s="39">
        <f t="shared" si="12"/>
        <v>99.22598714412322</v>
      </c>
      <c r="J422" s="129"/>
      <c r="K422" s="129"/>
    </row>
    <row r="423" spans="1:11" s="106" customFormat="1" ht="21" customHeight="1">
      <c r="A423" s="57" t="s">
        <v>782</v>
      </c>
      <c r="B423" s="72"/>
      <c r="C423" s="53" t="s">
        <v>701</v>
      </c>
      <c r="D423" s="53" t="s">
        <v>680</v>
      </c>
      <c r="E423" s="53" t="s">
        <v>1106</v>
      </c>
      <c r="F423" s="42" t="s">
        <v>783</v>
      </c>
      <c r="G423" s="38">
        <v>100461.7</v>
      </c>
      <c r="H423" s="38">
        <v>98571.9</v>
      </c>
      <c r="I423" s="39">
        <f t="shared" si="12"/>
        <v>98.11888510745887</v>
      </c>
      <c r="J423" s="129">
        <f>SUM('[1]ведомствен.'!G912)+'[1]ведомствен.'!G514</f>
        <v>100461.7</v>
      </c>
      <c r="K423" s="129">
        <f>SUM('[1]ведомствен.'!H912)+'[1]ведомствен.'!H514</f>
        <v>98571.9</v>
      </c>
    </row>
    <row r="424" spans="1:11" s="106" customFormat="1" ht="47.25" customHeight="1" hidden="1">
      <c r="A424" s="57" t="s">
        <v>1087</v>
      </c>
      <c r="B424" s="72"/>
      <c r="C424" s="53" t="s">
        <v>701</v>
      </c>
      <c r="D424" s="53" t="s">
        <v>680</v>
      </c>
      <c r="E424" s="53" t="s">
        <v>1106</v>
      </c>
      <c r="F424" s="41" t="s">
        <v>1088</v>
      </c>
      <c r="G424" s="38"/>
      <c r="H424" s="38"/>
      <c r="I424" s="39" t="e">
        <f t="shared" si="12"/>
        <v>#DIV/0!</v>
      </c>
      <c r="J424" s="129"/>
      <c r="K424" s="129"/>
    </row>
    <row r="425" spans="1:11" s="106" customFormat="1" ht="49.5" customHeight="1" hidden="1">
      <c r="A425" s="57" t="s">
        <v>1107</v>
      </c>
      <c r="B425" s="72"/>
      <c r="C425" s="53" t="s">
        <v>701</v>
      </c>
      <c r="D425" s="53" t="s">
        <v>680</v>
      </c>
      <c r="E425" s="53" t="s">
        <v>1106</v>
      </c>
      <c r="F425" s="42" t="s">
        <v>1108</v>
      </c>
      <c r="G425" s="38"/>
      <c r="H425" s="38"/>
      <c r="I425" s="39" t="e">
        <f t="shared" si="12"/>
        <v>#DIV/0!</v>
      </c>
      <c r="J425" s="129"/>
      <c r="K425" s="129"/>
    </row>
    <row r="426" spans="1:11" s="106" customFormat="1" ht="67.5" customHeight="1">
      <c r="A426" s="57" t="s">
        <v>1089</v>
      </c>
      <c r="B426" s="72"/>
      <c r="C426" s="53" t="s">
        <v>701</v>
      </c>
      <c r="D426" s="53" t="s">
        <v>680</v>
      </c>
      <c r="E426" s="73" t="s">
        <v>1109</v>
      </c>
      <c r="F426" s="42"/>
      <c r="G426" s="38">
        <f>SUM(G427)</f>
        <v>1016.5</v>
      </c>
      <c r="H426" s="38">
        <f>SUM(H427)</f>
        <v>850</v>
      </c>
      <c r="I426" s="39">
        <f t="shared" si="12"/>
        <v>83.62026561731432</v>
      </c>
      <c r="J426" s="129"/>
      <c r="K426" s="129"/>
    </row>
    <row r="427" spans="1:11" s="106" customFormat="1" ht="32.25" customHeight="1">
      <c r="A427" s="57" t="s">
        <v>1091</v>
      </c>
      <c r="B427" s="72"/>
      <c r="C427" s="53" t="s">
        <v>701</v>
      </c>
      <c r="D427" s="53" t="s">
        <v>680</v>
      </c>
      <c r="E427" s="73" t="s">
        <v>1109</v>
      </c>
      <c r="F427" s="42" t="s">
        <v>1092</v>
      </c>
      <c r="G427" s="38">
        <v>1016.5</v>
      </c>
      <c r="H427" s="38">
        <v>850</v>
      </c>
      <c r="I427" s="39">
        <f t="shared" si="12"/>
        <v>83.62026561731432</v>
      </c>
      <c r="J427" s="129">
        <f>SUM('[1]ведомствен.'!G913)</f>
        <v>1016.5</v>
      </c>
      <c r="K427" s="129">
        <f>SUM('[1]ведомствен.'!H913)</f>
        <v>850</v>
      </c>
    </row>
    <row r="428" spans="1:11" s="106" customFormat="1" ht="32.25" customHeight="1" hidden="1">
      <c r="A428" s="57" t="s">
        <v>1110</v>
      </c>
      <c r="B428" s="72"/>
      <c r="C428" s="53" t="s">
        <v>701</v>
      </c>
      <c r="D428" s="53" t="s">
        <v>680</v>
      </c>
      <c r="E428" s="73" t="s">
        <v>1111</v>
      </c>
      <c r="F428" s="42"/>
      <c r="G428" s="38">
        <f>SUM(G429)</f>
        <v>0</v>
      </c>
      <c r="H428" s="38">
        <f>SUM(H429)</f>
        <v>0</v>
      </c>
      <c r="I428" s="39" t="e">
        <f t="shared" si="12"/>
        <v>#DIV/0!</v>
      </c>
      <c r="J428" s="129"/>
      <c r="K428" s="129"/>
    </row>
    <row r="429" spans="1:11" s="106" customFormat="1" ht="26.25" customHeight="1" hidden="1">
      <c r="A429" s="57" t="s">
        <v>782</v>
      </c>
      <c r="B429" s="72"/>
      <c r="C429" s="53" t="s">
        <v>701</v>
      </c>
      <c r="D429" s="53" t="s">
        <v>680</v>
      </c>
      <c r="E429" s="73" t="s">
        <v>1111</v>
      </c>
      <c r="F429" s="42" t="s">
        <v>783</v>
      </c>
      <c r="G429" s="38"/>
      <c r="H429" s="38"/>
      <c r="I429" s="39" t="e">
        <f t="shared" si="12"/>
        <v>#DIV/0!</v>
      </c>
      <c r="J429" s="129"/>
      <c r="K429" s="129"/>
    </row>
    <row r="430" spans="1:11" s="106" customFormat="1" ht="60.75" customHeight="1">
      <c r="A430" s="57" t="s">
        <v>1112</v>
      </c>
      <c r="B430" s="72"/>
      <c r="C430" s="53" t="s">
        <v>701</v>
      </c>
      <c r="D430" s="53" t="s">
        <v>680</v>
      </c>
      <c r="E430" s="53" t="s">
        <v>1113</v>
      </c>
      <c r="F430" s="42"/>
      <c r="G430" s="38">
        <f>SUM(G431)</f>
        <v>9564.4</v>
      </c>
      <c r="H430" s="38">
        <f>SUM(H431)</f>
        <v>8946.1</v>
      </c>
      <c r="I430" s="39">
        <f t="shared" si="12"/>
        <v>93.53540211618085</v>
      </c>
      <c r="J430" s="129"/>
      <c r="K430" s="129"/>
    </row>
    <row r="431" spans="1:11" s="106" customFormat="1" ht="22.5" customHeight="1">
      <c r="A431" s="57" t="s">
        <v>782</v>
      </c>
      <c r="B431" s="72"/>
      <c r="C431" s="53" t="s">
        <v>701</v>
      </c>
      <c r="D431" s="53" t="s">
        <v>680</v>
      </c>
      <c r="E431" s="53" t="s">
        <v>1113</v>
      </c>
      <c r="F431" s="42" t="s">
        <v>783</v>
      </c>
      <c r="G431" s="38">
        <v>9564.4</v>
      </c>
      <c r="H431" s="38">
        <v>8946.1</v>
      </c>
      <c r="I431" s="39">
        <f t="shared" si="12"/>
        <v>93.53540211618085</v>
      </c>
      <c r="J431" s="129">
        <f>SUM('[1]ведомствен.'!G921)</f>
        <v>9564.4</v>
      </c>
      <c r="K431" s="129">
        <f>SUM('[1]ведомствен.'!H921)</f>
        <v>8946.1</v>
      </c>
    </row>
    <row r="432" spans="1:9" ht="58.5" customHeight="1" hidden="1">
      <c r="A432" s="40" t="s">
        <v>1114</v>
      </c>
      <c r="B432" s="43"/>
      <c r="C432" s="53" t="s">
        <v>701</v>
      </c>
      <c r="D432" s="53" t="s">
        <v>680</v>
      </c>
      <c r="E432" s="53" t="s">
        <v>1115</v>
      </c>
      <c r="F432" s="42"/>
      <c r="G432" s="38">
        <f>SUM(G433)</f>
        <v>0</v>
      </c>
      <c r="H432" s="38">
        <f>SUM(H433)</f>
        <v>0</v>
      </c>
      <c r="I432" s="39" t="e">
        <f t="shared" si="12"/>
        <v>#DIV/0!</v>
      </c>
    </row>
    <row r="433" spans="1:11" s="106" customFormat="1" ht="18" customHeight="1" hidden="1">
      <c r="A433" s="57" t="s">
        <v>782</v>
      </c>
      <c r="B433" s="72"/>
      <c r="C433" s="53" t="s">
        <v>701</v>
      </c>
      <c r="D433" s="53" t="s">
        <v>680</v>
      </c>
      <c r="E433" s="53" t="s">
        <v>1115</v>
      </c>
      <c r="F433" s="42" t="s">
        <v>783</v>
      </c>
      <c r="G433" s="38"/>
      <c r="H433" s="38"/>
      <c r="I433" s="39" t="e">
        <f t="shared" si="12"/>
        <v>#DIV/0!</v>
      </c>
      <c r="J433" s="129"/>
      <c r="K433" s="129"/>
    </row>
    <row r="434" spans="1:9" ht="45" customHeight="1">
      <c r="A434" s="57" t="s">
        <v>1116</v>
      </c>
      <c r="B434" s="72"/>
      <c r="C434" s="53" t="s">
        <v>701</v>
      </c>
      <c r="D434" s="53" t="s">
        <v>680</v>
      </c>
      <c r="E434" s="53" t="s">
        <v>1117</v>
      </c>
      <c r="F434" s="42"/>
      <c r="G434" s="38">
        <f>SUM(G435)</f>
        <v>799</v>
      </c>
      <c r="H434" s="38">
        <f>SUM(H435)</f>
        <v>584.3</v>
      </c>
      <c r="I434" s="39">
        <f t="shared" si="12"/>
        <v>73.12891113892364</v>
      </c>
    </row>
    <row r="435" spans="1:11" s="106" customFormat="1" ht="18.75" customHeight="1">
      <c r="A435" s="57" t="s">
        <v>782</v>
      </c>
      <c r="B435" s="72"/>
      <c r="C435" s="53" t="s">
        <v>701</v>
      </c>
      <c r="D435" s="53" t="s">
        <v>680</v>
      </c>
      <c r="E435" s="53" t="s">
        <v>1117</v>
      </c>
      <c r="F435" s="42" t="s">
        <v>783</v>
      </c>
      <c r="G435" s="38">
        <f>772.3+26.7</f>
        <v>799</v>
      </c>
      <c r="H435" s="38">
        <v>584.3</v>
      </c>
      <c r="I435" s="39">
        <f t="shared" si="12"/>
        <v>73.12891113892364</v>
      </c>
      <c r="J435" s="129">
        <f>SUM('[1]ведомствен.'!G924)</f>
        <v>799</v>
      </c>
      <c r="K435" s="129">
        <f>SUM('[1]ведомствен.'!H924)</f>
        <v>584.3</v>
      </c>
    </row>
    <row r="436" spans="1:9" ht="27" customHeight="1" hidden="1">
      <c r="A436" s="40" t="s">
        <v>1118</v>
      </c>
      <c r="B436" s="72"/>
      <c r="C436" s="53" t="s">
        <v>701</v>
      </c>
      <c r="D436" s="53" t="s">
        <v>680</v>
      </c>
      <c r="E436" s="53" t="s">
        <v>1106</v>
      </c>
      <c r="F436" s="42" t="s">
        <v>1119</v>
      </c>
      <c r="G436" s="38"/>
      <c r="H436" s="38"/>
      <c r="I436" s="39" t="e">
        <f t="shared" si="12"/>
        <v>#DIV/0!</v>
      </c>
    </row>
    <row r="437" spans="1:9" ht="57" customHeight="1" hidden="1">
      <c r="A437" s="57" t="s">
        <v>1120</v>
      </c>
      <c r="B437" s="72"/>
      <c r="C437" s="53" t="s">
        <v>701</v>
      </c>
      <c r="D437" s="53" t="s">
        <v>680</v>
      </c>
      <c r="E437" s="53" t="s">
        <v>1121</v>
      </c>
      <c r="F437" s="42"/>
      <c r="G437" s="38">
        <f>SUM(G438)</f>
        <v>0</v>
      </c>
      <c r="H437" s="38">
        <f>SUM(H438)</f>
        <v>0</v>
      </c>
      <c r="I437" s="39" t="e">
        <f t="shared" si="12"/>
        <v>#DIV/0!</v>
      </c>
    </row>
    <row r="438" spans="1:9" ht="25.5" customHeight="1" hidden="1">
      <c r="A438" s="57" t="s">
        <v>1122</v>
      </c>
      <c r="B438" s="72"/>
      <c r="C438" s="53" t="s">
        <v>701</v>
      </c>
      <c r="D438" s="53" t="s">
        <v>680</v>
      </c>
      <c r="E438" s="53" t="s">
        <v>1121</v>
      </c>
      <c r="F438" s="42" t="s">
        <v>1123</v>
      </c>
      <c r="G438" s="38"/>
      <c r="H438" s="38"/>
      <c r="I438" s="39" t="e">
        <f t="shared" si="12"/>
        <v>#DIV/0!</v>
      </c>
    </row>
    <row r="439" spans="1:9" ht="62.25" customHeight="1">
      <c r="A439" s="57" t="s">
        <v>1124</v>
      </c>
      <c r="B439" s="72"/>
      <c r="C439" s="53" t="s">
        <v>701</v>
      </c>
      <c r="D439" s="53" t="s">
        <v>680</v>
      </c>
      <c r="E439" s="53" t="s">
        <v>1125</v>
      </c>
      <c r="F439" s="42"/>
      <c r="G439" s="38">
        <f>SUM(G440)</f>
        <v>289624.6</v>
      </c>
      <c r="H439" s="38">
        <f>SUM(H440)</f>
        <v>289406.5</v>
      </c>
      <c r="I439" s="39">
        <f t="shared" si="12"/>
        <v>99.9246956232309</v>
      </c>
    </row>
    <row r="440" spans="1:11" ht="20.25" customHeight="1">
      <c r="A440" s="57" t="s">
        <v>782</v>
      </c>
      <c r="B440" s="72"/>
      <c r="C440" s="53" t="s">
        <v>701</v>
      </c>
      <c r="D440" s="53" t="s">
        <v>680</v>
      </c>
      <c r="E440" s="53" t="s">
        <v>1125</v>
      </c>
      <c r="F440" s="42" t="s">
        <v>783</v>
      </c>
      <c r="G440" s="38">
        <f>280453.5+9171.1</f>
        <v>289624.6</v>
      </c>
      <c r="H440" s="38">
        <v>289406.5</v>
      </c>
      <c r="I440" s="39">
        <f t="shared" si="12"/>
        <v>99.9246956232309</v>
      </c>
      <c r="J440" s="129">
        <f>SUM('[1]ведомствен.'!G929)</f>
        <v>289624.6</v>
      </c>
      <c r="K440" s="129">
        <f>SUM('[1]ведомствен.'!H929)</f>
        <v>289406.5</v>
      </c>
    </row>
    <row r="441" spans="1:9" ht="18" customHeight="1">
      <c r="A441" s="34" t="s">
        <v>1126</v>
      </c>
      <c r="B441" s="35"/>
      <c r="C441" s="53" t="s">
        <v>701</v>
      </c>
      <c r="D441" s="53" t="s">
        <v>680</v>
      </c>
      <c r="E441" s="53" t="s">
        <v>1127</v>
      </c>
      <c r="F441" s="41"/>
      <c r="G441" s="38">
        <f>SUM(G442)</f>
        <v>84334.5</v>
      </c>
      <c r="H441" s="38">
        <f>SUM(H442)</f>
        <v>84286.2</v>
      </c>
      <c r="I441" s="39">
        <f t="shared" si="12"/>
        <v>99.94272806502677</v>
      </c>
    </row>
    <row r="442" spans="1:9" ht="18" customHeight="1">
      <c r="A442" s="40" t="s">
        <v>780</v>
      </c>
      <c r="B442" s="128"/>
      <c r="C442" s="53" t="s">
        <v>701</v>
      </c>
      <c r="D442" s="53" t="s">
        <v>680</v>
      </c>
      <c r="E442" s="53" t="s">
        <v>1128</v>
      </c>
      <c r="F442" s="41"/>
      <c r="G442" s="38">
        <f>SUM(G443+G448+G446)</f>
        <v>84334.5</v>
      </c>
      <c r="H442" s="38">
        <f>SUM(H443+H448+H446)</f>
        <v>84286.2</v>
      </c>
      <c r="I442" s="39">
        <f t="shared" si="12"/>
        <v>99.94272806502677</v>
      </c>
    </row>
    <row r="443" spans="1:11" ht="15.75" customHeight="1">
      <c r="A443" s="57" t="s">
        <v>782</v>
      </c>
      <c r="B443" s="72"/>
      <c r="C443" s="53" t="s">
        <v>701</v>
      </c>
      <c r="D443" s="53" t="s">
        <v>680</v>
      </c>
      <c r="E443" s="53" t="s">
        <v>1128</v>
      </c>
      <c r="F443" s="42" t="s">
        <v>783</v>
      </c>
      <c r="G443" s="38">
        <v>84132.3</v>
      </c>
      <c r="H443" s="38">
        <v>84106.8</v>
      </c>
      <c r="I443" s="39">
        <f t="shared" si="12"/>
        <v>99.96969059445658</v>
      </c>
      <c r="J443" s="6">
        <f>SUM('[1]ведомствен.'!G819+'[1]ведомствен.'!G933+'[1]ведомствен.'!G1034)+'[1]ведомствен.'!G517</f>
        <v>84132.30000000002</v>
      </c>
      <c r="K443" s="6">
        <f>SUM('[1]ведомствен.'!H819+'[1]ведомствен.'!H933+'[1]ведомствен.'!H1034)+'[1]ведомствен.'!H517</f>
        <v>84106.80000000002</v>
      </c>
    </row>
    <row r="444" spans="1:9" ht="45.75" customHeight="1" hidden="1">
      <c r="A444" s="57" t="s">
        <v>1129</v>
      </c>
      <c r="B444" s="72"/>
      <c r="C444" s="53" t="s">
        <v>701</v>
      </c>
      <c r="D444" s="53" t="s">
        <v>680</v>
      </c>
      <c r="E444" s="53" t="s">
        <v>1128</v>
      </c>
      <c r="F444" s="42" t="s">
        <v>1130</v>
      </c>
      <c r="G444" s="38"/>
      <c r="H444" s="38"/>
      <c r="I444" s="39" t="e">
        <f t="shared" si="12"/>
        <v>#DIV/0!</v>
      </c>
    </row>
    <row r="445" spans="1:11" s="106" customFormat="1" ht="47.25" customHeight="1" hidden="1">
      <c r="A445" s="57" t="s">
        <v>1087</v>
      </c>
      <c r="B445" s="72"/>
      <c r="C445" s="53" t="s">
        <v>701</v>
      </c>
      <c r="D445" s="53" t="s">
        <v>680</v>
      </c>
      <c r="E445" s="53" t="s">
        <v>1128</v>
      </c>
      <c r="F445" s="41" t="s">
        <v>1088</v>
      </c>
      <c r="G445" s="38"/>
      <c r="H445" s="38"/>
      <c r="I445" s="39" t="e">
        <f t="shared" si="12"/>
        <v>#DIV/0!</v>
      </c>
      <c r="J445" s="129"/>
      <c r="K445" s="129"/>
    </row>
    <row r="446" spans="1:11" s="106" customFormat="1" ht="66.75" customHeight="1">
      <c r="A446" s="57" t="s">
        <v>1089</v>
      </c>
      <c r="B446" s="72"/>
      <c r="C446" s="53" t="s">
        <v>701</v>
      </c>
      <c r="D446" s="53" t="s">
        <v>680</v>
      </c>
      <c r="E446" s="73" t="s">
        <v>1131</v>
      </c>
      <c r="F446" s="42"/>
      <c r="G446" s="38">
        <f>SUM(G447)</f>
        <v>202.2</v>
      </c>
      <c r="H446" s="38">
        <f>SUM(H447)</f>
        <v>179.4</v>
      </c>
      <c r="I446" s="39">
        <f t="shared" si="12"/>
        <v>88.72403560830861</v>
      </c>
      <c r="J446" s="129"/>
      <c r="K446" s="129"/>
    </row>
    <row r="447" spans="1:11" s="106" customFormat="1" ht="34.5" customHeight="1">
      <c r="A447" s="57" t="s">
        <v>1091</v>
      </c>
      <c r="B447" s="72"/>
      <c r="C447" s="53" t="s">
        <v>701</v>
      </c>
      <c r="D447" s="53" t="s">
        <v>680</v>
      </c>
      <c r="E447" s="73" t="s">
        <v>1131</v>
      </c>
      <c r="F447" s="42" t="s">
        <v>1092</v>
      </c>
      <c r="G447" s="38">
        <v>202.2</v>
      </c>
      <c r="H447" s="38">
        <v>179.4</v>
      </c>
      <c r="I447" s="39">
        <f t="shared" si="12"/>
        <v>88.72403560830861</v>
      </c>
      <c r="J447" s="6">
        <f>SUM('[1]ведомствен.'!G935)</f>
        <v>202.2</v>
      </c>
      <c r="K447" s="6">
        <f>SUM('[1]ведомствен.'!H935)</f>
        <v>179.4</v>
      </c>
    </row>
    <row r="448" spans="1:11" s="106" customFormat="1" ht="65.25" customHeight="1" hidden="1">
      <c r="A448" s="40" t="s">
        <v>1114</v>
      </c>
      <c r="B448" s="72"/>
      <c r="C448" s="53" t="s">
        <v>701</v>
      </c>
      <c r="D448" s="53" t="s">
        <v>680</v>
      </c>
      <c r="E448" s="53" t="s">
        <v>1132</v>
      </c>
      <c r="F448" s="42"/>
      <c r="G448" s="38">
        <f>SUM(G449)</f>
        <v>0</v>
      </c>
      <c r="H448" s="38">
        <f>SUM(H449)</f>
        <v>0</v>
      </c>
      <c r="I448" s="39" t="e">
        <f t="shared" si="12"/>
        <v>#DIV/0!</v>
      </c>
      <c r="J448" s="129"/>
      <c r="K448" s="129"/>
    </row>
    <row r="449" spans="1:9" ht="15.75" customHeight="1" hidden="1">
      <c r="A449" s="57" t="s">
        <v>782</v>
      </c>
      <c r="B449" s="72"/>
      <c r="C449" s="53" t="s">
        <v>701</v>
      </c>
      <c r="D449" s="53" t="s">
        <v>680</v>
      </c>
      <c r="E449" s="53" t="s">
        <v>1132</v>
      </c>
      <c r="F449" s="42" t="s">
        <v>783</v>
      </c>
      <c r="G449" s="38"/>
      <c r="H449" s="38"/>
      <c r="I449" s="39" t="e">
        <f t="shared" si="12"/>
        <v>#DIV/0!</v>
      </c>
    </row>
    <row r="450" spans="1:9" ht="18.75" customHeight="1" hidden="1">
      <c r="A450" s="40" t="s">
        <v>1118</v>
      </c>
      <c r="B450" s="72"/>
      <c r="C450" s="53" t="s">
        <v>701</v>
      </c>
      <c r="D450" s="53" t="s">
        <v>680</v>
      </c>
      <c r="E450" s="53" t="s">
        <v>1128</v>
      </c>
      <c r="F450" s="42" t="s">
        <v>1119</v>
      </c>
      <c r="G450" s="38"/>
      <c r="H450" s="38"/>
      <c r="I450" s="39" t="e">
        <f t="shared" si="12"/>
        <v>#DIV/0!</v>
      </c>
    </row>
    <row r="451" spans="1:11" s="2" customFormat="1" ht="15">
      <c r="A451" s="34" t="s">
        <v>1133</v>
      </c>
      <c r="B451" s="35"/>
      <c r="C451" s="53" t="s">
        <v>701</v>
      </c>
      <c r="D451" s="53" t="s">
        <v>680</v>
      </c>
      <c r="E451" s="53" t="s">
        <v>1134</v>
      </c>
      <c r="F451" s="68"/>
      <c r="G451" s="38">
        <f>SUM(G452)</f>
        <v>41328.5</v>
      </c>
      <c r="H451" s="38">
        <f>SUM(H452)</f>
        <v>41322.1</v>
      </c>
      <c r="I451" s="39">
        <f t="shared" si="12"/>
        <v>99.98451431820656</v>
      </c>
      <c r="J451" s="130"/>
      <c r="K451" s="130"/>
    </row>
    <row r="452" spans="1:11" s="2" customFormat="1" ht="18" customHeight="1">
      <c r="A452" s="40" t="s">
        <v>780</v>
      </c>
      <c r="B452" s="35"/>
      <c r="C452" s="53" t="s">
        <v>701</v>
      </c>
      <c r="D452" s="53" t="s">
        <v>680</v>
      </c>
      <c r="E452" s="53" t="s">
        <v>1135</v>
      </c>
      <c r="F452" s="68"/>
      <c r="G452" s="38">
        <f>SUM(G456+G454+G453)</f>
        <v>41328.5</v>
      </c>
      <c r="H452" s="38">
        <f>SUM(H456+H454+H453)</f>
        <v>41322.1</v>
      </c>
      <c r="I452" s="39">
        <f t="shared" si="12"/>
        <v>99.98451431820656</v>
      </c>
      <c r="J452" s="130"/>
      <c r="K452" s="130"/>
    </row>
    <row r="453" spans="1:11" s="2" customFormat="1" ht="22.5" customHeight="1">
      <c r="A453" s="57" t="s">
        <v>782</v>
      </c>
      <c r="B453" s="35"/>
      <c r="C453" s="53" t="s">
        <v>701</v>
      </c>
      <c r="D453" s="53" t="s">
        <v>680</v>
      </c>
      <c r="E453" s="36" t="s">
        <v>1136</v>
      </c>
      <c r="F453" s="41" t="s">
        <v>783</v>
      </c>
      <c r="G453" s="38">
        <v>342.7</v>
      </c>
      <c r="H453" s="38">
        <v>342.5</v>
      </c>
      <c r="I453" s="39">
        <f t="shared" si="12"/>
        <v>99.94163991829589</v>
      </c>
      <c r="J453" s="130">
        <f>SUM('[1]ведомствен.'!G520)</f>
        <v>342.7</v>
      </c>
      <c r="K453" s="130">
        <f>SUM('[1]ведомствен.'!H520)</f>
        <v>342.5</v>
      </c>
    </row>
    <row r="454" spans="1:11" s="2" customFormat="1" ht="47.25" customHeight="1">
      <c r="A454" s="57" t="s">
        <v>1116</v>
      </c>
      <c r="B454" s="72"/>
      <c r="C454" s="53" t="s">
        <v>701</v>
      </c>
      <c r="D454" s="53" t="s">
        <v>680</v>
      </c>
      <c r="E454" s="53" t="s">
        <v>1137</v>
      </c>
      <c r="F454" s="42"/>
      <c r="G454" s="38">
        <f>SUM(G455)</f>
        <v>42.4</v>
      </c>
      <c r="H454" s="38">
        <f>SUM(H455)</f>
        <v>36.2</v>
      </c>
      <c r="I454" s="39">
        <f t="shared" si="12"/>
        <v>85.37735849056605</v>
      </c>
      <c r="J454" s="130"/>
      <c r="K454" s="130"/>
    </row>
    <row r="455" spans="1:11" s="2" customFormat="1" ht="18.75" customHeight="1">
      <c r="A455" s="57" t="s">
        <v>782</v>
      </c>
      <c r="B455" s="35"/>
      <c r="C455" s="53" t="s">
        <v>701</v>
      </c>
      <c r="D455" s="53" t="s">
        <v>680</v>
      </c>
      <c r="E455" s="53" t="s">
        <v>1137</v>
      </c>
      <c r="F455" s="41" t="s">
        <v>783</v>
      </c>
      <c r="G455" s="38">
        <f>19.7+22.7</f>
        <v>42.4</v>
      </c>
      <c r="H455" s="38">
        <v>36.2</v>
      </c>
      <c r="I455" s="39">
        <f t="shared" si="12"/>
        <v>85.37735849056605</v>
      </c>
      <c r="J455" s="130">
        <f>SUM('[1]ведомствен.'!G522)</f>
        <v>42.4</v>
      </c>
      <c r="K455" s="130">
        <f>SUM('[1]ведомствен.'!H522)</f>
        <v>36.2</v>
      </c>
    </row>
    <row r="456" spans="1:11" s="2" customFormat="1" ht="32.25" customHeight="1">
      <c r="A456" s="40" t="s">
        <v>1138</v>
      </c>
      <c r="B456" s="35"/>
      <c r="C456" s="53" t="s">
        <v>701</v>
      </c>
      <c r="D456" s="53" t="s">
        <v>680</v>
      </c>
      <c r="E456" s="53" t="s">
        <v>1139</v>
      </c>
      <c r="F456" s="68"/>
      <c r="G456" s="38">
        <f>SUM(G457)</f>
        <v>40943.4</v>
      </c>
      <c r="H456" s="38">
        <f>SUM(H457)</f>
        <v>40943.4</v>
      </c>
      <c r="I456" s="39">
        <f t="shared" si="12"/>
        <v>100</v>
      </c>
      <c r="J456" s="130"/>
      <c r="K456" s="130"/>
    </row>
    <row r="457" spans="1:11" s="2" customFormat="1" ht="15">
      <c r="A457" s="54" t="s">
        <v>782</v>
      </c>
      <c r="B457" s="35"/>
      <c r="C457" s="53" t="s">
        <v>701</v>
      </c>
      <c r="D457" s="53" t="s">
        <v>680</v>
      </c>
      <c r="E457" s="53" t="s">
        <v>1139</v>
      </c>
      <c r="F457" s="68" t="s">
        <v>783</v>
      </c>
      <c r="G457" s="38">
        <v>40943.4</v>
      </c>
      <c r="H457" s="38">
        <v>40943.4</v>
      </c>
      <c r="I457" s="39">
        <f t="shared" si="12"/>
        <v>100</v>
      </c>
      <c r="J457" s="130">
        <f>SUM('[1]ведомствен.'!G524)</f>
        <v>40943.4</v>
      </c>
      <c r="K457" s="130">
        <f>SUM('[1]ведомствен.'!H524)</f>
        <v>40943.4</v>
      </c>
    </row>
    <row r="458" spans="1:9" ht="18" customHeight="1">
      <c r="A458" s="40" t="s">
        <v>1140</v>
      </c>
      <c r="B458" s="53"/>
      <c r="C458" s="53" t="s">
        <v>701</v>
      </c>
      <c r="D458" s="53" t="s">
        <v>680</v>
      </c>
      <c r="E458" s="53" t="s">
        <v>1141</v>
      </c>
      <c r="F458" s="41"/>
      <c r="G458" s="38">
        <f>SUM(G459)</f>
        <v>21871.7</v>
      </c>
      <c r="H458" s="38">
        <f>SUM(H459)</f>
        <v>21808.4</v>
      </c>
      <c r="I458" s="39">
        <f t="shared" si="12"/>
        <v>99.71058491109517</v>
      </c>
    </row>
    <row r="459" spans="1:9" ht="16.5" customHeight="1">
      <c r="A459" s="40" t="s">
        <v>780</v>
      </c>
      <c r="B459" s="128"/>
      <c r="C459" s="53" t="s">
        <v>701</v>
      </c>
      <c r="D459" s="53" t="s">
        <v>680</v>
      </c>
      <c r="E459" s="53" t="s">
        <v>1142</v>
      </c>
      <c r="F459" s="41"/>
      <c r="G459" s="38">
        <f>SUM(G461+G463+G465)+G460</f>
        <v>21871.7</v>
      </c>
      <c r="H459" s="38">
        <f>SUM(H461+H463+H465)+H460</f>
        <v>21808.4</v>
      </c>
      <c r="I459" s="39">
        <f t="shared" si="12"/>
        <v>99.71058491109517</v>
      </c>
    </row>
    <row r="460" spans="1:11" ht="27.75" customHeight="1">
      <c r="A460" s="57" t="s">
        <v>782</v>
      </c>
      <c r="B460" s="72"/>
      <c r="C460" s="53" t="s">
        <v>701</v>
      </c>
      <c r="D460" s="53" t="s">
        <v>680</v>
      </c>
      <c r="E460" s="53" t="s">
        <v>1142</v>
      </c>
      <c r="F460" s="42" t="s">
        <v>783</v>
      </c>
      <c r="G460" s="38">
        <v>259.9</v>
      </c>
      <c r="H460" s="38">
        <v>259.8</v>
      </c>
      <c r="I460" s="39">
        <f t="shared" si="12"/>
        <v>99.9615236629473</v>
      </c>
      <c r="J460" s="6">
        <f>SUM('[1]ведомствен.'!G527)</f>
        <v>259.9</v>
      </c>
      <c r="K460" s="6">
        <f>SUM('[1]ведомствен.'!H527)</f>
        <v>259.8</v>
      </c>
    </row>
    <row r="461" spans="1:11" s="106" customFormat="1" ht="66.75" customHeight="1">
      <c r="A461" s="57" t="s">
        <v>1089</v>
      </c>
      <c r="B461" s="72"/>
      <c r="C461" s="53" t="s">
        <v>701</v>
      </c>
      <c r="D461" s="53" t="s">
        <v>680</v>
      </c>
      <c r="E461" s="53" t="s">
        <v>1143</v>
      </c>
      <c r="F461" s="42"/>
      <c r="G461" s="38">
        <f>SUM(G462)</f>
        <v>62</v>
      </c>
      <c r="H461" s="38">
        <f>SUM(H462)</f>
        <v>52.6</v>
      </c>
      <c r="I461" s="39">
        <f t="shared" si="12"/>
        <v>84.83870967741936</v>
      </c>
      <c r="J461" s="129"/>
      <c r="K461" s="129"/>
    </row>
    <row r="462" spans="1:11" s="106" customFormat="1" ht="34.5" customHeight="1">
      <c r="A462" s="57" t="s">
        <v>1091</v>
      </c>
      <c r="B462" s="72"/>
      <c r="C462" s="53" t="s">
        <v>701</v>
      </c>
      <c r="D462" s="53" t="s">
        <v>680</v>
      </c>
      <c r="E462" s="73" t="s">
        <v>1131</v>
      </c>
      <c r="F462" s="42" t="s">
        <v>1092</v>
      </c>
      <c r="G462" s="38">
        <v>62</v>
      </c>
      <c r="H462" s="38">
        <v>52.6</v>
      </c>
      <c r="I462" s="39">
        <f t="shared" si="12"/>
        <v>84.83870967741936</v>
      </c>
      <c r="J462" s="129">
        <f>SUM('[1]ведомствен.'!G945)</f>
        <v>62</v>
      </c>
      <c r="K462" s="129">
        <f>SUM('[1]ведомствен.'!H945)</f>
        <v>52.6</v>
      </c>
    </row>
    <row r="463" spans="1:9" ht="43.5" customHeight="1">
      <c r="A463" s="57" t="s">
        <v>1116</v>
      </c>
      <c r="B463" s="72"/>
      <c r="C463" s="53" t="s">
        <v>701</v>
      </c>
      <c r="D463" s="53" t="s">
        <v>680</v>
      </c>
      <c r="E463" s="53" t="s">
        <v>1144</v>
      </c>
      <c r="F463" s="42"/>
      <c r="G463" s="38">
        <f>SUM(G464)</f>
        <v>27.6</v>
      </c>
      <c r="H463" s="38">
        <f>SUM(H464)</f>
        <v>17.8</v>
      </c>
      <c r="I463" s="39">
        <f aca="true" t="shared" si="13" ref="I463:I524">SUM(H463/G463*100)</f>
        <v>64.4927536231884</v>
      </c>
    </row>
    <row r="464" spans="1:11" ht="16.5" customHeight="1">
      <c r="A464" s="57" t="s">
        <v>782</v>
      </c>
      <c r="B464" s="72"/>
      <c r="C464" s="53" t="s">
        <v>701</v>
      </c>
      <c r="D464" s="53" t="s">
        <v>680</v>
      </c>
      <c r="E464" s="53" t="s">
        <v>1144</v>
      </c>
      <c r="F464" s="42" t="s">
        <v>783</v>
      </c>
      <c r="G464" s="38">
        <v>27.6</v>
      </c>
      <c r="H464" s="38">
        <v>17.8</v>
      </c>
      <c r="I464" s="39">
        <f t="shared" si="13"/>
        <v>64.4927536231884</v>
      </c>
      <c r="J464" s="129">
        <f>SUM('[1]ведомствен.'!G947)</f>
        <v>27.6</v>
      </c>
      <c r="K464" s="129">
        <f>SUM('[1]ведомствен.'!H947)</f>
        <v>17.8</v>
      </c>
    </row>
    <row r="465" spans="1:9" ht="89.25" customHeight="1">
      <c r="A465" s="57" t="s">
        <v>1145</v>
      </c>
      <c r="B465" s="72"/>
      <c r="C465" s="53" t="s">
        <v>701</v>
      </c>
      <c r="D465" s="53" t="s">
        <v>680</v>
      </c>
      <c r="E465" s="53" t="s">
        <v>1146</v>
      </c>
      <c r="F465" s="42"/>
      <c r="G465" s="38">
        <f>SUM(G466)</f>
        <v>21522.2</v>
      </c>
      <c r="H465" s="38">
        <f>SUM(H466)</f>
        <v>21478.2</v>
      </c>
      <c r="I465" s="39">
        <f t="shared" si="13"/>
        <v>99.79555993346405</v>
      </c>
    </row>
    <row r="466" spans="1:11" ht="16.5" customHeight="1">
      <c r="A466" s="57" t="s">
        <v>782</v>
      </c>
      <c r="B466" s="72"/>
      <c r="C466" s="53" t="s">
        <v>701</v>
      </c>
      <c r="D466" s="53" t="s">
        <v>680</v>
      </c>
      <c r="E466" s="53" t="s">
        <v>1146</v>
      </c>
      <c r="F466" s="42" t="s">
        <v>783</v>
      </c>
      <c r="G466" s="38">
        <v>21522.2</v>
      </c>
      <c r="H466" s="38">
        <v>21478.2</v>
      </c>
      <c r="I466" s="39">
        <f t="shared" si="13"/>
        <v>99.79555993346405</v>
      </c>
      <c r="J466" s="129">
        <f>SUM('[1]ведомствен.'!G949)</f>
        <v>21522.2</v>
      </c>
      <c r="K466" s="129">
        <f>SUM('[1]ведомствен.'!H949)</f>
        <v>21478.2</v>
      </c>
    </row>
    <row r="467" spans="1:9" ht="16.5" customHeight="1" hidden="1">
      <c r="A467" s="57" t="s">
        <v>1147</v>
      </c>
      <c r="B467" s="72"/>
      <c r="C467" s="53" t="s">
        <v>701</v>
      </c>
      <c r="D467" s="53" t="s">
        <v>680</v>
      </c>
      <c r="E467" s="73" t="s">
        <v>1148</v>
      </c>
      <c r="F467" s="42"/>
      <c r="G467" s="131">
        <f>SUM(G468)</f>
        <v>0</v>
      </c>
      <c r="H467" s="131">
        <f>SUM(H468)</f>
        <v>0</v>
      </c>
      <c r="I467" s="39" t="e">
        <f t="shared" si="13"/>
        <v>#DIV/0!</v>
      </c>
    </row>
    <row r="468" spans="1:9" ht="45" customHeight="1" hidden="1">
      <c r="A468" s="57" t="s">
        <v>1149</v>
      </c>
      <c r="B468" s="72"/>
      <c r="C468" s="53" t="s">
        <v>701</v>
      </c>
      <c r="D468" s="53" t="s">
        <v>680</v>
      </c>
      <c r="E468" s="73" t="s">
        <v>1150</v>
      </c>
      <c r="F468" s="42"/>
      <c r="G468" s="131">
        <f>SUM(G469)</f>
        <v>0</v>
      </c>
      <c r="H468" s="131">
        <f>SUM(H469)</f>
        <v>0</v>
      </c>
      <c r="I468" s="39" t="e">
        <f t="shared" si="13"/>
        <v>#DIV/0!</v>
      </c>
    </row>
    <row r="469" spans="1:9" ht="16.5" customHeight="1" hidden="1">
      <c r="A469" s="57" t="s">
        <v>782</v>
      </c>
      <c r="B469" s="72"/>
      <c r="C469" s="53" t="s">
        <v>701</v>
      </c>
      <c r="D469" s="53" t="s">
        <v>680</v>
      </c>
      <c r="E469" s="73" t="s">
        <v>1150</v>
      </c>
      <c r="F469" s="42" t="s">
        <v>783</v>
      </c>
      <c r="G469" s="131"/>
      <c r="H469" s="131"/>
      <c r="I469" s="39" t="e">
        <f t="shared" si="13"/>
        <v>#DIV/0!</v>
      </c>
    </row>
    <row r="470" spans="1:9" ht="32.25" customHeight="1" hidden="1">
      <c r="A470" s="57" t="s">
        <v>1151</v>
      </c>
      <c r="B470" s="72"/>
      <c r="C470" s="53" t="s">
        <v>701</v>
      </c>
      <c r="D470" s="53" t="s">
        <v>680</v>
      </c>
      <c r="E470" s="53" t="s">
        <v>1152</v>
      </c>
      <c r="F470" s="42"/>
      <c r="G470" s="38">
        <f aca="true" t="shared" si="14" ref="G470:H472">SUM(G471)</f>
        <v>0</v>
      </c>
      <c r="H470" s="38">
        <f t="shared" si="14"/>
        <v>0</v>
      </c>
      <c r="I470" s="39" t="e">
        <f t="shared" si="13"/>
        <v>#DIV/0!</v>
      </c>
    </row>
    <row r="471" spans="1:9" ht="36" customHeight="1" hidden="1">
      <c r="A471" s="57" t="s">
        <v>1110</v>
      </c>
      <c r="B471" s="72"/>
      <c r="C471" s="53" t="s">
        <v>701</v>
      </c>
      <c r="D471" s="53" t="s">
        <v>680</v>
      </c>
      <c r="E471" s="53" t="s">
        <v>1153</v>
      </c>
      <c r="F471" s="42"/>
      <c r="G471" s="38">
        <f t="shared" si="14"/>
        <v>0</v>
      </c>
      <c r="H471" s="38">
        <f t="shared" si="14"/>
        <v>0</v>
      </c>
      <c r="I471" s="39" t="e">
        <f t="shared" si="13"/>
        <v>#DIV/0!</v>
      </c>
    </row>
    <row r="472" spans="1:9" ht="40.5" customHeight="1" hidden="1">
      <c r="A472" s="57" t="s">
        <v>1154</v>
      </c>
      <c r="B472" s="72"/>
      <c r="C472" s="53" t="s">
        <v>701</v>
      </c>
      <c r="D472" s="53" t="s">
        <v>680</v>
      </c>
      <c r="E472" s="53" t="s">
        <v>1155</v>
      </c>
      <c r="F472" s="42"/>
      <c r="G472" s="38">
        <f t="shared" si="14"/>
        <v>0</v>
      </c>
      <c r="H472" s="38">
        <f t="shared" si="14"/>
        <v>0</v>
      </c>
      <c r="I472" s="39" t="e">
        <f t="shared" si="13"/>
        <v>#DIV/0!</v>
      </c>
    </row>
    <row r="473" spans="1:9" ht="16.5" customHeight="1" hidden="1">
      <c r="A473" s="57" t="s">
        <v>782</v>
      </c>
      <c r="B473" s="72"/>
      <c r="C473" s="53" t="s">
        <v>701</v>
      </c>
      <c r="D473" s="53" t="s">
        <v>680</v>
      </c>
      <c r="E473" s="53" t="s">
        <v>1155</v>
      </c>
      <c r="F473" s="42" t="s">
        <v>783</v>
      </c>
      <c r="G473" s="38"/>
      <c r="H473" s="38"/>
      <c r="I473" s="39" t="e">
        <f t="shared" si="13"/>
        <v>#DIV/0!</v>
      </c>
    </row>
    <row r="474" spans="1:9" ht="20.25" customHeight="1">
      <c r="A474" s="40" t="s">
        <v>1080</v>
      </c>
      <c r="B474" s="53"/>
      <c r="C474" s="53" t="s">
        <v>701</v>
      </c>
      <c r="D474" s="53" t="s">
        <v>680</v>
      </c>
      <c r="E474" s="53" t="s">
        <v>1156</v>
      </c>
      <c r="F474" s="41"/>
      <c r="G474" s="38">
        <f>SUM(G475+G477)</f>
        <v>12609.3</v>
      </c>
      <c r="H474" s="38">
        <f>SUM(H475+H477)</f>
        <v>11183.8</v>
      </c>
      <c r="I474" s="39">
        <f t="shared" si="13"/>
        <v>88.69485221225604</v>
      </c>
    </row>
    <row r="475" spans="1:9" ht="28.5" customHeight="1">
      <c r="A475" s="54" t="s">
        <v>1157</v>
      </c>
      <c r="B475" s="53"/>
      <c r="C475" s="53" t="s">
        <v>701</v>
      </c>
      <c r="D475" s="53" t="s">
        <v>680</v>
      </c>
      <c r="E475" s="53" t="s">
        <v>1158</v>
      </c>
      <c r="F475" s="41"/>
      <c r="G475" s="38">
        <f>SUM(G476)</f>
        <v>11615.1</v>
      </c>
      <c r="H475" s="38">
        <f>SUM(H476)</f>
        <v>10189.6</v>
      </c>
      <c r="I475" s="39">
        <f t="shared" si="13"/>
        <v>87.72718271904677</v>
      </c>
    </row>
    <row r="476" spans="1:11" ht="17.25" customHeight="1">
      <c r="A476" s="57" t="s">
        <v>782</v>
      </c>
      <c r="B476" s="53"/>
      <c r="C476" s="53" t="s">
        <v>701</v>
      </c>
      <c r="D476" s="53" t="s">
        <v>680</v>
      </c>
      <c r="E476" s="53" t="s">
        <v>1158</v>
      </c>
      <c r="F476" s="41" t="s">
        <v>783</v>
      </c>
      <c r="G476" s="38">
        <f>9628.2+1986.9</f>
        <v>11615.1</v>
      </c>
      <c r="H476" s="38">
        <v>10189.6</v>
      </c>
      <c r="I476" s="39">
        <f t="shared" si="13"/>
        <v>87.72718271904677</v>
      </c>
      <c r="J476" s="129">
        <f>SUM('[1]ведомствен.'!G956)</f>
        <v>11615.1</v>
      </c>
      <c r="K476" s="129">
        <f>SUM('[1]ведомствен.'!H956)</f>
        <v>10189.6</v>
      </c>
    </row>
    <row r="477" spans="1:9" ht="42" customHeight="1">
      <c r="A477" s="54" t="s">
        <v>1159</v>
      </c>
      <c r="B477" s="53"/>
      <c r="C477" s="53" t="s">
        <v>701</v>
      </c>
      <c r="D477" s="53" t="s">
        <v>680</v>
      </c>
      <c r="E477" s="53" t="s">
        <v>1160</v>
      </c>
      <c r="F477" s="41"/>
      <c r="G477" s="38">
        <f>SUM(G478)</f>
        <v>994.1999999999998</v>
      </c>
      <c r="H477" s="38">
        <f>SUM(H478)</f>
        <v>994.1999999999998</v>
      </c>
      <c r="I477" s="39">
        <f t="shared" si="13"/>
        <v>100</v>
      </c>
    </row>
    <row r="478" spans="1:11" ht="17.25" customHeight="1">
      <c r="A478" s="57" t="s">
        <v>782</v>
      </c>
      <c r="B478" s="53"/>
      <c r="C478" s="53" t="s">
        <v>701</v>
      </c>
      <c r="D478" s="53" t="s">
        <v>680</v>
      </c>
      <c r="E478" s="53" t="s">
        <v>1160</v>
      </c>
      <c r="F478" s="41" t="s">
        <v>783</v>
      </c>
      <c r="G478" s="38">
        <f>2981.1-1986.9</f>
        <v>994.1999999999998</v>
      </c>
      <c r="H478" s="38">
        <f>2981.1-1986.9</f>
        <v>994.1999999999998</v>
      </c>
      <c r="I478" s="39">
        <f t="shared" si="13"/>
        <v>100</v>
      </c>
      <c r="J478" s="129">
        <f>SUM('[1]ведомствен.'!G958)</f>
        <v>994.1999999999998</v>
      </c>
      <c r="K478" s="129">
        <f>SUM('[1]ведомствен.'!H958)</f>
        <v>994.1999999999998</v>
      </c>
    </row>
    <row r="479" spans="1:9" ht="14.25" customHeight="1" hidden="1">
      <c r="A479" s="46" t="s">
        <v>1080</v>
      </c>
      <c r="B479" s="53"/>
      <c r="C479" s="53" t="s">
        <v>701</v>
      </c>
      <c r="D479" s="53" t="s">
        <v>680</v>
      </c>
      <c r="E479" s="53" t="s">
        <v>1156</v>
      </c>
      <c r="F479" s="41"/>
      <c r="G479" s="38">
        <f>SUM(G480)</f>
        <v>0</v>
      </c>
      <c r="H479" s="38">
        <f>SUM(H480)</f>
        <v>0</v>
      </c>
      <c r="I479" s="39" t="e">
        <f t="shared" si="13"/>
        <v>#DIV/0!</v>
      </c>
    </row>
    <row r="480" spans="1:9" ht="17.25" customHeight="1" hidden="1">
      <c r="A480" s="74" t="s">
        <v>1161</v>
      </c>
      <c r="B480" s="53"/>
      <c r="C480" s="53" t="s">
        <v>701</v>
      </c>
      <c r="D480" s="53" t="s">
        <v>680</v>
      </c>
      <c r="E480" s="53" t="s">
        <v>1156</v>
      </c>
      <c r="F480" s="41" t="s">
        <v>1162</v>
      </c>
      <c r="G480" s="38"/>
      <c r="H480" s="38"/>
      <c r="I480" s="39" t="e">
        <f t="shared" si="13"/>
        <v>#DIV/0!</v>
      </c>
    </row>
    <row r="481" spans="1:9" ht="17.25" customHeight="1" hidden="1">
      <c r="A481" s="40" t="s">
        <v>740</v>
      </c>
      <c r="B481" s="53"/>
      <c r="C481" s="53" t="s">
        <v>701</v>
      </c>
      <c r="D481" s="53" t="s">
        <v>680</v>
      </c>
      <c r="E481" s="53" t="s">
        <v>741</v>
      </c>
      <c r="F481" s="41"/>
      <c r="G481" s="38">
        <f>SUM(G482)</f>
        <v>0</v>
      </c>
      <c r="H481" s="38">
        <f>SUM(H482)</f>
        <v>0</v>
      </c>
      <c r="I481" s="39" t="e">
        <f t="shared" si="13"/>
        <v>#DIV/0!</v>
      </c>
    </row>
    <row r="482" spans="1:9" ht="17.25" customHeight="1" hidden="1">
      <c r="A482" s="57" t="s">
        <v>1163</v>
      </c>
      <c r="B482" s="53"/>
      <c r="C482" s="53" t="s">
        <v>701</v>
      </c>
      <c r="D482" s="53" t="s">
        <v>680</v>
      </c>
      <c r="E482" s="53" t="s">
        <v>741</v>
      </c>
      <c r="F482" s="41" t="s">
        <v>1164</v>
      </c>
      <c r="G482" s="38"/>
      <c r="H482" s="38"/>
      <c r="I482" s="39" t="e">
        <f t="shared" si="13"/>
        <v>#DIV/0!</v>
      </c>
    </row>
    <row r="483" spans="1:9" ht="15">
      <c r="A483" s="40" t="s">
        <v>702</v>
      </c>
      <c r="B483" s="43"/>
      <c r="C483" s="36" t="s">
        <v>701</v>
      </c>
      <c r="D483" s="36" t="s">
        <v>701</v>
      </c>
      <c r="E483" s="36"/>
      <c r="F483" s="37"/>
      <c r="G483" s="38">
        <f>SUM(G488+G498+G505+G484)</f>
        <v>31594.7</v>
      </c>
      <c r="H483" s="38">
        <f>SUM(H488+H498+H505+H484)</f>
        <v>31506.9</v>
      </c>
      <c r="I483" s="39">
        <f t="shared" si="13"/>
        <v>99.72210528981127</v>
      </c>
    </row>
    <row r="484" spans="1:9" ht="15">
      <c r="A484" s="34" t="s">
        <v>769</v>
      </c>
      <c r="B484" s="35"/>
      <c r="C484" s="36" t="s">
        <v>701</v>
      </c>
      <c r="D484" s="36" t="s">
        <v>701</v>
      </c>
      <c r="E484" s="36" t="s">
        <v>771</v>
      </c>
      <c r="F484" s="37"/>
      <c r="G484" s="38">
        <f>SUM(G485)</f>
        <v>1563.8</v>
      </c>
      <c r="H484" s="38">
        <f>SUM(H485)</f>
        <v>1563.8</v>
      </c>
      <c r="I484" s="39">
        <f t="shared" si="13"/>
        <v>100</v>
      </c>
    </row>
    <row r="485" spans="1:9" ht="15">
      <c r="A485" s="34" t="s">
        <v>740</v>
      </c>
      <c r="B485" s="35"/>
      <c r="C485" s="36" t="s">
        <v>701</v>
      </c>
      <c r="D485" s="36" t="s">
        <v>701</v>
      </c>
      <c r="E485" s="36" t="s">
        <v>741</v>
      </c>
      <c r="F485" s="37"/>
      <c r="G485" s="38">
        <f>SUM(G486+G487)</f>
        <v>1563.8</v>
      </c>
      <c r="H485" s="38">
        <f>SUM(H486+H487)</f>
        <v>1563.8</v>
      </c>
      <c r="I485" s="39">
        <f t="shared" si="13"/>
        <v>100</v>
      </c>
    </row>
    <row r="486" spans="1:11" ht="15">
      <c r="A486" s="57" t="s">
        <v>782</v>
      </c>
      <c r="B486" s="52"/>
      <c r="C486" s="36" t="s">
        <v>701</v>
      </c>
      <c r="D486" s="36" t="s">
        <v>701</v>
      </c>
      <c r="E486" s="36" t="s">
        <v>741</v>
      </c>
      <c r="F486" s="41" t="s">
        <v>783</v>
      </c>
      <c r="G486" s="38">
        <f>1000-36</f>
        <v>964</v>
      </c>
      <c r="H486" s="38">
        <f>1000-36</f>
        <v>964</v>
      </c>
      <c r="I486" s="39">
        <f t="shared" si="13"/>
        <v>100</v>
      </c>
      <c r="J486" s="6">
        <f>SUM('[1]ведомствен.'!G962)</f>
        <v>964</v>
      </c>
      <c r="K486" s="6">
        <f>SUM('[1]ведомствен.'!H962)</f>
        <v>964</v>
      </c>
    </row>
    <row r="487" spans="1:11" ht="15">
      <c r="A487" s="57" t="s">
        <v>1163</v>
      </c>
      <c r="B487" s="52"/>
      <c r="C487" s="36" t="s">
        <v>701</v>
      </c>
      <c r="D487" s="36" t="s">
        <v>701</v>
      </c>
      <c r="E487" s="36" t="s">
        <v>741</v>
      </c>
      <c r="F487" s="41" t="s">
        <v>1164</v>
      </c>
      <c r="G487" s="38">
        <v>599.8</v>
      </c>
      <c r="H487" s="38">
        <v>599.8</v>
      </c>
      <c r="I487" s="39">
        <f t="shared" si="13"/>
        <v>100</v>
      </c>
      <c r="J487" s="6">
        <f>SUM('[1]ведомствен.'!G963+'[1]ведомствен.'!G1042+'[1]ведомствен.'!G537)</f>
        <v>599.8</v>
      </c>
      <c r="K487" s="6">
        <f>SUM('[1]ведомствен.'!H963+'[1]ведомствен.'!H1042+'[1]ведомствен.'!H537)</f>
        <v>599.8</v>
      </c>
    </row>
    <row r="488" spans="1:9" ht="15">
      <c r="A488" s="51" t="s">
        <v>1165</v>
      </c>
      <c r="B488" s="52"/>
      <c r="C488" s="53" t="s">
        <v>701</v>
      </c>
      <c r="D488" s="53" t="s">
        <v>701</v>
      </c>
      <c r="E488" s="53" t="s">
        <v>1166</v>
      </c>
      <c r="F488" s="41"/>
      <c r="G488" s="38">
        <f>SUM(G489+G496+G494)+G492</f>
        <v>2389.5</v>
      </c>
      <c r="H488" s="38">
        <f>SUM(H489+H496+H494)+H492</f>
        <v>2301.7</v>
      </c>
      <c r="I488" s="39">
        <f t="shared" si="13"/>
        <v>96.32559112785101</v>
      </c>
    </row>
    <row r="489" spans="1:9" ht="18" customHeight="1">
      <c r="A489" s="51" t="s">
        <v>1167</v>
      </c>
      <c r="B489" s="53"/>
      <c r="C489" s="53" t="s">
        <v>701</v>
      </c>
      <c r="D489" s="53" t="s">
        <v>701</v>
      </c>
      <c r="E489" s="53" t="s">
        <v>1168</v>
      </c>
      <c r="F489" s="41"/>
      <c r="G489" s="38">
        <f>SUM(G490)</f>
        <v>372.8</v>
      </c>
      <c r="H489" s="38">
        <f>SUM(H490)</f>
        <v>372.8</v>
      </c>
      <c r="I489" s="39">
        <f t="shared" si="13"/>
        <v>100</v>
      </c>
    </row>
    <row r="490" spans="1:11" ht="13.5" customHeight="1">
      <c r="A490" s="57" t="s">
        <v>782</v>
      </c>
      <c r="B490" s="52"/>
      <c r="C490" s="53" t="s">
        <v>701</v>
      </c>
      <c r="D490" s="53" t="s">
        <v>701</v>
      </c>
      <c r="E490" s="53" t="s">
        <v>1168</v>
      </c>
      <c r="F490" s="41" t="s">
        <v>783</v>
      </c>
      <c r="G490" s="38">
        <f>372.8-20.9+20.9</f>
        <v>372.8</v>
      </c>
      <c r="H490" s="38">
        <f>372.8-20.9+20.9</f>
        <v>372.8</v>
      </c>
      <c r="I490" s="39">
        <f t="shared" si="13"/>
        <v>100</v>
      </c>
      <c r="J490" s="6">
        <f>SUM('[1]ведомствен.'!G966+'[1]ведомствен.'!G829)</f>
        <v>372.8</v>
      </c>
      <c r="K490" s="6">
        <f>SUM('[1]ведомствен.'!H966+'[1]ведомствен.'!H829)</f>
        <v>372.79999999999995</v>
      </c>
    </row>
    <row r="491" spans="1:9" ht="21" customHeight="1" hidden="1">
      <c r="A491" s="40" t="s">
        <v>685</v>
      </c>
      <c r="B491" s="43"/>
      <c r="C491" s="53" t="s">
        <v>701</v>
      </c>
      <c r="D491" s="53" t="s">
        <v>701</v>
      </c>
      <c r="E491" s="53" t="s">
        <v>1168</v>
      </c>
      <c r="F491" s="37" t="s">
        <v>686</v>
      </c>
      <c r="G491" s="38"/>
      <c r="H491" s="38"/>
      <c r="I491" s="39" t="e">
        <f t="shared" si="13"/>
        <v>#DIV/0!</v>
      </c>
    </row>
    <row r="492" spans="1:11" ht="27.75" customHeight="1">
      <c r="A492" s="57" t="s">
        <v>1169</v>
      </c>
      <c r="B492" s="52"/>
      <c r="C492" s="53" t="s">
        <v>701</v>
      </c>
      <c r="D492" s="53" t="s">
        <v>701</v>
      </c>
      <c r="E492" s="53" t="s">
        <v>1170</v>
      </c>
      <c r="F492" s="41"/>
      <c r="G492" s="38">
        <f>SUM(G493)</f>
        <v>45</v>
      </c>
      <c r="H492" s="38">
        <f>SUM(H493)</f>
        <v>45</v>
      </c>
      <c r="I492" s="39"/>
      <c r="J492"/>
      <c r="K492"/>
    </row>
    <row r="493" spans="1:11" ht="13.5" customHeight="1">
      <c r="A493" s="57" t="s">
        <v>782</v>
      </c>
      <c r="B493" s="52"/>
      <c r="C493" s="53" t="s">
        <v>701</v>
      </c>
      <c r="D493" s="53" t="s">
        <v>701</v>
      </c>
      <c r="E493" s="53" t="s">
        <v>1170</v>
      </c>
      <c r="F493" s="41" t="s">
        <v>783</v>
      </c>
      <c r="G493" s="38">
        <v>45</v>
      </c>
      <c r="H493" s="38">
        <v>45</v>
      </c>
      <c r="I493" s="39">
        <f>SUM(H493/G493*100)</f>
        <v>100</v>
      </c>
      <c r="J493">
        <f>SUM('[1]ведомствен.'!G831)</f>
        <v>45</v>
      </c>
      <c r="K493">
        <f>SUM('[1]ведомствен.'!H831)</f>
        <v>45</v>
      </c>
    </row>
    <row r="494" spans="1:9" ht="54.75" customHeight="1">
      <c r="A494" s="57" t="s">
        <v>1171</v>
      </c>
      <c r="B494" s="52"/>
      <c r="C494" s="53" t="s">
        <v>701</v>
      </c>
      <c r="D494" s="53" t="s">
        <v>701</v>
      </c>
      <c r="E494" s="53" t="s">
        <v>1172</v>
      </c>
      <c r="F494" s="41"/>
      <c r="G494" s="38">
        <f>SUM(G495)</f>
        <v>530</v>
      </c>
      <c r="H494" s="38">
        <f>SUM(H495)</f>
        <v>444.6</v>
      </c>
      <c r="I494" s="39">
        <f t="shared" si="13"/>
        <v>83.88679245283019</v>
      </c>
    </row>
    <row r="495" spans="1:11" ht="17.25" customHeight="1">
      <c r="A495" s="57" t="s">
        <v>782</v>
      </c>
      <c r="B495" s="52"/>
      <c r="C495" s="53" t="s">
        <v>701</v>
      </c>
      <c r="D495" s="53" t="s">
        <v>701</v>
      </c>
      <c r="E495" s="53" t="s">
        <v>1172</v>
      </c>
      <c r="F495" s="41" t="s">
        <v>783</v>
      </c>
      <c r="G495" s="38">
        <f>530-85.4+85.4</f>
        <v>530</v>
      </c>
      <c r="H495" s="38">
        <v>444.6</v>
      </c>
      <c r="I495" s="39">
        <f t="shared" si="13"/>
        <v>83.88679245283019</v>
      </c>
      <c r="J495" s="6">
        <f>SUM('[1]ведомствен.'!G969+'[1]ведомствен.'!G833)</f>
        <v>530</v>
      </c>
      <c r="K495" s="6">
        <f>SUM('[1]ведомствен.'!H969+'[1]ведомствен.'!H833)</f>
        <v>444.6</v>
      </c>
    </row>
    <row r="496" spans="1:9" ht="17.25" customHeight="1">
      <c r="A496" s="34" t="s">
        <v>780</v>
      </c>
      <c r="B496" s="52"/>
      <c r="C496" s="53" t="s">
        <v>701</v>
      </c>
      <c r="D496" s="53" t="s">
        <v>701</v>
      </c>
      <c r="E496" s="53" t="s">
        <v>1173</v>
      </c>
      <c r="F496" s="41"/>
      <c r="G496" s="38">
        <f>SUM(G497)</f>
        <v>1441.7</v>
      </c>
      <c r="H496" s="38">
        <f>SUM(H497)</f>
        <v>1439.3</v>
      </c>
      <c r="I496" s="39">
        <f t="shared" si="13"/>
        <v>99.83352986058125</v>
      </c>
    </row>
    <row r="497" spans="1:11" ht="18.75" customHeight="1">
      <c r="A497" s="57" t="s">
        <v>782</v>
      </c>
      <c r="B497" s="52"/>
      <c r="C497" s="53" t="s">
        <v>701</v>
      </c>
      <c r="D497" s="53" t="s">
        <v>701</v>
      </c>
      <c r="E497" s="53" t="s">
        <v>1173</v>
      </c>
      <c r="F497" s="41" t="s">
        <v>783</v>
      </c>
      <c r="G497" s="38">
        <v>1441.7</v>
      </c>
      <c r="H497" s="38">
        <v>1439.3</v>
      </c>
      <c r="I497" s="39">
        <f t="shared" si="13"/>
        <v>99.83352986058125</v>
      </c>
      <c r="J497" s="6">
        <f>SUM('[1]ведомствен.'!G972+'[1]ведомствен.'!G835)+'[1]ведомствен.'!G540</f>
        <v>1441.7</v>
      </c>
      <c r="K497" s="6">
        <f>SUM('[1]ведомствен.'!H972+'[1]ведомствен.'!H835)+'[1]ведомствен.'!H540</f>
        <v>1439.3000000000002</v>
      </c>
    </row>
    <row r="498" spans="1:9" ht="28.5">
      <c r="A498" s="54" t="s">
        <v>1174</v>
      </c>
      <c r="B498" s="43"/>
      <c r="C498" s="36" t="s">
        <v>701</v>
      </c>
      <c r="D498" s="36" t="s">
        <v>701</v>
      </c>
      <c r="E498" s="36" t="s">
        <v>704</v>
      </c>
      <c r="F498" s="37"/>
      <c r="G498" s="38">
        <f>SUM(G499)</f>
        <v>27641.4</v>
      </c>
      <c r="H498" s="38">
        <f>SUM(H499)</f>
        <v>27641.4</v>
      </c>
      <c r="I498" s="39">
        <f t="shared" si="13"/>
        <v>100</v>
      </c>
    </row>
    <row r="499" spans="1:9" ht="15">
      <c r="A499" s="54" t="s">
        <v>1175</v>
      </c>
      <c r="B499" s="43"/>
      <c r="C499" s="36" t="s">
        <v>701</v>
      </c>
      <c r="D499" s="36" t="s">
        <v>701</v>
      </c>
      <c r="E499" s="36" t="s">
        <v>1176</v>
      </c>
      <c r="F499" s="37"/>
      <c r="G499" s="38">
        <f>SUM(G500+G501+G503)</f>
        <v>27641.4</v>
      </c>
      <c r="H499" s="38">
        <f>SUM(H500+H501+H503)</f>
        <v>27641.4</v>
      </c>
      <c r="I499" s="39">
        <f t="shared" si="13"/>
        <v>100</v>
      </c>
    </row>
    <row r="500" spans="1:11" ht="17.25" customHeight="1">
      <c r="A500" s="57" t="s">
        <v>782</v>
      </c>
      <c r="B500" s="43"/>
      <c r="C500" s="36" t="s">
        <v>701</v>
      </c>
      <c r="D500" s="36" t="s">
        <v>701</v>
      </c>
      <c r="E500" s="36" t="s">
        <v>1176</v>
      </c>
      <c r="F500" s="37" t="s">
        <v>783</v>
      </c>
      <c r="G500" s="38">
        <f>2818.4+200-0.7-61.1</f>
        <v>2956.6000000000004</v>
      </c>
      <c r="H500" s="38">
        <v>2956.6</v>
      </c>
      <c r="I500" s="39">
        <f t="shared" si="13"/>
        <v>99.99999999999999</v>
      </c>
      <c r="J500" s="6">
        <f>SUM('[1]ведомствен.'!G975+'[1]ведомствен.'!G1045)</f>
        <v>2956.6000000000004</v>
      </c>
      <c r="K500" s="6">
        <f>SUM('[1]ведомствен.'!H975+'[1]ведомствен.'!H1045)</f>
        <v>2956.6000000000004</v>
      </c>
    </row>
    <row r="501" spans="1:9" ht="75" customHeight="1">
      <c r="A501" s="57" t="s">
        <v>1120</v>
      </c>
      <c r="B501" s="72"/>
      <c r="C501" s="36" t="s">
        <v>701</v>
      </c>
      <c r="D501" s="36" t="s">
        <v>701</v>
      </c>
      <c r="E501" s="53" t="s">
        <v>1177</v>
      </c>
      <c r="F501" s="42"/>
      <c r="G501" s="38">
        <f>SUM(G502)</f>
        <v>6986.3</v>
      </c>
      <c r="H501" s="38">
        <f>SUM(H502)</f>
        <v>6986.3</v>
      </c>
      <c r="I501" s="39">
        <f t="shared" si="13"/>
        <v>100</v>
      </c>
    </row>
    <row r="502" spans="1:11" ht="17.25" customHeight="1">
      <c r="A502" s="57" t="s">
        <v>1122</v>
      </c>
      <c r="B502" s="72"/>
      <c r="C502" s="36" t="s">
        <v>701</v>
      </c>
      <c r="D502" s="36" t="s">
        <v>701</v>
      </c>
      <c r="E502" s="53" t="s">
        <v>1177</v>
      </c>
      <c r="F502" s="42" t="s">
        <v>1123</v>
      </c>
      <c r="G502" s="38">
        <v>6986.3</v>
      </c>
      <c r="H502" s="38">
        <v>6986.3</v>
      </c>
      <c r="I502" s="39">
        <f t="shared" si="13"/>
        <v>100</v>
      </c>
      <c r="J502" s="6">
        <f>SUM('[1]ведомствен.'!G977)</f>
        <v>6986.3</v>
      </c>
      <c r="K502" s="6">
        <f>SUM('[1]ведомствен.'!H977)</f>
        <v>6986.3</v>
      </c>
    </row>
    <row r="503" spans="1:9" ht="58.5" customHeight="1">
      <c r="A503" s="57" t="s">
        <v>1178</v>
      </c>
      <c r="B503" s="43"/>
      <c r="C503" s="53" t="s">
        <v>701</v>
      </c>
      <c r="D503" s="36" t="s">
        <v>701</v>
      </c>
      <c r="E503" s="53" t="s">
        <v>1179</v>
      </c>
      <c r="F503" s="37"/>
      <c r="G503" s="38">
        <f>SUM(G504)</f>
        <v>17698.5</v>
      </c>
      <c r="H503" s="38">
        <f>SUM(H504)</f>
        <v>17698.5</v>
      </c>
      <c r="I503" s="39">
        <f t="shared" si="13"/>
        <v>100</v>
      </c>
    </row>
    <row r="504" spans="1:11" ht="17.25" customHeight="1">
      <c r="A504" s="57" t="s">
        <v>903</v>
      </c>
      <c r="B504" s="43"/>
      <c r="C504" s="53" t="s">
        <v>701</v>
      </c>
      <c r="D504" s="36" t="s">
        <v>701</v>
      </c>
      <c r="E504" s="53" t="s">
        <v>1179</v>
      </c>
      <c r="F504" s="37" t="s">
        <v>904</v>
      </c>
      <c r="G504" s="38">
        <v>17698.5</v>
      </c>
      <c r="H504" s="38">
        <v>17698.5</v>
      </c>
      <c r="I504" s="39">
        <f t="shared" si="13"/>
        <v>100</v>
      </c>
      <c r="J504" s="6">
        <f>SUM('[1]ведомствен.'!G979)</f>
        <v>17698.5</v>
      </c>
      <c r="K504" s="6">
        <f>SUM('[1]ведомствен.'!H979)</f>
        <v>17698.5</v>
      </c>
    </row>
    <row r="505" spans="1:9" ht="20.25" customHeight="1" hidden="1">
      <c r="A505" s="132" t="s">
        <v>1180</v>
      </c>
      <c r="B505" s="53"/>
      <c r="C505" s="53" t="s">
        <v>701</v>
      </c>
      <c r="D505" s="36" t="s">
        <v>701</v>
      </c>
      <c r="E505" s="53" t="s">
        <v>1181</v>
      </c>
      <c r="F505" s="41"/>
      <c r="G505" s="38">
        <f aca="true" t="shared" si="15" ref="G505:H507">SUM(G506)</f>
        <v>0</v>
      </c>
      <c r="H505" s="38">
        <f t="shared" si="15"/>
        <v>0</v>
      </c>
      <c r="I505" s="39" t="e">
        <f t="shared" si="13"/>
        <v>#DIV/0!</v>
      </c>
    </row>
    <row r="506" spans="1:9" ht="57" customHeight="1" hidden="1">
      <c r="A506" s="57" t="s">
        <v>1182</v>
      </c>
      <c r="B506" s="43"/>
      <c r="C506" s="53" t="s">
        <v>701</v>
      </c>
      <c r="D506" s="36" t="s">
        <v>701</v>
      </c>
      <c r="E506" s="53" t="s">
        <v>1183</v>
      </c>
      <c r="F506" s="37"/>
      <c r="G506" s="38">
        <f t="shared" si="15"/>
        <v>0</v>
      </c>
      <c r="H506" s="38">
        <f t="shared" si="15"/>
        <v>0</v>
      </c>
      <c r="I506" s="39" t="e">
        <f t="shared" si="13"/>
        <v>#DIV/0!</v>
      </c>
    </row>
    <row r="507" spans="1:9" ht="43.5" customHeight="1" hidden="1">
      <c r="A507" s="57" t="s">
        <v>1184</v>
      </c>
      <c r="B507" s="43"/>
      <c r="C507" s="53" t="s">
        <v>701</v>
      </c>
      <c r="D507" s="36" t="s">
        <v>701</v>
      </c>
      <c r="E507" s="53" t="s">
        <v>1185</v>
      </c>
      <c r="F507" s="37"/>
      <c r="G507" s="38">
        <f t="shared" si="15"/>
        <v>0</v>
      </c>
      <c r="H507" s="38">
        <f t="shared" si="15"/>
        <v>0</v>
      </c>
      <c r="I507" s="39" t="e">
        <f t="shared" si="13"/>
        <v>#DIV/0!</v>
      </c>
    </row>
    <row r="508" spans="1:9" ht="13.5" customHeight="1" hidden="1">
      <c r="A508" s="57" t="s">
        <v>1186</v>
      </c>
      <c r="B508" s="43"/>
      <c r="C508" s="53" t="s">
        <v>701</v>
      </c>
      <c r="D508" s="36" t="s">
        <v>701</v>
      </c>
      <c r="E508" s="53" t="s">
        <v>1185</v>
      </c>
      <c r="F508" s="37" t="s">
        <v>1187</v>
      </c>
      <c r="G508" s="38"/>
      <c r="H508" s="38"/>
      <c r="I508" s="39" t="e">
        <f t="shared" si="13"/>
        <v>#DIV/0!</v>
      </c>
    </row>
    <row r="509" spans="1:9" ht="15">
      <c r="A509" s="34" t="s">
        <v>1188</v>
      </c>
      <c r="B509" s="35"/>
      <c r="C509" s="53" t="s">
        <v>701</v>
      </c>
      <c r="D509" s="53" t="s">
        <v>887</v>
      </c>
      <c r="E509" s="53"/>
      <c r="F509" s="41"/>
      <c r="G509" s="38">
        <f>SUM(G513+G517+G524+G538+G510)</f>
        <v>61740.8</v>
      </c>
      <c r="H509" s="38">
        <f>SUM(H513+H517+H524+H538+H510)</f>
        <v>61569.3</v>
      </c>
      <c r="I509" s="39">
        <f t="shared" si="13"/>
        <v>99.72222582149891</v>
      </c>
    </row>
    <row r="510" spans="1:11" s="55" customFormat="1" ht="28.5" customHeight="1" hidden="1">
      <c r="A510" s="51" t="s">
        <v>787</v>
      </c>
      <c r="B510" s="52"/>
      <c r="C510" s="53" t="s">
        <v>701</v>
      </c>
      <c r="D510" s="53" t="s">
        <v>887</v>
      </c>
      <c r="E510" s="53" t="s">
        <v>726</v>
      </c>
      <c r="F510" s="41"/>
      <c r="G510" s="38">
        <f>SUM(G511)</f>
        <v>0</v>
      </c>
      <c r="H510" s="38">
        <f>SUM(H511)</f>
        <v>0</v>
      </c>
      <c r="I510" s="39" t="e">
        <f t="shared" si="13"/>
        <v>#DIV/0!</v>
      </c>
      <c r="J510" s="86"/>
      <c r="K510" s="86"/>
    </row>
    <row r="511" spans="1:11" s="55" customFormat="1" ht="27.75" customHeight="1" hidden="1">
      <c r="A511" s="51" t="s">
        <v>1189</v>
      </c>
      <c r="B511" s="52"/>
      <c r="C511" s="53" t="s">
        <v>701</v>
      </c>
      <c r="D511" s="53" t="s">
        <v>887</v>
      </c>
      <c r="E511" s="53" t="s">
        <v>789</v>
      </c>
      <c r="F511" s="41"/>
      <c r="G511" s="38">
        <f>SUM(G512)</f>
        <v>0</v>
      </c>
      <c r="H511" s="38">
        <f>SUM(H512)</f>
        <v>0</v>
      </c>
      <c r="I511" s="39" t="e">
        <f t="shared" si="13"/>
        <v>#DIV/0!</v>
      </c>
      <c r="J511" s="86"/>
      <c r="K511" s="86"/>
    </row>
    <row r="512" spans="1:11" s="55" customFormat="1" ht="18" customHeight="1" hidden="1">
      <c r="A512" s="51" t="s">
        <v>1042</v>
      </c>
      <c r="B512" s="52"/>
      <c r="C512" s="53" t="s">
        <v>701</v>
      </c>
      <c r="D512" s="53" t="s">
        <v>887</v>
      </c>
      <c r="E512" s="53" t="s">
        <v>789</v>
      </c>
      <c r="F512" s="41" t="s">
        <v>791</v>
      </c>
      <c r="G512" s="38"/>
      <c r="H512" s="38"/>
      <c r="I512" s="39" t="e">
        <f t="shared" si="13"/>
        <v>#DIV/0!</v>
      </c>
      <c r="J512" s="86"/>
      <c r="K512" s="86"/>
    </row>
    <row r="513" spans="1:9" ht="15">
      <c r="A513" s="103" t="s">
        <v>1147</v>
      </c>
      <c r="B513" s="92"/>
      <c r="C513" s="53" t="s">
        <v>701</v>
      </c>
      <c r="D513" s="53" t="s">
        <v>887</v>
      </c>
      <c r="E513" s="53" t="s">
        <v>1148</v>
      </c>
      <c r="F513" s="41"/>
      <c r="G513" s="38">
        <f aca="true" t="shared" si="16" ref="G513:H515">SUM(G514)</f>
        <v>2757.6</v>
      </c>
      <c r="H513" s="38">
        <f t="shared" si="16"/>
        <v>2711.9</v>
      </c>
      <c r="I513" s="39">
        <f t="shared" si="13"/>
        <v>98.3427618218741</v>
      </c>
    </row>
    <row r="514" spans="1:9" ht="19.5" customHeight="1">
      <c r="A514" s="40" t="s">
        <v>1190</v>
      </c>
      <c r="B514" s="92"/>
      <c r="C514" s="53" t="s">
        <v>701</v>
      </c>
      <c r="D514" s="53" t="s">
        <v>887</v>
      </c>
      <c r="E514" s="53" t="s">
        <v>1191</v>
      </c>
      <c r="F514" s="41"/>
      <c r="G514" s="38">
        <f t="shared" si="16"/>
        <v>2757.6</v>
      </c>
      <c r="H514" s="38">
        <f t="shared" si="16"/>
        <v>2711.9</v>
      </c>
      <c r="I514" s="39">
        <f t="shared" si="13"/>
        <v>98.3427618218741</v>
      </c>
    </row>
    <row r="515" spans="1:9" ht="30" customHeight="1">
      <c r="A515" s="57" t="s">
        <v>1192</v>
      </c>
      <c r="B515" s="92"/>
      <c r="C515" s="53" t="s">
        <v>701</v>
      </c>
      <c r="D515" s="53" t="s">
        <v>887</v>
      </c>
      <c r="E515" s="53" t="s">
        <v>1193</v>
      </c>
      <c r="F515" s="41"/>
      <c r="G515" s="38">
        <f t="shared" si="16"/>
        <v>2757.6</v>
      </c>
      <c r="H515" s="38">
        <f t="shared" si="16"/>
        <v>2711.9</v>
      </c>
      <c r="I515" s="39">
        <f t="shared" si="13"/>
        <v>98.3427618218741</v>
      </c>
    </row>
    <row r="516" spans="1:11" ht="18" customHeight="1">
      <c r="A516" s="40" t="s">
        <v>685</v>
      </c>
      <c r="B516" s="92"/>
      <c r="C516" s="53" t="s">
        <v>701</v>
      </c>
      <c r="D516" s="53" t="s">
        <v>887</v>
      </c>
      <c r="E516" s="53" t="s">
        <v>1193</v>
      </c>
      <c r="F516" s="41" t="s">
        <v>686</v>
      </c>
      <c r="G516" s="38">
        <f>2671+86.6</f>
        <v>2757.6</v>
      </c>
      <c r="H516" s="38">
        <v>2711.9</v>
      </c>
      <c r="I516" s="39">
        <f t="shared" si="13"/>
        <v>98.3427618218741</v>
      </c>
      <c r="J516" s="6">
        <f>SUM('[1]ведомствен.'!G985)</f>
        <v>2757.6</v>
      </c>
      <c r="K516" s="6">
        <f>SUM('[1]ведомствен.'!H985)</f>
        <v>2711.9</v>
      </c>
    </row>
    <row r="517" spans="1:9" ht="57">
      <c r="A517" s="54" t="s">
        <v>1194</v>
      </c>
      <c r="B517" s="35"/>
      <c r="C517" s="53" t="s">
        <v>701</v>
      </c>
      <c r="D517" s="53" t="s">
        <v>887</v>
      </c>
      <c r="E517" s="53" t="s">
        <v>1195</v>
      </c>
      <c r="F517" s="41"/>
      <c r="G517" s="38">
        <f>SUM(G518)</f>
        <v>26259.1</v>
      </c>
      <c r="H517" s="38">
        <f>SUM(H518)</f>
        <v>26135.7</v>
      </c>
      <c r="I517" s="39">
        <f t="shared" si="13"/>
        <v>99.53006767177855</v>
      </c>
    </row>
    <row r="518" spans="1:9" ht="23.25" customHeight="1">
      <c r="A518" s="40" t="s">
        <v>780</v>
      </c>
      <c r="B518" s="92"/>
      <c r="C518" s="53" t="s">
        <v>701</v>
      </c>
      <c r="D518" s="53" t="s">
        <v>887</v>
      </c>
      <c r="E518" s="53" t="s">
        <v>1196</v>
      </c>
      <c r="F518" s="41"/>
      <c r="G518" s="38">
        <f>SUM(G519+G520+G522)</f>
        <v>26259.1</v>
      </c>
      <c r="H518" s="38">
        <f>SUM(H519+H520+H522)</f>
        <v>26135.7</v>
      </c>
      <c r="I518" s="39">
        <f t="shared" si="13"/>
        <v>99.53006767177855</v>
      </c>
    </row>
    <row r="519" spans="1:11" ht="18" customHeight="1">
      <c r="A519" s="57" t="s">
        <v>782</v>
      </c>
      <c r="B519" s="92"/>
      <c r="C519" s="53" t="s">
        <v>701</v>
      </c>
      <c r="D519" s="53" t="s">
        <v>887</v>
      </c>
      <c r="E519" s="53" t="s">
        <v>1196</v>
      </c>
      <c r="F519" s="41" t="s">
        <v>783</v>
      </c>
      <c r="G519" s="38">
        <v>26137.6</v>
      </c>
      <c r="H519" s="38">
        <v>26135.7</v>
      </c>
      <c r="I519" s="39">
        <f t="shared" si="13"/>
        <v>99.9927307786484</v>
      </c>
      <c r="J519" s="6">
        <f>SUM('[1]ведомствен.'!G988+'[1]ведомствен.'!G544)</f>
        <v>26137.6</v>
      </c>
      <c r="K519" s="6">
        <f>SUM('[1]ведомствен.'!H988+'[1]ведомствен.'!H544)</f>
        <v>26135.7</v>
      </c>
    </row>
    <row r="520" spans="1:9" ht="59.25" customHeight="1">
      <c r="A520" s="54" t="s">
        <v>1194</v>
      </c>
      <c r="B520" s="92"/>
      <c r="C520" s="53" t="s">
        <v>701</v>
      </c>
      <c r="D520" s="53" t="s">
        <v>887</v>
      </c>
      <c r="E520" s="53" t="s">
        <v>1197</v>
      </c>
      <c r="F520" s="41"/>
      <c r="G520" s="38">
        <f>SUM(G521)</f>
        <v>121.5</v>
      </c>
      <c r="H520" s="38">
        <f>SUM(H521)</f>
        <v>0</v>
      </c>
      <c r="I520" s="39">
        <f t="shared" si="13"/>
        <v>0</v>
      </c>
    </row>
    <row r="521" spans="1:11" ht="21" customHeight="1">
      <c r="A521" s="57" t="s">
        <v>782</v>
      </c>
      <c r="B521" s="92"/>
      <c r="C521" s="53" t="s">
        <v>701</v>
      </c>
      <c r="D521" s="53" t="s">
        <v>887</v>
      </c>
      <c r="E521" s="53" t="s">
        <v>1197</v>
      </c>
      <c r="F521" s="41" t="s">
        <v>783</v>
      </c>
      <c r="G521" s="38">
        <v>121.5</v>
      </c>
      <c r="H521" s="38"/>
      <c r="I521" s="39">
        <f t="shared" si="13"/>
        <v>0</v>
      </c>
      <c r="J521" s="6">
        <f>SUM('[1]ведомствен.'!G990)</f>
        <v>121.5</v>
      </c>
      <c r="K521" s="6">
        <f>SUM('[1]ведомствен.'!H990)</f>
        <v>0</v>
      </c>
    </row>
    <row r="522" spans="1:9" ht="62.25" customHeight="1" hidden="1">
      <c r="A522" s="40" t="s">
        <v>1114</v>
      </c>
      <c r="B522" s="72"/>
      <c r="C522" s="53" t="s">
        <v>701</v>
      </c>
      <c r="D522" s="53" t="s">
        <v>887</v>
      </c>
      <c r="E522" s="53" t="s">
        <v>1198</v>
      </c>
      <c r="F522" s="42"/>
      <c r="G522" s="38">
        <f>SUM(G523)</f>
        <v>0</v>
      </c>
      <c r="H522" s="38">
        <f>SUM(H523)</f>
        <v>0</v>
      </c>
      <c r="I522" s="39" t="e">
        <f t="shared" si="13"/>
        <v>#DIV/0!</v>
      </c>
    </row>
    <row r="523" spans="1:9" ht="18" customHeight="1" hidden="1">
      <c r="A523" s="57" t="s">
        <v>782</v>
      </c>
      <c r="B523" s="92"/>
      <c r="C523" s="53" t="s">
        <v>701</v>
      </c>
      <c r="D523" s="53" t="s">
        <v>887</v>
      </c>
      <c r="E523" s="53" t="s">
        <v>1198</v>
      </c>
      <c r="F523" s="41" t="s">
        <v>783</v>
      </c>
      <c r="G523" s="38"/>
      <c r="H523" s="38"/>
      <c r="I523" s="39" t="e">
        <f t="shared" si="13"/>
        <v>#DIV/0!</v>
      </c>
    </row>
    <row r="524" spans="1:9" ht="15">
      <c r="A524" s="40" t="s">
        <v>906</v>
      </c>
      <c r="B524" s="72"/>
      <c r="C524" s="53" t="s">
        <v>701</v>
      </c>
      <c r="D524" s="53" t="s">
        <v>887</v>
      </c>
      <c r="E524" s="53" t="s">
        <v>907</v>
      </c>
      <c r="F524" s="42"/>
      <c r="G524" s="38">
        <f>SUM(G525+G529+G533+G527)+G531</f>
        <v>1045.2</v>
      </c>
      <c r="H524" s="38">
        <f>SUM(H525+H529+H533+H527)+H531</f>
        <v>1045.2</v>
      </c>
      <c r="I524" s="39">
        <f t="shared" si="13"/>
        <v>100</v>
      </c>
    </row>
    <row r="525" spans="1:9" ht="42.75">
      <c r="A525" s="40" t="s">
        <v>1199</v>
      </c>
      <c r="B525" s="72"/>
      <c r="C525" s="53" t="s">
        <v>701</v>
      </c>
      <c r="D525" s="53" t="s">
        <v>887</v>
      </c>
      <c r="E525" s="53" t="s">
        <v>1200</v>
      </c>
      <c r="F525" s="42"/>
      <c r="G525" s="38">
        <f>SUM(G526)</f>
        <v>346</v>
      </c>
      <c r="H525" s="38">
        <f>SUM(H526)</f>
        <v>346</v>
      </c>
      <c r="I525" s="39"/>
    </row>
    <row r="526" spans="1:11" ht="15">
      <c r="A526" s="57" t="s">
        <v>782</v>
      </c>
      <c r="B526" s="72"/>
      <c r="C526" s="53" t="s">
        <v>701</v>
      </c>
      <c r="D526" s="53" t="s">
        <v>887</v>
      </c>
      <c r="E526" s="53" t="s">
        <v>1200</v>
      </c>
      <c r="F526" s="42" t="s">
        <v>783</v>
      </c>
      <c r="G526" s="38">
        <v>346</v>
      </c>
      <c r="H526" s="38">
        <v>346</v>
      </c>
      <c r="I526" s="39"/>
      <c r="J526" s="6">
        <f>SUM('[1]ведомствен.'!G995)</f>
        <v>346</v>
      </c>
      <c r="K526" s="6">
        <f>SUM('[1]ведомствен.'!H995)</f>
        <v>346</v>
      </c>
    </row>
    <row r="527" spans="1:9" ht="71.25" hidden="1">
      <c r="A527" s="40" t="s">
        <v>1201</v>
      </c>
      <c r="B527" s="72"/>
      <c r="C527" s="53" t="s">
        <v>701</v>
      </c>
      <c r="D527" s="53" t="s">
        <v>887</v>
      </c>
      <c r="E527" s="53" t="s">
        <v>1202</v>
      </c>
      <c r="F527" s="42"/>
      <c r="G527" s="38">
        <f>SUM(G528)</f>
        <v>0</v>
      </c>
      <c r="H527" s="38">
        <f>SUM(H528)</f>
        <v>0</v>
      </c>
      <c r="I527" s="39" t="e">
        <f aca="true" t="shared" si="17" ref="I527:I590">SUM(H527/G527*100)</f>
        <v>#DIV/0!</v>
      </c>
    </row>
    <row r="528" spans="1:9" ht="28.5" hidden="1">
      <c r="A528" s="40" t="s">
        <v>1110</v>
      </c>
      <c r="B528" s="72"/>
      <c r="C528" s="53" t="s">
        <v>701</v>
      </c>
      <c r="D528" s="53" t="s">
        <v>887</v>
      </c>
      <c r="E528" s="53" t="s">
        <v>1202</v>
      </c>
      <c r="F528" s="42" t="s">
        <v>1203</v>
      </c>
      <c r="G528" s="38"/>
      <c r="H528" s="38"/>
      <c r="I528" s="39" t="e">
        <f t="shared" si="17"/>
        <v>#DIV/0!</v>
      </c>
    </row>
    <row r="529" spans="1:9" ht="42.75" hidden="1">
      <c r="A529" s="40" t="s">
        <v>1099</v>
      </c>
      <c r="B529" s="72"/>
      <c r="C529" s="53" t="s">
        <v>701</v>
      </c>
      <c r="D529" s="53" t="s">
        <v>887</v>
      </c>
      <c r="E529" s="53" t="s">
        <v>1100</v>
      </c>
      <c r="F529" s="42"/>
      <c r="G529" s="38">
        <f>SUM(G530)</f>
        <v>0</v>
      </c>
      <c r="H529" s="38">
        <f>SUM(H530)</f>
        <v>0</v>
      </c>
      <c r="I529" s="39" t="e">
        <f t="shared" si="17"/>
        <v>#DIV/0!</v>
      </c>
    </row>
    <row r="530" spans="1:9" ht="15" hidden="1">
      <c r="A530" s="57" t="s">
        <v>782</v>
      </c>
      <c r="B530" s="72"/>
      <c r="C530" s="53" t="s">
        <v>701</v>
      </c>
      <c r="D530" s="53" t="s">
        <v>887</v>
      </c>
      <c r="E530" s="53" t="s">
        <v>1100</v>
      </c>
      <c r="F530" s="42" t="s">
        <v>783</v>
      </c>
      <c r="G530" s="38"/>
      <c r="H530" s="38"/>
      <c r="I530" s="39" t="e">
        <f t="shared" si="17"/>
        <v>#DIV/0!</v>
      </c>
    </row>
    <row r="531" spans="1:9" ht="28.5" hidden="1">
      <c r="A531" s="57" t="s">
        <v>1204</v>
      </c>
      <c r="B531" s="72"/>
      <c r="C531" s="53" t="s">
        <v>701</v>
      </c>
      <c r="D531" s="53" t="s">
        <v>887</v>
      </c>
      <c r="E531" s="53" t="s">
        <v>1205</v>
      </c>
      <c r="F531" s="42"/>
      <c r="G531" s="38">
        <f>SUM(G532)</f>
        <v>0</v>
      </c>
      <c r="H531" s="38">
        <f>SUM(H532)</f>
        <v>0</v>
      </c>
      <c r="I531" s="39" t="e">
        <f t="shared" si="17"/>
        <v>#DIV/0!</v>
      </c>
    </row>
    <row r="532" spans="1:9" ht="28.5" hidden="1">
      <c r="A532" s="40" t="s">
        <v>1110</v>
      </c>
      <c r="B532" s="72"/>
      <c r="C532" s="53" t="s">
        <v>701</v>
      </c>
      <c r="D532" s="53" t="s">
        <v>887</v>
      </c>
      <c r="E532" s="53" t="s">
        <v>1205</v>
      </c>
      <c r="F532" s="42" t="s">
        <v>1203</v>
      </c>
      <c r="G532" s="38"/>
      <c r="H532" s="38"/>
      <c r="I532" s="39" t="e">
        <f t="shared" si="17"/>
        <v>#DIV/0!</v>
      </c>
    </row>
    <row r="533" spans="1:9" ht="28.5" customHeight="1">
      <c r="A533" s="40" t="s">
        <v>1206</v>
      </c>
      <c r="B533" s="72"/>
      <c r="C533" s="53" t="s">
        <v>701</v>
      </c>
      <c r="D533" s="53" t="s">
        <v>887</v>
      </c>
      <c r="E533" s="53" t="s">
        <v>1207</v>
      </c>
      <c r="F533" s="42"/>
      <c r="G533" s="38">
        <f>SUM(G534+G535+G536)</f>
        <v>699.2</v>
      </c>
      <c r="H533" s="38">
        <f>SUM(H534+H535+H536)</f>
        <v>699.2</v>
      </c>
      <c r="I533" s="39">
        <f t="shared" si="17"/>
        <v>100</v>
      </c>
    </row>
    <row r="534" spans="1:9" ht="24.75" customHeight="1" hidden="1">
      <c r="A534" s="40" t="s">
        <v>1208</v>
      </c>
      <c r="B534" s="72"/>
      <c r="C534" s="53" t="s">
        <v>701</v>
      </c>
      <c r="D534" s="53" t="s">
        <v>887</v>
      </c>
      <c r="E534" s="53" t="s">
        <v>1207</v>
      </c>
      <c r="F534" s="42" t="s">
        <v>1092</v>
      </c>
      <c r="G534" s="38">
        <f>SUM('[2]Ведомств.'!F586)</f>
        <v>0</v>
      </c>
      <c r="H534" s="38">
        <f>SUM('[2]Ведомств.'!G586)</f>
        <v>0</v>
      </c>
      <c r="I534" s="39" t="e">
        <f t="shared" si="17"/>
        <v>#DIV/0!</v>
      </c>
    </row>
    <row r="535" spans="1:11" ht="30.75" customHeight="1">
      <c r="A535" s="57" t="s">
        <v>1209</v>
      </c>
      <c r="B535" s="72"/>
      <c r="C535" s="53" t="s">
        <v>701</v>
      </c>
      <c r="D535" s="53" t="s">
        <v>887</v>
      </c>
      <c r="E535" s="53" t="s">
        <v>1207</v>
      </c>
      <c r="F535" s="42" t="s">
        <v>1092</v>
      </c>
      <c r="G535" s="38">
        <v>73.2</v>
      </c>
      <c r="H535" s="38">
        <v>73.2</v>
      </c>
      <c r="I535" s="39"/>
      <c r="J535">
        <f>SUM('[1]ведомствен.'!G1008)</f>
        <v>73.2</v>
      </c>
      <c r="K535">
        <f>SUM('[1]ведомствен.'!H1008)</f>
        <v>73.2</v>
      </c>
    </row>
    <row r="536" spans="1:9" ht="87.75" customHeight="1">
      <c r="A536" s="132" t="s">
        <v>1210</v>
      </c>
      <c r="B536" s="72"/>
      <c r="C536" s="53" t="s">
        <v>701</v>
      </c>
      <c r="D536" s="53" t="s">
        <v>887</v>
      </c>
      <c r="E536" s="53" t="s">
        <v>1211</v>
      </c>
      <c r="F536" s="42"/>
      <c r="G536" s="38">
        <f>SUM(G537)</f>
        <v>626</v>
      </c>
      <c r="H536" s="38">
        <f>SUM(H537)</f>
        <v>626</v>
      </c>
      <c r="I536" s="39">
        <f t="shared" si="17"/>
        <v>100</v>
      </c>
    </row>
    <row r="537" spans="1:11" ht="15">
      <c r="A537" s="57" t="s">
        <v>782</v>
      </c>
      <c r="B537" s="72"/>
      <c r="C537" s="53" t="s">
        <v>701</v>
      </c>
      <c r="D537" s="53" t="s">
        <v>887</v>
      </c>
      <c r="E537" s="53" t="s">
        <v>1211</v>
      </c>
      <c r="F537" s="42" t="s">
        <v>783</v>
      </c>
      <c r="G537" s="38">
        <v>626</v>
      </c>
      <c r="H537" s="38">
        <v>626</v>
      </c>
      <c r="I537" s="39">
        <f t="shared" si="17"/>
        <v>100</v>
      </c>
      <c r="J537" s="6">
        <f>SUM('[1]ведомствен.'!G1010)</f>
        <v>626</v>
      </c>
      <c r="K537" s="6">
        <f>SUM('[1]ведомствен.'!H1010)</f>
        <v>626</v>
      </c>
    </row>
    <row r="538" spans="1:11" s="77" customFormat="1" ht="15">
      <c r="A538" s="74" t="s">
        <v>742</v>
      </c>
      <c r="B538" s="75"/>
      <c r="C538" s="53" t="s">
        <v>701</v>
      </c>
      <c r="D538" s="53" t="s">
        <v>887</v>
      </c>
      <c r="E538" s="53" t="s">
        <v>743</v>
      </c>
      <c r="F538" s="42"/>
      <c r="G538" s="38">
        <f>SUM(G539,G542,G543,G544,G545,G546)</f>
        <v>31678.9</v>
      </c>
      <c r="H538" s="38">
        <f>SUM(H539,H542,H543,H544,H545,H546)</f>
        <v>31676.5</v>
      </c>
      <c r="I538" s="39">
        <f t="shared" si="17"/>
        <v>99.99242397936796</v>
      </c>
      <c r="J538" s="76"/>
      <c r="K538" s="76"/>
    </row>
    <row r="539" spans="1:11" s="77" customFormat="1" ht="42.75" customHeight="1">
      <c r="A539" s="74" t="s">
        <v>901</v>
      </c>
      <c r="B539" s="75"/>
      <c r="C539" s="53" t="s">
        <v>701</v>
      </c>
      <c r="D539" s="53" t="s">
        <v>887</v>
      </c>
      <c r="E539" s="53" t="s">
        <v>902</v>
      </c>
      <c r="F539" s="42"/>
      <c r="G539" s="38">
        <f>SUM(G540:G541)</f>
        <v>3865.2</v>
      </c>
      <c r="H539" s="38">
        <f>SUM(H540:H541)</f>
        <v>3865.2</v>
      </c>
      <c r="I539" s="39">
        <f t="shared" si="17"/>
        <v>100</v>
      </c>
      <c r="J539" s="76"/>
      <c r="K539" s="76"/>
    </row>
    <row r="540" spans="1:11" ht="19.5" customHeight="1">
      <c r="A540" s="34" t="s">
        <v>903</v>
      </c>
      <c r="B540" s="75"/>
      <c r="C540" s="53" t="s">
        <v>1212</v>
      </c>
      <c r="D540" s="53" t="s">
        <v>887</v>
      </c>
      <c r="E540" s="53" t="s">
        <v>902</v>
      </c>
      <c r="F540" s="42" t="s">
        <v>904</v>
      </c>
      <c r="G540" s="38">
        <v>3265.2</v>
      </c>
      <c r="H540" s="38">
        <v>3265.2</v>
      </c>
      <c r="I540" s="39"/>
      <c r="J540">
        <f>SUM('[1]ведомствен.'!G350)</f>
        <v>3265.2</v>
      </c>
      <c r="K540">
        <f>SUM('[1]ведомствен.'!H350)</f>
        <v>3265.2</v>
      </c>
    </row>
    <row r="541" spans="1:11" ht="19.5" customHeight="1">
      <c r="A541" s="74" t="s">
        <v>1163</v>
      </c>
      <c r="B541" s="75"/>
      <c r="C541" s="53" t="s">
        <v>1212</v>
      </c>
      <c r="D541" s="53" t="s">
        <v>887</v>
      </c>
      <c r="E541" s="53" t="s">
        <v>902</v>
      </c>
      <c r="F541" s="42" t="s">
        <v>1164</v>
      </c>
      <c r="G541" s="38">
        <v>600</v>
      </c>
      <c r="H541" s="38">
        <v>600</v>
      </c>
      <c r="I541" s="39"/>
      <c r="J541">
        <f>SUM('[1]ведомствен.'!G1013)</f>
        <v>600</v>
      </c>
      <c r="K541">
        <f>SUM('[1]ведомствен.'!H1013)</f>
        <v>600</v>
      </c>
    </row>
    <row r="542" spans="1:11" s="77" customFormat="1" ht="42" customHeight="1">
      <c r="A542" s="93" t="s">
        <v>1213</v>
      </c>
      <c r="B542" s="75"/>
      <c r="C542" s="53" t="s">
        <v>701</v>
      </c>
      <c r="D542" s="53" t="s">
        <v>887</v>
      </c>
      <c r="E542" s="53" t="s">
        <v>1214</v>
      </c>
      <c r="F542" s="42" t="s">
        <v>1164</v>
      </c>
      <c r="G542" s="38">
        <f>250-55.1+55.1</f>
        <v>250</v>
      </c>
      <c r="H542" s="38">
        <f>250-55.1+55.1</f>
        <v>250</v>
      </c>
      <c r="I542" s="39">
        <f t="shared" si="17"/>
        <v>100</v>
      </c>
      <c r="J542" s="6">
        <f>SUM('[1]ведомствен.'!G1014+'[1]ведомствен.'!G839)</f>
        <v>250</v>
      </c>
      <c r="K542" s="6">
        <f>SUM('[1]ведомствен.'!H1014+'[1]ведомствен.'!H839)</f>
        <v>250</v>
      </c>
    </row>
    <row r="543" spans="1:11" ht="14.25" customHeight="1">
      <c r="A543" s="93" t="s">
        <v>1215</v>
      </c>
      <c r="B543" s="35"/>
      <c r="C543" s="53" t="s">
        <v>701</v>
      </c>
      <c r="D543" s="53" t="s">
        <v>887</v>
      </c>
      <c r="E543" s="53" t="s">
        <v>1216</v>
      </c>
      <c r="F543" s="42" t="s">
        <v>1164</v>
      </c>
      <c r="G543" s="71">
        <v>19514.9</v>
      </c>
      <c r="H543" s="71">
        <v>19514.6</v>
      </c>
      <c r="I543" s="39">
        <f t="shared" si="17"/>
        <v>99.99846271310638</v>
      </c>
      <c r="J543" s="6">
        <f>SUM('[1]ведомствен.'!G1015)</f>
        <v>19514.9</v>
      </c>
      <c r="K543" s="6">
        <f>SUM('[1]ведомствен.'!H1015)</f>
        <v>19514.6</v>
      </c>
    </row>
    <row r="544" spans="1:11" ht="75.75" customHeight="1">
      <c r="A544" s="93" t="s">
        <v>1217</v>
      </c>
      <c r="B544" s="35"/>
      <c r="C544" s="53" t="s">
        <v>701</v>
      </c>
      <c r="D544" s="53" t="s">
        <v>887</v>
      </c>
      <c r="E544" s="53" t="s">
        <v>1218</v>
      </c>
      <c r="F544" s="42" t="s">
        <v>1164</v>
      </c>
      <c r="G544" s="71">
        <v>4801.8</v>
      </c>
      <c r="H544" s="71">
        <v>4799.7</v>
      </c>
      <c r="I544" s="39">
        <f t="shared" si="17"/>
        <v>99.95626640009996</v>
      </c>
      <c r="J544" s="6">
        <f>SUM('[1]ведомствен.'!G1016+'[1]ведомствен.'!G840)</f>
        <v>4801.799999999999</v>
      </c>
      <c r="K544" s="6">
        <f>SUM('[1]ведомствен.'!H1016+'[1]ведомствен.'!H840)</f>
        <v>4799.700000000001</v>
      </c>
    </row>
    <row r="545" spans="1:11" ht="30.75" customHeight="1">
      <c r="A545" s="93" t="s">
        <v>1219</v>
      </c>
      <c r="B545" s="35"/>
      <c r="C545" s="53" t="s">
        <v>701</v>
      </c>
      <c r="D545" s="53" t="s">
        <v>887</v>
      </c>
      <c r="E545" s="53" t="s">
        <v>1220</v>
      </c>
      <c r="F545" s="42" t="s">
        <v>1164</v>
      </c>
      <c r="G545" s="71">
        <f>2545-12.7+12.7</f>
        <v>2545</v>
      </c>
      <c r="H545" s="71">
        <f>2545-12.7+12.7</f>
        <v>2545</v>
      </c>
      <c r="I545" s="39">
        <f t="shared" si="17"/>
        <v>100</v>
      </c>
      <c r="J545" s="6">
        <f>SUM('[1]ведомствен.'!G1017+'[1]ведомствен.'!G841)</f>
        <v>2545</v>
      </c>
      <c r="K545" s="6">
        <f>SUM('[1]ведомствен.'!H1017+'[1]ведомствен.'!H841)</f>
        <v>2545</v>
      </c>
    </row>
    <row r="546" spans="1:11" ht="18" customHeight="1">
      <c r="A546" s="93" t="s">
        <v>1221</v>
      </c>
      <c r="B546" s="35"/>
      <c r="C546" s="53" t="s">
        <v>701</v>
      </c>
      <c r="D546" s="53" t="s">
        <v>887</v>
      </c>
      <c r="E546" s="53" t="s">
        <v>1222</v>
      </c>
      <c r="F546" s="42" t="s">
        <v>1164</v>
      </c>
      <c r="G546" s="71">
        <v>702</v>
      </c>
      <c r="H546" s="71">
        <v>702</v>
      </c>
      <c r="I546" s="39">
        <f t="shared" si="17"/>
        <v>100</v>
      </c>
      <c r="J546" s="6">
        <f>SUM('[1]ведомствен.'!G1018)</f>
        <v>702</v>
      </c>
      <c r="K546" s="6">
        <f>SUM('[1]ведомствен.'!H1018)</f>
        <v>702</v>
      </c>
    </row>
    <row r="547" spans="1:11" s="33" customFormat="1" ht="30">
      <c r="A547" s="58" t="s">
        <v>1223</v>
      </c>
      <c r="B547" s="59"/>
      <c r="C547" s="60" t="s">
        <v>714</v>
      </c>
      <c r="D547" s="60"/>
      <c r="E547" s="60"/>
      <c r="F547" s="61"/>
      <c r="G547" s="62">
        <f>SUM(G548+G573)</f>
        <v>53494.600000000006</v>
      </c>
      <c r="H547" s="62">
        <f>SUM(H548+H573)</f>
        <v>52643.200000000004</v>
      </c>
      <c r="I547" s="63">
        <f t="shared" si="17"/>
        <v>98.40843748714823</v>
      </c>
      <c r="J547" s="32"/>
      <c r="K547" s="32"/>
    </row>
    <row r="548" spans="1:9" ht="15">
      <c r="A548" s="34" t="s">
        <v>1224</v>
      </c>
      <c r="B548" s="35"/>
      <c r="C548" s="53" t="s">
        <v>714</v>
      </c>
      <c r="D548" s="53" t="s">
        <v>678</v>
      </c>
      <c r="E548" s="53"/>
      <c r="F548" s="41"/>
      <c r="G548" s="38">
        <f>SUM(G561+G555+G549+G569)</f>
        <v>41814.9</v>
      </c>
      <c r="H548" s="38">
        <f>SUM(H561+H555+H549+H569)</f>
        <v>41220.3</v>
      </c>
      <c r="I548" s="39">
        <f t="shared" si="17"/>
        <v>98.5780188401742</v>
      </c>
    </row>
    <row r="549" spans="1:9" ht="28.5">
      <c r="A549" s="34" t="s">
        <v>792</v>
      </c>
      <c r="B549" s="35"/>
      <c r="C549" s="53" t="s">
        <v>714</v>
      </c>
      <c r="D549" s="53" t="s">
        <v>678</v>
      </c>
      <c r="E549" s="53" t="s">
        <v>793</v>
      </c>
      <c r="F549" s="41"/>
      <c r="G549" s="38">
        <f>SUM(G550)</f>
        <v>22163.9</v>
      </c>
      <c r="H549" s="38">
        <f>SUM(H550)</f>
        <v>22047.8</v>
      </c>
      <c r="I549" s="39">
        <f t="shared" si="17"/>
        <v>99.4761752218698</v>
      </c>
    </row>
    <row r="550" spans="1:9" ht="24.75" customHeight="1">
      <c r="A550" s="40" t="s">
        <v>780</v>
      </c>
      <c r="B550" s="128"/>
      <c r="C550" s="53" t="s">
        <v>714</v>
      </c>
      <c r="D550" s="53" t="s">
        <v>678</v>
      </c>
      <c r="E550" s="53" t="s">
        <v>794</v>
      </c>
      <c r="F550" s="41"/>
      <c r="G550" s="38">
        <f>SUM(G551:G553)</f>
        <v>22163.9</v>
      </c>
      <c r="H550" s="38">
        <f>SUM(H551:H553)</f>
        <v>22047.8</v>
      </c>
      <c r="I550" s="39">
        <f t="shared" si="17"/>
        <v>99.4761752218698</v>
      </c>
    </row>
    <row r="551" spans="1:11" ht="15" customHeight="1">
      <c r="A551" s="57" t="s">
        <v>782</v>
      </c>
      <c r="B551" s="72"/>
      <c r="C551" s="53" t="s">
        <v>714</v>
      </c>
      <c r="D551" s="53" t="s">
        <v>678</v>
      </c>
      <c r="E551" s="53" t="s">
        <v>794</v>
      </c>
      <c r="F551" s="42" t="s">
        <v>783</v>
      </c>
      <c r="G551" s="38">
        <v>22163.9</v>
      </c>
      <c r="H551" s="38">
        <v>22047.8</v>
      </c>
      <c r="I551" s="39">
        <f t="shared" si="17"/>
        <v>99.4761752218698</v>
      </c>
      <c r="J551" s="6">
        <f>SUM('[1]ведомствен.'!G355+'[1]ведомствен.'!G1050+'[1]ведомствен.'!G549)</f>
        <v>22163.9</v>
      </c>
      <c r="K551" s="6">
        <f>SUM('[1]ведомствен.'!H355+'[1]ведомствен.'!H1050+'[1]ведомствен.'!H549)</f>
        <v>22047.8</v>
      </c>
    </row>
    <row r="552" spans="1:9" ht="46.5" customHeight="1" hidden="1">
      <c r="A552" s="57" t="s">
        <v>1225</v>
      </c>
      <c r="B552" s="72"/>
      <c r="C552" s="53" t="s">
        <v>714</v>
      </c>
      <c r="D552" s="53" t="s">
        <v>678</v>
      </c>
      <c r="E552" s="53" t="s">
        <v>794</v>
      </c>
      <c r="F552" s="42" t="s">
        <v>1226</v>
      </c>
      <c r="G552" s="38"/>
      <c r="H552" s="38"/>
      <c r="I552" s="39" t="e">
        <f t="shared" si="17"/>
        <v>#DIV/0!</v>
      </c>
    </row>
    <row r="553" spans="1:9" ht="57.75" customHeight="1" hidden="1">
      <c r="A553" s="40" t="s">
        <v>1114</v>
      </c>
      <c r="B553" s="43"/>
      <c r="C553" s="53" t="s">
        <v>714</v>
      </c>
      <c r="D553" s="53" t="s">
        <v>678</v>
      </c>
      <c r="E553" s="53" t="s">
        <v>1227</v>
      </c>
      <c r="F553" s="42"/>
      <c r="G553" s="38">
        <f>SUM(G554)</f>
        <v>0</v>
      </c>
      <c r="H553" s="38">
        <f>SUM(H554)</f>
        <v>0</v>
      </c>
      <c r="I553" s="39" t="e">
        <f t="shared" si="17"/>
        <v>#DIV/0!</v>
      </c>
    </row>
    <row r="554" spans="1:9" ht="22.5" customHeight="1" hidden="1">
      <c r="A554" s="57" t="s">
        <v>782</v>
      </c>
      <c r="B554" s="72"/>
      <c r="C554" s="53" t="s">
        <v>714</v>
      </c>
      <c r="D554" s="53" t="s">
        <v>678</v>
      </c>
      <c r="E554" s="53" t="s">
        <v>1227</v>
      </c>
      <c r="F554" s="42" t="s">
        <v>783</v>
      </c>
      <c r="G554" s="38"/>
      <c r="H554" s="38"/>
      <c r="I554" s="39" t="e">
        <f t="shared" si="17"/>
        <v>#DIV/0!</v>
      </c>
    </row>
    <row r="555" spans="1:9" ht="15">
      <c r="A555" s="34" t="s">
        <v>1228</v>
      </c>
      <c r="B555" s="35"/>
      <c r="C555" s="53" t="s">
        <v>714</v>
      </c>
      <c r="D555" s="53" t="s">
        <v>678</v>
      </c>
      <c r="E555" s="53" t="s">
        <v>1229</v>
      </c>
      <c r="F555" s="41"/>
      <c r="G555" s="38">
        <f>SUM(G556)</f>
        <v>3171.3</v>
      </c>
      <c r="H555" s="38">
        <f>SUM(H556)</f>
        <v>3168.6</v>
      </c>
      <c r="I555" s="39">
        <f t="shared" si="17"/>
        <v>99.91486141330053</v>
      </c>
    </row>
    <row r="556" spans="1:9" ht="19.5" customHeight="1">
      <c r="A556" s="40" t="s">
        <v>780</v>
      </c>
      <c r="B556" s="128"/>
      <c r="C556" s="53" t="s">
        <v>714</v>
      </c>
      <c r="D556" s="53" t="s">
        <v>678</v>
      </c>
      <c r="E556" s="53" t="s">
        <v>1230</v>
      </c>
      <c r="F556" s="41"/>
      <c r="G556" s="38">
        <f>SUM(G557)+G559</f>
        <v>3171.3</v>
      </c>
      <c r="H556" s="38">
        <f>SUM(H557)+H559</f>
        <v>3168.6</v>
      </c>
      <c r="I556" s="39">
        <f t="shared" si="17"/>
        <v>99.91486141330053</v>
      </c>
    </row>
    <row r="557" spans="1:11" ht="17.25" customHeight="1">
      <c r="A557" s="57" t="s">
        <v>782</v>
      </c>
      <c r="B557" s="72"/>
      <c r="C557" s="53" t="s">
        <v>714</v>
      </c>
      <c r="D557" s="53" t="s">
        <v>678</v>
      </c>
      <c r="E557" s="53" t="s">
        <v>1230</v>
      </c>
      <c r="F557" s="42" t="s">
        <v>783</v>
      </c>
      <c r="G557" s="38">
        <v>3171.3</v>
      </c>
      <c r="H557" s="38">
        <v>3168.6</v>
      </c>
      <c r="I557" s="39">
        <f t="shared" si="17"/>
        <v>99.91486141330053</v>
      </c>
      <c r="J557" s="6">
        <f>SUM('[1]ведомствен.'!G1056)+'[1]ведомствен.'!G555</f>
        <v>3171.3</v>
      </c>
      <c r="K557" s="6">
        <f>SUM('[1]ведомствен.'!H1056)+'[1]ведомствен.'!H555</f>
        <v>3168.6</v>
      </c>
    </row>
    <row r="558" spans="1:9" ht="46.5" customHeight="1" hidden="1">
      <c r="A558" s="57" t="s">
        <v>1225</v>
      </c>
      <c r="B558" s="72"/>
      <c r="C558" s="53" t="s">
        <v>714</v>
      </c>
      <c r="D558" s="53" t="s">
        <v>678</v>
      </c>
      <c r="E558" s="53" t="s">
        <v>1230</v>
      </c>
      <c r="F558" s="42" t="s">
        <v>1226</v>
      </c>
      <c r="G558" s="38"/>
      <c r="H558" s="38"/>
      <c r="I558" s="39" t="e">
        <f t="shared" si="17"/>
        <v>#DIV/0!</v>
      </c>
    </row>
    <row r="559" spans="1:9" ht="57" customHeight="1" hidden="1">
      <c r="A559" s="40" t="s">
        <v>1114</v>
      </c>
      <c r="B559" s="43"/>
      <c r="C559" s="53" t="s">
        <v>714</v>
      </c>
      <c r="D559" s="53" t="s">
        <v>678</v>
      </c>
      <c r="E559" s="53" t="s">
        <v>1231</v>
      </c>
      <c r="F559" s="42"/>
      <c r="G559" s="38">
        <f>SUM(G560)</f>
        <v>0</v>
      </c>
      <c r="H559" s="38">
        <f>SUM(H560)</f>
        <v>0</v>
      </c>
      <c r="I559" s="39" t="e">
        <f t="shared" si="17"/>
        <v>#DIV/0!</v>
      </c>
    </row>
    <row r="560" spans="1:9" ht="18.75" customHeight="1" hidden="1">
      <c r="A560" s="57" t="s">
        <v>782</v>
      </c>
      <c r="B560" s="72"/>
      <c r="C560" s="53" t="s">
        <v>714</v>
      </c>
      <c r="D560" s="53" t="s">
        <v>678</v>
      </c>
      <c r="E560" s="53" t="s">
        <v>1231</v>
      </c>
      <c r="F560" s="42" t="s">
        <v>783</v>
      </c>
      <c r="G560" s="38"/>
      <c r="H560" s="38"/>
      <c r="I560" s="39" t="e">
        <f t="shared" si="17"/>
        <v>#DIV/0!</v>
      </c>
    </row>
    <row r="561" spans="1:9" ht="15">
      <c r="A561" s="34" t="s">
        <v>1232</v>
      </c>
      <c r="B561" s="35"/>
      <c r="C561" s="53" t="s">
        <v>714</v>
      </c>
      <c r="D561" s="53" t="s">
        <v>678</v>
      </c>
      <c r="E561" s="53" t="s">
        <v>1233</v>
      </c>
      <c r="F561" s="41"/>
      <c r="G561" s="38">
        <f>SUM(G562)</f>
        <v>16109.7</v>
      </c>
      <c r="H561" s="38">
        <f>SUM(H562)</f>
        <v>15633.900000000001</v>
      </c>
      <c r="I561" s="39">
        <f t="shared" si="17"/>
        <v>97.04649993482188</v>
      </c>
    </row>
    <row r="562" spans="1:9" ht="19.5" customHeight="1">
      <c r="A562" s="40" t="s">
        <v>780</v>
      </c>
      <c r="B562" s="128"/>
      <c r="C562" s="53" t="s">
        <v>714</v>
      </c>
      <c r="D562" s="53" t="s">
        <v>678</v>
      </c>
      <c r="E562" s="53" t="s">
        <v>1234</v>
      </c>
      <c r="F562" s="41"/>
      <c r="G562" s="38">
        <f>SUM(G563+G565+G567)</f>
        <v>16109.7</v>
      </c>
      <c r="H562" s="38">
        <f>SUM(H563+H565+H567)</f>
        <v>15633.900000000001</v>
      </c>
      <c r="I562" s="39">
        <f t="shared" si="17"/>
        <v>97.04649993482188</v>
      </c>
    </row>
    <row r="563" spans="1:11" ht="15.75" customHeight="1">
      <c r="A563" s="57" t="s">
        <v>782</v>
      </c>
      <c r="B563" s="72"/>
      <c r="C563" s="53" t="s">
        <v>714</v>
      </c>
      <c r="D563" s="53" t="s">
        <v>678</v>
      </c>
      <c r="E563" s="53" t="s">
        <v>1234</v>
      </c>
      <c r="F563" s="42" t="s">
        <v>783</v>
      </c>
      <c r="G563" s="38">
        <v>14012</v>
      </c>
      <c r="H563" s="38">
        <v>13988.2</v>
      </c>
      <c r="I563" s="39">
        <f t="shared" si="17"/>
        <v>99.83014558949472</v>
      </c>
      <c r="J563" s="6">
        <f>SUM('[1]ведомствен.'!G1062)+'[1]ведомствен.'!G561</f>
        <v>14012</v>
      </c>
      <c r="K563" s="6">
        <f>SUM('[1]ведомствен.'!H1062)+'[1]ведомствен.'!H561</f>
        <v>13988.2</v>
      </c>
    </row>
    <row r="564" spans="1:9" ht="43.5" customHeight="1" hidden="1">
      <c r="A564" s="57" t="s">
        <v>1225</v>
      </c>
      <c r="B564" s="72"/>
      <c r="C564" s="53" t="s">
        <v>714</v>
      </c>
      <c r="D564" s="53" t="s">
        <v>678</v>
      </c>
      <c r="E564" s="53" t="s">
        <v>1234</v>
      </c>
      <c r="F564" s="42" t="s">
        <v>1226</v>
      </c>
      <c r="G564" s="38"/>
      <c r="H564" s="38"/>
      <c r="I564" s="39" t="e">
        <f t="shared" si="17"/>
        <v>#DIV/0!</v>
      </c>
    </row>
    <row r="565" spans="1:9" ht="57.75" customHeight="1" hidden="1">
      <c r="A565" s="40" t="s">
        <v>1114</v>
      </c>
      <c r="B565" s="43"/>
      <c r="C565" s="53" t="s">
        <v>714</v>
      </c>
      <c r="D565" s="53" t="s">
        <v>678</v>
      </c>
      <c r="E565" s="53" t="s">
        <v>1235</v>
      </c>
      <c r="F565" s="42"/>
      <c r="G565" s="38">
        <f>SUM(G566)</f>
        <v>0</v>
      </c>
      <c r="H565" s="38">
        <f>SUM(H566)</f>
        <v>0</v>
      </c>
      <c r="I565" s="39" t="e">
        <f t="shared" si="17"/>
        <v>#DIV/0!</v>
      </c>
    </row>
    <row r="566" spans="1:9" ht="16.5" customHeight="1" hidden="1">
      <c r="A566" s="57" t="s">
        <v>782</v>
      </c>
      <c r="B566" s="72"/>
      <c r="C566" s="53" t="s">
        <v>714</v>
      </c>
      <c r="D566" s="53" t="s">
        <v>678</v>
      </c>
      <c r="E566" s="53" t="s">
        <v>1235</v>
      </c>
      <c r="F566" s="42" t="s">
        <v>783</v>
      </c>
      <c r="G566" s="38"/>
      <c r="H566" s="38"/>
      <c r="I566" s="39" t="e">
        <f t="shared" si="17"/>
        <v>#DIV/0!</v>
      </c>
    </row>
    <row r="567" spans="1:9" ht="60" customHeight="1">
      <c r="A567" s="57" t="s">
        <v>1236</v>
      </c>
      <c r="B567" s="72"/>
      <c r="C567" s="53" t="s">
        <v>714</v>
      </c>
      <c r="D567" s="53" t="s">
        <v>678</v>
      </c>
      <c r="E567" s="53" t="s">
        <v>1237</v>
      </c>
      <c r="F567" s="42"/>
      <c r="G567" s="38">
        <f>SUM(G568)</f>
        <v>2097.7</v>
      </c>
      <c r="H567" s="38">
        <f>SUM(H568)</f>
        <v>1645.7</v>
      </c>
      <c r="I567" s="39">
        <f t="shared" si="17"/>
        <v>78.45259093292654</v>
      </c>
    </row>
    <row r="568" spans="1:11" ht="16.5" customHeight="1">
      <c r="A568" s="57" t="s">
        <v>782</v>
      </c>
      <c r="B568" s="72"/>
      <c r="C568" s="53" t="s">
        <v>714</v>
      </c>
      <c r="D568" s="53" t="s">
        <v>678</v>
      </c>
      <c r="E568" s="53" t="s">
        <v>1237</v>
      </c>
      <c r="F568" s="42" t="s">
        <v>783</v>
      </c>
      <c r="G568" s="38">
        <f>2030+67.7</f>
        <v>2097.7</v>
      </c>
      <c r="H568" s="38">
        <v>1645.7</v>
      </c>
      <c r="I568" s="39">
        <f t="shared" si="17"/>
        <v>78.45259093292654</v>
      </c>
      <c r="J568" s="6">
        <f>SUM('[1]ведомствен.'!G1067)</f>
        <v>2097.7</v>
      </c>
      <c r="K568" s="6">
        <f>SUM('[1]ведомствен.'!H1067)</f>
        <v>1645.7</v>
      </c>
    </row>
    <row r="569" spans="1:9" ht="30" customHeight="1">
      <c r="A569" s="57" t="s">
        <v>1238</v>
      </c>
      <c r="B569" s="72"/>
      <c r="C569" s="53" t="s">
        <v>714</v>
      </c>
      <c r="D569" s="53" t="s">
        <v>678</v>
      </c>
      <c r="E569" s="53" t="s">
        <v>1239</v>
      </c>
      <c r="F569" s="42"/>
      <c r="G569" s="38">
        <f>SUM(G570+G571)</f>
        <v>370</v>
      </c>
      <c r="H569" s="38">
        <f>SUM(H570+H571)</f>
        <v>370</v>
      </c>
      <c r="I569" s="39">
        <f t="shared" si="17"/>
        <v>100</v>
      </c>
    </row>
    <row r="570" spans="1:11" ht="30" customHeight="1">
      <c r="A570" s="57" t="s">
        <v>782</v>
      </c>
      <c r="B570" s="72"/>
      <c r="C570" s="53" t="s">
        <v>714</v>
      </c>
      <c r="D570" s="53" t="s">
        <v>678</v>
      </c>
      <c r="E570" s="53" t="s">
        <v>1239</v>
      </c>
      <c r="F570" s="42" t="s">
        <v>783</v>
      </c>
      <c r="G570" s="38">
        <v>268</v>
      </c>
      <c r="H570" s="38">
        <v>268</v>
      </c>
      <c r="I570" s="39">
        <f t="shared" si="17"/>
        <v>100</v>
      </c>
      <c r="J570" s="6">
        <f>SUM('[1]ведомствен.'!G1069)</f>
        <v>268</v>
      </c>
      <c r="K570" s="6">
        <f>SUM('[1]ведомствен.'!H1069)</f>
        <v>268</v>
      </c>
    </row>
    <row r="571" spans="1:9" ht="42" customHeight="1">
      <c r="A571" s="57" t="s">
        <v>1240</v>
      </c>
      <c r="B571" s="72"/>
      <c r="C571" s="53" t="s">
        <v>714</v>
      </c>
      <c r="D571" s="53" t="s">
        <v>678</v>
      </c>
      <c r="E571" s="53" t="s">
        <v>1241</v>
      </c>
      <c r="F571" s="42"/>
      <c r="G571" s="38">
        <f>SUM(G572)</f>
        <v>102</v>
      </c>
      <c r="H571" s="38">
        <f>SUM(H572)</f>
        <v>102</v>
      </c>
      <c r="I571" s="39">
        <f t="shared" si="17"/>
        <v>100</v>
      </c>
    </row>
    <row r="572" spans="1:11" ht="21" customHeight="1">
      <c r="A572" s="57" t="s">
        <v>782</v>
      </c>
      <c r="B572" s="72"/>
      <c r="C572" s="53" t="s">
        <v>714</v>
      </c>
      <c r="D572" s="53" t="s">
        <v>678</v>
      </c>
      <c r="E572" s="53" t="s">
        <v>1241</v>
      </c>
      <c r="F572" s="42" t="s">
        <v>783</v>
      </c>
      <c r="G572" s="38">
        <v>102</v>
      </c>
      <c r="H572" s="38">
        <v>102</v>
      </c>
      <c r="I572" s="39">
        <f t="shared" si="17"/>
        <v>100</v>
      </c>
      <c r="J572" s="6">
        <f>SUM('[1]ведомствен.'!G1071)</f>
        <v>102</v>
      </c>
      <c r="K572" s="6">
        <f>SUM('[1]ведомствен.'!H1071)</f>
        <v>102</v>
      </c>
    </row>
    <row r="573" spans="1:9" ht="28.5" customHeight="1">
      <c r="A573" s="54" t="s">
        <v>1242</v>
      </c>
      <c r="B573" s="59"/>
      <c r="C573" s="48" t="s">
        <v>714</v>
      </c>
      <c r="D573" s="48" t="s">
        <v>751</v>
      </c>
      <c r="E573" s="48"/>
      <c r="F573" s="133"/>
      <c r="G573" s="38">
        <f>SUM(G577+G580)+G574</f>
        <v>11679.7</v>
      </c>
      <c r="H573" s="38">
        <f>SUM(H577+H580)+H574</f>
        <v>11422.9</v>
      </c>
      <c r="I573" s="39">
        <f t="shared" si="17"/>
        <v>97.80131338989871</v>
      </c>
    </row>
    <row r="574" spans="1:9" ht="20.25" customHeight="1">
      <c r="A574" s="34" t="s">
        <v>769</v>
      </c>
      <c r="B574" s="59"/>
      <c r="C574" s="53" t="s">
        <v>714</v>
      </c>
      <c r="D574" s="53" t="s">
        <v>751</v>
      </c>
      <c r="E574" s="53" t="s">
        <v>771</v>
      </c>
      <c r="F574" s="133"/>
      <c r="G574" s="38">
        <f>SUM(G575)</f>
        <v>900</v>
      </c>
      <c r="H574" s="38">
        <f>SUM(H575)</f>
        <v>900</v>
      </c>
      <c r="I574" s="39">
        <f t="shared" si="17"/>
        <v>100</v>
      </c>
    </row>
    <row r="575" spans="1:9" ht="18.75" customHeight="1">
      <c r="A575" s="34" t="s">
        <v>740</v>
      </c>
      <c r="B575" s="59"/>
      <c r="C575" s="53" t="s">
        <v>714</v>
      </c>
      <c r="D575" s="53" t="s">
        <v>751</v>
      </c>
      <c r="E575" s="53" t="s">
        <v>741</v>
      </c>
      <c r="F575" s="133"/>
      <c r="G575" s="38">
        <f>SUM(G576)</f>
        <v>900</v>
      </c>
      <c r="H575" s="38">
        <f>SUM(H576)</f>
        <v>900</v>
      </c>
      <c r="I575" s="39">
        <f t="shared" si="17"/>
        <v>100</v>
      </c>
    </row>
    <row r="576" spans="1:11" ht="45.75" customHeight="1">
      <c r="A576" s="34" t="s">
        <v>1243</v>
      </c>
      <c r="B576" s="59"/>
      <c r="C576" s="53" t="s">
        <v>714</v>
      </c>
      <c r="D576" s="53" t="s">
        <v>751</v>
      </c>
      <c r="E576" s="53" t="s">
        <v>741</v>
      </c>
      <c r="F576" s="133" t="s">
        <v>1244</v>
      </c>
      <c r="G576" s="38">
        <v>900</v>
      </c>
      <c r="H576" s="38">
        <v>900</v>
      </c>
      <c r="I576" s="39">
        <f t="shared" si="17"/>
        <v>100</v>
      </c>
      <c r="J576" s="6">
        <f>SUM('[1]ведомствен.'!G1075)</f>
        <v>900</v>
      </c>
      <c r="K576" s="6">
        <f>SUM('[1]ведомствен.'!H1075)</f>
        <v>900</v>
      </c>
    </row>
    <row r="577" spans="1:9" ht="62.25" customHeight="1">
      <c r="A577" s="54" t="s">
        <v>1194</v>
      </c>
      <c r="B577" s="128"/>
      <c r="C577" s="53" t="s">
        <v>714</v>
      </c>
      <c r="D577" s="53" t="s">
        <v>751</v>
      </c>
      <c r="E577" s="53" t="s">
        <v>1195</v>
      </c>
      <c r="F577" s="41"/>
      <c r="G577" s="38">
        <f>SUM(G578)</f>
        <v>5526.6</v>
      </c>
      <c r="H577" s="38">
        <f>SUM(H578)</f>
        <v>5294.8</v>
      </c>
      <c r="I577" s="39">
        <f t="shared" si="17"/>
        <v>95.80573951434879</v>
      </c>
    </row>
    <row r="578" spans="1:9" ht="22.5" customHeight="1">
      <c r="A578" s="40" t="s">
        <v>780</v>
      </c>
      <c r="B578" s="128"/>
      <c r="C578" s="53" t="s">
        <v>714</v>
      </c>
      <c r="D578" s="53" t="s">
        <v>751</v>
      </c>
      <c r="E578" s="53" t="s">
        <v>1196</v>
      </c>
      <c r="F578" s="41"/>
      <c r="G578" s="38">
        <f>SUM(G579)</f>
        <v>5526.6</v>
      </c>
      <c r="H578" s="38">
        <f>SUM(H579)</f>
        <v>5294.8</v>
      </c>
      <c r="I578" s="39">
        <f t="shared" si="17"/>
        <v>95.80573951434879</v>
      </c>
    </row>
    <row r="579" spans="1:11" ht="17.25" customHeight="1">
      <c r="A579" s="57" t="s">
        <v>782</v>
      </c>
      <c r="B579" s="72"/>
      <c r="C579" s="53" t="s">
        <v>714</v>
      </c>
      <c r="D579" s="53" t="s">
        <v>751</v>
      </c>
      <c r="E579" s="53" t="s">
        <v>1196</v>
      </c>
      <c r="F579" s="42" t="s">
        <v>783</v>
      </c>
      <c r="G579" s="38">
        <v>5526.6</v>
      </c>
      <c r="H579" s="38">
        <v>5294.8</v>
      </c>
      <c r="I579" s="39">
        <f t="shared" si="17"/>
        <v>95.80573951434879</v>
      </c>
      <c r="J579" s="6">
        <f>SUM('[1]ведомствен.'!G1078)+'[1]ведомствен.'!G568</f>
        <v>5526.599999999999</v>
      </c>
      <c r="K579" s="6">
        <f>SUM('[1]ведомствен.'!H1078)+'[1]ведомствен.'!H568</f>
        <v>5294.799999999999</v>
      </c>
    </row>
    <row r="580" spans="1:9" ht="15">
      <c r="A580" s="74" t="s">
        <v>742</v>
      </c>
      <c r="B580" s="59"/>
      <c r="C580" s="48" t="s">
        <v>714</v>
      </c>
      <c r="D580" s="48" t="s">
        <v>751</v>
      </c>
      <c r="E580" s="48" t="s">
        <v>743</v>
      </c>
      <c r="F580" s="133"/>
      <c r="G580" s="38">
        <f>SUM(G581+G584)</f>
        <v>5253.099999999999</v>
      </c>
      <c r="H580" s="38">
        <f>SUM(H581+H584)</f>
        <v>5228.099999999999</v>
      </c>
      <c r="I580" s="39">
        <f t="shared" si="17"/>
        <v>99.52409053701624</v>
      </c>
    </row>
    <row r="581" spans="1:9" ht="42.75" customHeight="1">
      <c r="A581" s="34" t="s">
        <v>1243</v>
      </c>
      <c r="B581" s="59"/>
      <c r="C581" s="48" t="s">
        <v>714</v>
      </c>
      <c r="D581" s="48" t="s">
        <v>751</v>
      </c>
      <c r="E581" s="48" t="s">
        <v>743</v>
      </c>
      <c r="F581" s="133" t="s">
        <v>1244</v>
      </c>
      <c r="G581" s="38">
        <f>SUM(G586:G587)</f>
        <v>4757.4</v>
      </c>
      <c r="H581" s="38">
        <f>SUM(H586:H587)</f>
        <v>4732.4</v>
      </c>
      <c r="I581" s="39">
        <f t="shared" si="17"/>
        <v>99.47450287972421</v>
      </c>
    </row>
    <row r="582" spans="1:9" ht="29.25" customHeight="1" hidden="1">
      <c r="A582" s="93" t="s">
        <v>1213</v>
      </c>
      <c r="B582" s="59"/>
      <c r="C582" s="48" t="s">
        <v>714</v>
      </c>
      <c r="D582" s="48" t="s">
        <v>751</v>
      </c>
      <c r="E582" s="48" t="s">
        <v>1214</v>
      </c>
      <c r="F582" s="133" t="s">
        <v>1244</v>
      </c>
      <c r="G582" s="38"/>
      <c r="H582" s="38"/>
      <c r="I582" s="39" t="e">
        <f t="shared" si="17"/>
        <v>#DIV/0!</v>
      </c>
    </row>
    <row r="583" spans="1:11" s="135" customFormat="1" ht="28.5" customHeight="1" hidden="1">
      <c r="A583" s="46" t="s">
        <v>1245</v>
      </c>
      <c r="B583" s="59"/>
      <c r="C583" s="48" t="s">
        <v>714</v>
      </c>
      <c r="D583" s="48" t="s">
        <v>751</v>
      </c>
      <c r="E583" s="48" t="s">
        <v>1246</v>
      </c>
      <c r="F583" s="133" t="s">
        <v>1244</v>
      </c>
      <c r="G583" s="71"/>
      <c r="H583" s="71"/>
      <c r="I583" s="39" t="e">
        <f t="shared" si="17"/>
        <v>#DIV/0!</v>
      </c>
      <c r="J583" s="134"/>
      <c r="K583" s="134"/>
    </row>
    <row r="584" spans="1:11" ht="45.75" customHeight="1">
      <c r="A584" s="46" t="s">
        <v>901</v>
      </c>
      <c r="B584" s="59"/>
      <c r="C584" s="48" t="s">
        <v>714</v>
      </c>
      <c r="D584" s="48" t="s">
        <v>751</v>
      </c>
      <c r="E584" s="48" t="s">
        <v>902</v>
      </c>
      <c r="F584" s="133"/>
      <c r="G584" s="71">
        <f>SUM(G585)</f>
        <v>495.7</v>
      </c>
      <c r="H584" s="71">
        <f>SUM(H585)</f>
        <v>495.7</v>
      </c>
      <c r="I584" s="39"/>
      <c r="J584"/>
      <c r="K584"/>
    </row>
    <row r="585" spans="1:11" ht="24.75" customHeight="1">
      <c r="A585" s="34" t="s">
        <v>903</v>
      </c>
      <c r="B585" s="59"/>
      <c r="C585" s="48" t="s">
        <v>714</v>
      </c>
      <c r="D585" s="48" t="s">
        <v>751</v>
      </c>
      <c r="E585" s="48" t="s">
        <v>902</v>
      </c>
      <c r="F585" s="133" t="s">
        <v>904</v>
      </c>
      <c r="G585" s="71">
        <v>495.7</v>
      </c>
      <c r="H585" s="71">
        <v>495.7</v>
      </c>
      <c r="I585" s="39"/>
      <c r="J585">
        <f>SUM('[1]ведомствен.'!G366)</f>
        <v>495.7</v>
      </c>
      <c r="K585">
        <f>SUM('[1]ведомствен.'!H366)</f>
        <v>495.7</v>
      </c>
    </row>
    <row r="586" spans="1:11" s="135" customFormat="1" ht="32.25" customHeight="1">
      <c r="A586" s="46" t="s">
        <v>1247</v>
      </c>
      <c r="B586" s="59"/>
      <c r="C586" s="48" t="s">
        <v>714</v>
      </c>
      <c r="D586" s="48" t="s">
        <v>751</v>
      </c>
      <c r="E586" s="48" t="s">
        <v>1248</v>
      </c>
      <c r="F586" s="133" t="s">
        <v>1244</v>
      </c>
      <c r="G586" s="71">
        <v>800.4</v>
      </c>
      <c r="H586" s="71">
        <v>800.4</v>
      </c>
      <c r="I586" s="39">
        <f t="shared" si="17"/>
        <v>100</v>
      </c>
      <c r="J586" s="6">
        <f>SUM('[1]ведомствен.'!G1084)</f>
        <v>800.4</v>
      </c>
      <c r="K586" s="6">
        <f>SUM('[1]ведомствен.'!H1084)</f>
        <v>800.4</v>
      </c>
    </row>
    <row r="587" spans="1:11" s="135" customFormat="1" ht="36" customHeight="1">
      <c r="A587" s="46" t="s">
        <v>1249</v>
      </c>
      <c r="B587" s="59"/>
      <c r="C587" s="48" t="s">
        <v>714</v>
      </c>
      <c r="D587" s="48" t="s">
        <v>751</v>
      </c>
      <c r="E587" s="48" t="s">
        <v>1250</v>
      </c>
      <c r="F587" s="133" t="s">
        <v>1244</v>
      </c>
      <c r="G587" s="71">
        <v>3957</v>
      </c>
      <c r="H587" s="71">
        <v>3932</v>
      </c>
      <c r="I587" s="39">
        <f t="shared" si="17"/>
        <v>99.36820823856458</v>
      </c>
      <c r="J587" s="6">
        <f>SUM('[1]ведомствен.'!G1085)</f>
        <v>3957</v>
      </c>
      <c r="K587" s="6">
        <f>SUM('[1]ведомствен.'!H1085)</f>
        <v>3932</v>
      </c>
    </row>
    <row r="588" spans="1:9" ht="15.75" customHeight="1" hidden="1">
      <c r="A588" s="34" t="s">
        <v>700</v>
      </c>
      <c r="B588" s="128"/>
      <c r="C588" s="53" t="s">
        <v>701</v>
      </c>
      <c r="D588" s="53"/>
      <c r="E588" s="53"/>
      <c r="F588" s="41"/>
      <c r="G588" s="38">
        <f>SUM(G589)+G592</f>
        <v>0</v>
      </c>
      <c r="H588" s="38">
        <f>SUM(H589)+H592</f>
        <v>0</v>
      </c>
      <c r="I588" s="39" t="e">
        <f t="shared" si="17"/>
        <v>#DIV/0!</v>
      </c>
    </row>
    <row r="589" spans="1:9" ht="15.75" customHeight="1" hidden="1">
      <c r="A589" s="40" t="s">
        <v>702</v>
      </c>
      <c r="B589" s="43"/>
      <c r="C589" s="36" t="s">
        <v>701</v>
      </c>
      <c r="D589" s="36" t="s">
        <v>701</v>
      </c>
      <c r="E589" s="36"/>
      <c r="F589" s="37"/>
      <c r="G589" s="38">
        <f>SUM(G590)</f>
        <v>0</v>
      </c>
      <c r="H589" s="38">
        <f>SUM(H590)</f>
        <v>0</v>
      </c>
      <c r="I589" s="39" t="e">
        <f t="shared" si="17"/>
        <v>#DIV/0!</v>
      </c>
    </row>
    <row r="590" spans="1:9" ht="27.75" customHeight="1" hidden="1">
      <c r="A590" s="40" t="s">
        <v>703</v>
      </c>
      <c r="B590" s="43"/>
      <c r="C590" s="36" t="s">
        <v>701</v>
      </c>
      <c r="D590" s="36" t="s">
        <v>701</v>
      </c>
      <c r="E590" s="36" t="s">
        <v>704</v>
      </c>
      <c r="F590" s="37"/>
      <c r="G590" s="38">
        <f>SUM(G591)</f>
        <v>0</v>
      </c>
      <c r="H590" s="38">
        <f>SUM(H591)</f>
        <v>0</v>
      </c>
      <c r="I590" s="39" t="e">
        <f t="shared" si="17"/>
        <v>#DIV/0!</v>
      </c>
    </row>
    <row r="591" spans="1:9" ht="13.5" customHeight="1" hidden="1">
      <c r="A591" s="40" t="s">
        <v>705</v>
      </c>
      <c r="B591" s="43"/>
      <c r="C591" s="36" t="s">
        <v>701</v>
      </c>
      <c r="D591" s="36" t="s">
        <v>701</v>
      </c>
      <c r="E591" s="36" t="s">
        <v>704</v>
      </c>
      <c r="F591" s="37" t="s">
        <v>706</v>
      </c>
      <c r="G591" s="38"/>
      <c r="H591" s="38"/>
      <c r="I591" s="39" t="e">
        <f aca="true" t="shared" si="18" ref="I591:I654">SUM(H591/G591*100)</f>
        <v>#DIV/0!</v>
      </c>
    </row>
    <row r="592" spans="1:9" ht="13.5" customHeight="1" hidden="1">
      <c r="A592" s="74" t="s">
        <v>1188</v>
      </c>
      <c r="B592" s="43"/>
      <c r="C592" s="36" t="s">
        <v>701</v>
      </c>
      <c r="D592" s="36" t="s">
        <v>887</v>
      </c>
      <c r="E592" s="36"/>
      <c r="F592" s="37"/>
      <c r="G592" s="38">
        <f>SUM(G593)</f>
        <v>0</v>
      </c>
      <c r="H592" s="38">
        <f>SUM(H593)</f>
        <v>0</v>
      </c>
      <c r="I592" s="39" t="e">
        <f t="shared" si="18"/>
        <v>#DIV/0!</v>
      </c>
    </row>
    <row r="593" spans="1:9" ht="13.5" customHeight="1" hidden="1">
      <c r="A593" s="74" t="s">
        <v>742</v>
      </c>
      <c r="B593" s="43"/>
      <c r="C593" s="36" t="s">
        <v>701</v>
      </c>
      <c r="D593" s="36" t="s">
        <v>887</v>
      </c>
      <c r="E593" s="36" t="s">
        <v>743</v>
      </c>
      <c r="F593" s="37"/>
      <c r="G593" s="38">
        <f>SUM(G594)</f>
        <v>0</v>
      </c>
      <c r="H593" s="38">
        <f>SUM(H594)</f>
        <v>0</v>
      </c>
      <c r="I593" s="39" t="e">
        <f t="shared" si="18"/>
        <v>#DIV/0!</v>
      </c>
    </row>
    <row r="594" spans="1:9" ht="13.5" customHeight="1" hidden="1">
      <c r="A594" s="40" t="s">
        <v>1251</v>
      </c>
      <c r="B594" s="43"/>
      <c r="C594" s="36" t="s">
        <v>701</v>
      </c>
      <c r="D594" s="36" t="s">
        <v>887</v>
      </c>
      <c r="E594" s="36" t="s">
        <v>743</v>
      </c>
      <c r="F594" s="37" t="s">
        <v>1252</v>
      </c>
      <c r="G594" s="38"/>
      <c r="H594" s="38"/>
      <c r="I594" s="39" t="e">
        <f t="shared" si="18"/>
        <v>#DIV/0!</v>
      </c>
    </row>
    <row r="595" spans="1:11" s="33" customFormat="1" ht="15.75">
      <c r="A595" s="58" t="s">
        <v>1253</v>
      </c>
      <c r="B595" s="59"/>
      <c r="C595" s="60" t="s">
        <v>887</v>
      </c>
      <c r="D595" s="60"/>
      <c r="E595" s="60"/>
      <c r="F595" s="61"/>
      <c r="G595" s="62">
        <f>SUM(G596+G610+G629+G634+G644+G653)</f>
        <v>220314.90000000002</v>
      </c>
      <c r="H595" s="62">
        <f>SUM(H596+H610+H629+H634+H644+H653)</f>
        <v>217869.5</v>
      </c>
      <c r="I595" s="63">
        <f t="shared" si="18"/>
        <v>98.89004329711697</v>
      </c>
      <c r="J595" s="32"/>
      <c r="K595" s="32"/>
    </row>
    <row r="596" spans="1:9" ht="16.5" customHeight="1">
      <c r="A596" s="34" t="s">
        <v>1254</v>
      </c>
      <c r="B596" s="35"/>
      <c r="C596" s="53" t="s">
        <v>887</v>
      </c>
      <c r="D596" s="53" t="s">
        <v>678</v>
      </c>
      <c r="E596" s="53"/>
      <c r="F596" s="41"/>
      <c r="G596" s="38">
        <f>SUM(G601+G603)</f>
        <v>75126</v>
      </c>
      <c r="H596" s="38">
        <f>SUM(H601+H603)</f>
        <v>74051.3</v>
      </c>
      <c r="I596" s="39">
        <f t="shared" si="18"/>
        <v>98.56946995713868</v>
      </c>
    </row>
    <row r="597" spans="1:9" ht="19.5" customHeight="1" hidden="1">
      <c r="A597" s="84" t="s">
        <v>1255</v>
      </c>
      <c r="B597" s="35"/>
      <c r="C597" s="53" t="s">
        <v>887</v>
      </c>
      <c r="D597" s="53" t="s">
        <v>678</v>
      </c>
      <c r="E597" s="53" t="s">
        <v>1256</v>
      </c>
      <c r="F597" s="41"/>
      <c r="G597" s="38">
        <f>SUM(G598)</f>
        <v>0</v>
      </c>
      <c r="H597" s="38">
        <f>SUM(H598)</f>
        <v>0</v>
      </c>
      <c r="I597" s="39" t="e">
        <f t="shared" si="18"/>
        <v>#DIV/0!</v>
      </c>
    </row>
    <row r="598" spans="1:9" ht="18.75" customHeight="1" hidden="1">
      <c r="A598" s="40" t="s">
        <v>780</v>
      </c>
      <c r="B598" s="35"/>
      <c r="C598" s="53" t="s">
        <v>887</v>
      </c>
      <c r="D598" s="53" t="s">
        <v>678</v>
      </c>
      <c r="E598" s="53" t="s">
        <v>1257</v>
      </c>
      <c r="F598" s="41"/>
      <c r="G598" s="38">
        <f>SUM(G599)</f>
        <v>0</v>
      </c>
      <c r="H598" s="38">
        <f>SUM(H599)</f>
        <v>0</v>
      </c>
      <c r="I598" s="39" t="e">
        <f t="shared" si="18"/>
        <v>#DIV/0!</v>
      </c>
    </row>
    <row r="599" spans="1:9" ht="17.25" customHeight="1" hidden="1">
      <c r="A599" s="57" t="s">
        <v>782</v>
      </c>
      <c r="B599" s="35"/>
      <c r="C599" s="53" t="s">
        <v>887</v>
      </c>
      <c r="D599" s="53" t="s">
        <v>678</v>
      </c>
      <c r="E599" s="53" t="s">
        <v>1257</v>
      </c>
      <c r="F599" s="41" t="s">
        <v>783</v>
      </c>
      <c r="G599" s="38"/>
      <c r="H599" s="38"/>
      <c r="I599" s="39" t="e">
        <f t="shared" si="18"/>
        <v>#DIV/0!</v>
      </c>
    </row>
    <row r="600" spans="1:9" ht="17.25" customHeight="1">
      <c r="A600" s="34" t="s">
        <v>769</v>
      </c>
      <c r="B600" s="35"/>
      <c r="C600" s="53" t="s">
        <v>887</v>
      </c>
      <c r="D600" s="53" t="s">
        <v>678</v>
      </c>
      <c r="E600" s="36" t="s">
        <v>771</v>
      </c>
      <c r="F600" s="37"/>
      <c r="G600" s="38">
        <f>SUM(G601)</f>
        <v>147.2</v>
      </c>
      <c r="H600" s="38">
        <f>SUM(H601)</f>
        <v>146.8</v>
      </c>
      <c r="I600" s="39">
        <f t="shared" si="18"/>
        <v>99.72826086956523</v>
      </c>
    </row>
    <row r="601" spans="1:9" ht="15.75" customHeight="1">
      <c r="A601" s="34" t="s">
        <v>740</v>
      </c>
      <c r="B601" s="35"/>
      <c r="C601" s="53" t="s">
        <v>887</v>
      </c>
      <c r="D601" s="53" t="s">
        <v>678</v>
      </c>
      <c r="E601" s="36" t="s">
        <v>741</v>
      </c>
      <c r="F601" s="37"/>
      <c r="G601" s="38">
        <f>SUM(G602)</f>
        <v>147.2</v>
      </c>
      <c r="H601" s="38">
        <f>SUM(H602)</f>
        <v>146.8</v>
      </c>
      <c r="I601" s="39">
        <f t="shared" si="18"/>
        <v>99.72826086956523</v>
      </c>
    </row>
    <row r="602" spans="1:11" ht="17.25" customHeight="1">
      <c r="A602" s="57" t="s">
        <v>782</v>
      </c>
      <c r="B602" s="52"/>
      <c r="C602" s="53" t="s">
        <v>887</v>
      </c>
      <c r="D602" s="53" t="s">
        <v>678</v>
      </c>
      <c r="E602" s="36" t="s">
        <v>741</v>
      </c>
      <c r="F602" s="41" t="s">
        <v>783</v>
      </c>
      <c r="G602" s="38">
        <v>147.2</v>
      </c>
      <c r="H602" s="38">
        <v>146.8</v>
      </c>
      <c r="I602" s="39">
        <f t="shared" si="18"/>
        <v>99.72826086956523</v>
      </c>
      <c r="J602" s="6">
        <f>SUM('[1]ведомствен.'!G1099)</f>
        <v>147.2</v>
      </c>
      <c r="K602" s="6">
        <f>SUM('[1]ведомствен.'!H1099)</f>
        <v>146.8</v>
      </c>
    </row>
    <row r="603" spans="1:9" ht="15">
      <c r="A603" s="34" t="s">
        <v>1258</v>
      </c>
      <c r="B603" s="35"/>
      <c r="C603" s="53" t="s">
        <v>887</v>
      </c>
      <c r="D603" s="53" t="s">
        <v>678</v>
      </c>
      <c r="E603" s="53" t="s">
        <v>1259</v>
      </c>
      <c r="F603" s="41"/>
      <c r="G603" s="38">
        <f>SUM(G604)</f>
        <v>74978.8</v>
      </c>
      <c r="H603" s="38">
        <f>SUM(H604)</f>
        <v>73904.5</v>
      </c>
      <c r="I603" s="39">
        <f t="shared" si="18"/>
        <v>98.5671949937849</v>
      </c>
    </row>
    <row r="604" spans="1:9" ht="18" customHeight="1">
      <c r="A604" s="40" t="s">
        <v>780</v>
      </c>
      <c r="B604" s="35"/>
      <c r="C604" s="53" t="s">
        <v>887</v>
      </c>
      <c r="D604" s="53" t="s">
        <v>678</v>
      </c>
      <c r="E604" s="53" t="s">
        <v>1260</v>
      </c>
      <c r="F604" s="41"/>
      <c r="G604" s="38">
        <f>SUM(G605:G608)</f>
        <v>74978.8</v>
      </c>
      <c r="H604" s="38">
        <f>SUM(H605:H608)</f>
        <v>73904.5</v>
      </c>
      <c r="I604" s="39">
        <f t="shared" si="18"/>
        <v>98.5671949937849</v>
      </c>
    </row>
    <row r="605" spans="1:11" ht="15.75" customHeight="1">
      <c r="A605" s="57" t="s">
        <v>782</v>
      </c>
      <c r="B605" s="35"/>
      <c r="C605" s="53" t="s">
        <v>1261</v>
      </c>
      <c r="D605" s="53" t="s">
        <v>678</v>
      </c>
      <c r="E605" s="53" t="s">
        <v>1260</v>
      </c>
      <c r="F605" s="41" t="s">
        <v>783</v>
      </c>
      <c r="G605" s="38">
        <v>74978.8</v>
      </c>
      <c r="H605" s="38">
        <v>73904.5</v>
      </c>
      <c r="I605" s="39">
        <f t="shared" si="18"/>
        <v>98.5671949937849</v>
      </c>
      <c r="J605" s="6">
        <f>SUM('[1]ведомствен.'!G1102+'[1]ведомствен.'!G373)+'[1]ведомствен.'!G576</f>
        <v>74978.80000000002</v>
      </c>
      <c r="K605" s="6">
        <f>SUM('[1]ведомствен.'!H1102+'[1]ведомствен.'!H373)+'[1]ведомствен.'!H576</f>
        <v>73904.49999999999</v>
      </c>
    </row>
    <row r="606" spans="1:9" ht="42" customHeight="1" hidden="1">
      <c r="A606" s="57" t="s">
        <v>1262</v>
      </c>
      <c r="B606" s="35"/>
      <c r="C606" s="53" t="s">
        <v>1261</v>
      </c>
      <c r="D606" s="53" t="s">
        <v>678</v>
      </c>
      <c r="E606" s="53" t="s">
        <v>1260</v>
      </c>
      <c r="F606" s="41" t="s">
        <v>1263</v>
      </c>
      <c r="G606" s="38"/>
      <c r="H606" s="38"/>
      <c r="I606" s="39" t="e">
        <f t="shared" si="18"/>
        <v>#DIV/0!</v>
      </c>
    </row>
    <row r="607" spans="1:9" ht="48" customHeight="1" hidden="1">
      <c r="A607" s="57" t="s">
        <v>1107</v>
      </c>
      <c r="B607" s="35"/>
      <c r="C607" s="53" t="s">
        <v>1261</v>
      </c>
      <c r="D607" s="53" t="s">
        <v>678</v>
      </c>
      <c r="E607" s="53" t="s">
        <v>1260</v>
      </c>
      <c r="F607" s="41" t="s">
        <v>1108</v>
      </c>
      <c r="G607" s="38"/>
      <c r="H607" s="38"/>
      <c r="I607" s="39" t="e">
        <f t="shared" si="18"/>
        <v>#DIV/0!</v>
      </c>
    </row>
    <row r="608" spans="1:9" ht="57.75" customHeight="1" hidden="1">
      <c r="A608" s="40" t="s">
        <v>1114</v>
      </c>
      <c r="B608" s="35"/>
      <c r="C608" s="53" t="s">
        <v>1261</v>
      </c>
      <c r="D608" s="53" t="s">
        <v>678</v>
      </c>
      <c r="E608" s="53" t="s">
        <v>1264</v>
      </c>
      <c r="F608" s="41"/>
      <c r="G608" s="38">
        <f>SUM(G609)</f>
        <v>0</v>
      </c>
      <c r="H608" s="38">
        <f>SUM(H609)</f>
        <v>0</v>
      </c>
      <c r="I608" s="39" t="e">
        <f t="shared" si="18"/>
        <v>#DIV/0!</v>
      </c>
    </row>
    <row r="609" spans="1:9" ht="14.25" customHeight="1" hidden="1">
      <c r="A609" s="57" t="s">
        <v>782</v>
      </c>
      <c r="B609" s="35"/>
      <c r="C609" s="53" t="s">
        <v>1261</v>
      </c>
      <c r="D609" s="53" t="s">
        <v>678</v>
      </c>
      <c r="E609" s="53" t="s">
        <v>1264</v>
      </c>
      <c r="F609" s="41" t="s">
        <v>783</v>
      </c>
      <c r="G609" s="38"/>
      <c r="H609" s="38"/>
      <c r="I609" s="39" t="e">
        <f t="shared" si="18"/>
        <v>#DIV/0!</v>
      </c>
    </row>
    <row r="610" spans="1:9" ht="18.75" customHeight="1">
      <c r="A610" s="34" t="s">
        <v>1265</v>
      </c>
      <c r="B610" s="35"/>
      <c r="C610" s="53" t="s">
        <v>887</v>
      </c>
      <c r="D610" s="53" t="s">
        <v>680</v>
      </c>
      <c r="E610" s="53"/>
      <c r="F610" s="41"/>
      <c r="G610" s="38">
        <f>SUM(G611+G618+G622+G626)</f>
        <v>52261.6</v>
      </c>
      <c r="H610" s="38">
        <f>SUM(H611+H618+H622+H626)</f>
        <v>51486.6</v>
      </c>
      <c r="I610" s="39">
        <f t="shared" si="18"/>
        <v>98.51707563488297</v>
      </c>
    </row>
    <row r="611" spans="1:9" ht="18.75" customHeight="1">
      <c r="A611" s="34" t="s">
        <v>1258</v>
      </c>
      <c r="B611" s="35"/>
      <c r="C611" s="53" t="s">
        <v>887</v>
      </c>
      <c r="D611" s="53" t="s">
        <v>680</v>
      </c>
      <c r="E611" s="53" t="s">
        <v>1259</v>
      </c>
      <c r="F611" s="41"/>
      <c r="G611" s="38">
        <f>SUM(G612)</f>
        <v>37781</v>
      </c>
      <c r="H611" s="38">
        <f>SUM(H612)</f>
        <v>37128.8</v>
      </c>
      <c r="I611" s="39">
        <f t="shared" si="18"/>
        <v>98.27373547550357</v>
      </c>
    </row>
    <row r="612" spans="1:9" ht="21" customHeight="1">
      <c r="A612" s="40" t="s">
        <v>780</v>
      </c>
      <c r="B612" s="35"/>
      <c r="C612" s="53" t="s">
        <v>887</v>
      </c>
      <c r="D612" s="53" t="s">
        <v>680</v>
      </c>
      <c r="E612" s="53" t="s">
        <v>1260</v>
      </c>
      <c r="F612" s="41"/>
      <c r="G612" s="38">
        <f>SUM(G613:G616)</f>
        <v>37781</v>
      </c>
      <c r="H612" s="38">
        <f>SUM(H613:H616)</f>
        <v>37128.8</v>
      </c>
      <c r="I612" s="39">
        <f t="shared" si="18"/>
        <v>98.27373547550357</v>
      </c>
    </row>
    <row r="613" spans="1:11" ht="16.5" customHeight="1">
      <c r="A613" s="57" t="s">
        <v>782</v>
      </c>
      <c r="B613" s="35"/>
      <c r="C613" s="53" t="s">
        <v>887</v>
      </c>
      <c r="D613" s="53" t="s">
        <v>680</v>
      </c>
      <c r="E613" s="53" t="s">
        <v>1260</v>
      </c>
      <c r="F613" s="41" t="s">
        <v>783</v>
      </c>
      <c r="G613" s="38">
        <v>37781</v>
      </c>
      <c r="H613" s="38">
        <v>37128.8</v>
      </c>
      <c r="I613" s="39">
        <f t="shared" si="18"/>
        <v>98.27373547550357</v>
      </c>
      <c r="J613" s="6">
        <f>SUM('[1]ведомствен.'!G377+'[1]ведомствен.'!G1110)+'[1]ведомствен.'!G584</f>
        <v>37781</v>
      </c>
      <c r="K613" s="6">
        <f>SUM('[1]ведомствен.'!H377+'[1]ведомствен.'!H1110)+'[1]ведомствен.'!H584</f>
        <v>37128.8</v>
      </c>
    </row>
    <row r="614" spans="1:9" ht="45.75" customHeight="1" hidden="1">
      <c r="A614" s="57" t="s">
        <v>1262</v>
      </c>
      <c r="B614" s="35"/>
      <c r="C614" s="53" t="s">
        <v>887</v>
      </c>
      <c r="D614" s="53" t="s">
        <v>680</v>
      </c>
      <c r="E614" s="53" t="s">
        <v>1260</v>
      </c>
      <c r="F614" s="41" t="s">
        <v>1263</v>
      </c>
      <c r="G614" s="38"/>
      <c r="H614" s="38"/>
      <c r="I614" s="39" t="e">
        <f t="shared" si="18"/>
        <v>#DIV/0!</v>
      </c>
    </row>
    <row r="615" spans="1:9" ht="41.25" customHeight="1" hidden="1">
      <c r="A615" s="57" t="s">
        <v>1107</v>
      </c>
      <c r="B615" s="35"/>
      <c r="C615" s="53" t="s">
        <v>887</v>
      </c>
      <c r="D615" s="53" t="s">
        <v>680</v>
      </c>
      <c r="E615" s="53" t="s">
        <v>1260</v>
      </c>
      <c r="F615" s="41" t="s">
        <v>1108</v>
      </c>
      <c r="G615" s="38"/>
      <c r="H615" s="38"/>
      <c r="I615" s="39" t="e">
        <f t="shared" si="18"/>
        <v>#DIV/0!</v>
      </c>
    </row>
    <row r="616" spans="1:9" ht="57" customHeight="1" hidden="1">
      <c r="A616" s="40" t="s">
        <v>1114</v>
      </c>
      <c r="B616" s="35"/>
      <c r="C616" s="53" t="s">
        <v>887</v>
      </c>
      <c r="D616" s="53" t="s">
        <v>680</v>
      </c>
      <c r="E616" s="53" t="s">
        <v>1264</v>
      </c>
      <c r="F616" s="41"/>
      <c r="G616" s="38">
        <f>SUM(G617)</f>
        <v>0</v>
      </c>
      <c r="H616" s="38">
        <f>SUM(H617)</f>
        <v>0</v>
      </c>
      <c r="I616" s="39" t="e">
        <f t="shared" si="18"/>
        <v>#DIV/0!</v>
      </c>
    </row>
    <row r="617" spans="1:9" ht="17.25" customHeight="1" hidden="1">
      <c r="A617" s="57" t="s">
        <v>782</v>
      </c>
      <c r="B617" s="35"/>
      <c r="C617" s="53" t="s">
        <v>887</v>
      </c>
      <c r="D617" s="53" t="s">
        <v>680</v>
      </c>
      <c r="E617" s="53" t="s">
        <v>1264</v>
      </c>
      <c r="F617" s="41" t="s">
        <v>783</v>
      </c>
      <c r="G617" s="38"/>
      <c r="H617" s="38"/>
      <c r="I617" s="39" t="e">
        <f t="shared" si="18"/>
        <v>#DIV/0!</v>
      </c>
    </row>
    <row r="618" spans="1:9" ht="15.75" customHeight="1">
      <c r="A618" s="34" t="s">
        <v>1266</v>
      </c>
      <c r="B618" s="35"/>
      <c r="C618" s="53" t="s">
        <v>887</v>
      </c>
      <c r="D618" s="53" t="s">
        <v>680</v>
      </c>
      <c r="E618" s="53" t="s">
        <v>1267</v>
      </c>
      <c r="F618" s="41"/>
      <c r="G618" s="38">
        <f>SUM(G619)</f>
        <v>11275.5</v>
      </c>
      <c r="H618" s="38">
        <f>SUM(H619)</f>
        <v>11213.9</v>
      </c>
      <c r="I618" s="39">
        <f t="shared" si="18"/>
        <v>99.45368276351381</v>
      </c>
    </row>
    <row r="619" spans="1:9" ht="14.25" customHeight="1">
      <c r="A619" s="40" t="s">
        <v>780</v>
      </c>
      <c r="B619" s="35"/>
      <c r="C619" s="53" t="s">
        <v>887</v>
      </c>
      <c r="D619" s="53" t="s">
        <v>680</v>
      </c>
      <c r="E619" s="53" t="s">
        <v>1268</v>
      </c>
      <c r="F619" s="41"/>
      <c r="G619" s="38">
        <f>SUM(G620:G621)</f>
        <v>11275.5</v>
      </c>
      <c r="H619" s="38">
        <f>SUM(H620:H621)</f>
        <v>11213.9</v>
      </c>
      <c r="I619" s="39">
        <f t="shared" si="18"/>
        <v>99.45368276351381</v>
      </c>
    </row>
    <row r="620" spans="1:11" ht="13.5" customHeight="1">
      <c r="A620" s="57" t="s">
        <v>782</v>
      </c>
      <c r="B620" s="35"/>
      <c r="C620" s="53" t="s">
        <v>887</v>
      </c>
      <c r="D620" s="53" t="s">
        <v>680</v>
      </c>
      <c r="E620" s="53" t="s">
        <v>1268</v>
      </c>
      <c r="F620" s="41" t="s">
        <v>783</v>
      </c>
      <c r="G620" s="38">
        <v>11275.5</v>
      </c>
      <c r="H620" s="38">
        <v>11213.9</v>
      </c>
      <c r="I620" s="39">
        <f t="shared" si="18"/>
        <v>99.45368276351381</v>
      </c>
      <c r="J620" s="6">
        <f>SUM('[1]ведомствен.'!G1117)+'[1]ведомствен.'!G591</f>
        <v>11275.5</v>
      </c>
      <c r="K620" s="6">
        <f>SUM('[1]ведомствен.'!H1117)+'[1]ведомствен.'!H591</f>
        <v>11213.9</v>
      </c>
    </row>
    <row r="621" spans="1:9" ht="56.25" customHeight="1" hidden="1">
      <c r="A621" s="40" t="s">
        <v>1114</v>
      </c>
      <c r="B621" s="35"/>
      <c r="C621" s="53" t="s">
        <v>887</v>
      </c>
      <c r="D621" s="53" t="s">
        <v>680</v>
      </c>
      <c r="E621" s="53" t="s">
        <v>1268</v>
      </c>
      <c r="F621" s="41" t="s">
        <v>1269</v>
      </c>
      <c r="G621" s="38"/>
      <c r="H621" s="38"/>
      <c r="I621" s="39" t="e">
        <f t="shared" si="18"/>
        <v>#DIV/0!</v>
      </c>
    </row>
    <row r="622" spans="1:9" ht="14.25" customHeight="1">
      <c r="A622" s="34" t="s">
        <v>1270</v>
      </c>
      <c r="B622" s="35"/>
      <c r="C622" s="53" t="s">
        <v>887</v>
      </c>
      <c r="D622" s="53" t="s">
        <v>680</v>
      </c>
      <c r="E622" s="53" t="s">
        <v>1271</v>
      </c>
      <c r="F622" s="41"/>
      <c r="G622" s="38">
        <f>SUM(G623)</f>
        <v>2673.9</v>
      </c>
      <c r="H622" s="38">
        <f>SUM(H623)</f>
        <v>2666.7</v>
      </c>
      <c r="I622" s="39">
        <f t="shared" si="18"/>
        <v>99.7307303938068</v>
      </c>
    </row>
    <row r="623" spans="1:9" ht="14.25" customHeight="1">
      <c r="A623" s="40" t="s">
        <v>780</v>
      </c>
      <c r="B623" s="35"/>
      <c r="C623" s="53" t="s">
        <v>887</v>
      </c>
      <c r="D623" s="53" t="s">
        <v>680</v>
      </c>
      <c r="E623" s="53" t="s">
        <v>1272</v>
      </c>
      <c r="F623" s="41"/>
      <c r="G623" s="38">
        <f>SUM(G624:G625)</f>
        <v>2673.9</v>
      </c>
      <c r="H623" s="38">
        <f>SUM(H624:H625)</f>
        <v>2666.7</v>
      </c>
      <c r="I623" s="39">
        <f t="shared" si="18"/>
        <v>99.7307303938068</v>
      </c>
    </row>
    <row r="624" spans="1:11" ht="13.5" customHeight="1">
      <c r="A624" s="57" t="s">
        <v>782</v>
      </c>
      <c r="B624" s="35"/>
      <c r="C624" s="53" t="s">
        <v>887</v>
      </c>
      <c r="D624" s="53" t="s">
        <v>680</v>
      </c>
      <c r="E624" s="53" t="s">
        <v>1272</v>
      </c>
      <c r="F624" s="41" t="s">
        <v>783</v>
      </c>
      <c r="G624" s="38">
        <v>2673.9</v>
      </c>
      <c r="H624" s="38">
        <v>2666.7</v>
      </c>
      <c r="I624" s="39">
        <f t="shared" si="18"/>
        <v>99.7307303938068</v>
      </c>
      <c r="J624" s="6">
        <f>SUM('[1]ведомствен.'!G1121)+'[1]ведомствен.'!G595</f>
        <v>2673.9</v>
      </c>
      <c r="K624" s="6">
        <f>SUM('[1]ведомствен.'!H1121)+'[1]ведомствен.'!H595</f>
        <v>2666.7000000000003</v>
      </c>
    </row>
    <row r="625" spans="1:9" ht="55.5" customHeight="1" hidden="1">
      <c r="A625" s="40" t="s">
        <v>1114</v>
      </c>
      <c r="B625" s="35"/>
      <c r="C625" s="53" t="s">
        <v>887</v>
      </c>
      <c r="D625" s="53" t="s">
        <v>680</v>
      </c>
      <c r="E625" s="53" t="s">
        <v>1272</v>
      </c>
      <c r="F625" s="41" t="s">
        <v>1269</v>
      </c>
      <c r="G625" s="38"/>
      <c r="H625" s="38"/>
      <c r="I625" s="39" t="e">
        <f t="shared" si="18"/>
        <v>#DIV/0!</v>
      </c>
    </row>
    <row r="626" spans="1:9" ht="14.25" customHeight="1">
      <c r="A626" s="93" t="s">
        <v>1080</v>
      </c>
      <c r="B626" s="35"/>
      <c r="C626" s="53" t="s">
        <v>887</v>
      </c>
      <c r="D626" s="53" t="s">
        <v>680</v>
      </c>
      <c r="E626" s="53" t="s">
        <v>1081</v>
      </c>
      <c r="F626" s="41"/>
      <c r="G626" s="38">
        <f>SUM(G627)</f>
        <v>531.2</v>
      </c>
      <c r="H626" s="38">
        <f>SUM(H627)</f>
        <v>477.2</v>
      </c>
      <c r="I626" s="39">
        <f t="shared" si="18"/>
        <v>89.83433734939759</v>
      </c>
    </row>
    <row r="627" spans="1:9" ht="42" customHeight="1">
      <c r="A627" s="54" t="s">
        <v>1273</v>
      </c>
      <c r="B627" s="35"/>
      <c r="C627" s="53" t="s">
        <v>887</v>
      </c>
      <c r="D627" s="53" t="s">
        <v>680</v>
      </c>
      <c r="E627" s="53" t="s">
        <v>1274</v>
      </c>
      <c r="F627" s="41"/>
      <c r="G627" s="38">
        <f>SUM(G628)</f>
        <v>531.2</v>
      </c>
      <c r="H627" s="38">
        <f>SUM(H628)</f>
        <v>477.2</v>
      </c>
      <c r="I627" s="39">
        <f t="shared" si="18"/>
        <v>89.83433734939759</v>
      </c>
    </row>
    <row r="628" spans="1:11" ht="14.25" customHeight="1">
      <c r="A628" s="57" t="s">
        <v>782</v>
      </c>
      <c r="B628" s="35"/>
      <c r="C628" s="53" t="s">
        <v>887</v>
      </c>
      <c r="D628" s="53" t="s">
        <v>680</v>
      </c>
      <c r="E628" s="53" t="s">
        <v>1274</v>
      </c>
      <c r="F628" s="41" t="s">
        <v>783</v>
      </c>
      <c r="G628" s="38">
        <v>531.2</v>
      </c>
      <c r="H628" s="38">
        <v>477.2</v>
      </c>
      <c r="I628" s="39">
        <f t="shared" si="18"/>
        <v>89.83433734939759</v>
      </c>
      <c r="J628" s="6">
        <f>SUM('[1]ведомствен.'!G1125)</f>
        <v>531.2</v>
      </c>
      <c r="K628" s="6">
        <f>SUM('[1]ведомствен.'!H1125)</f>
        <v>477.2</v>
      </c>
    </row>
    <row r="629" spans="1:9" ht="14.25" customHeight="1">
      <c r="A629" s="136" t="s">
        <v>1275</v>
      </c>
      <c r="B629" s="92"/>
      <c r="C629" s="53" t="s">
        <v>887</v>
      </c>
      <c r="D629" s="53" t="s">
        <v>688</v>
      </c>
      <c r="E629" s="53"/>
      <c r="F629" s="41"/>
      <c r="G629" s="38">
        <f>SUM(G630)</f>
        <v>13014.5</v>
      </c>
      <c r="H629" s="38">
        <f>SUM(H630)</f>
        <v>12996.3</v>
      </c>
      <c r="I629" s="39">
        <f t="shared" si="18"/>
        <v>99.86015597986861</v>
      </c>
    </row>
    <row r="630" spans="1:9" ht="20.25" customHeight="1">
      <c r="A630" s="136" t="s">
        <v>1276</v>
      </c>
      <c r="B630" s="92"/>
      <c r="C630" s="53" t="s">
        <v>887</v>
      </c>
      <c r="D630" s="53" t="s">
        <v>688</v>
      </c>
      <c r="E630" s="53" t="s">
        <v>1259</v>
      </c>
      <c r="F630" s="41"/>
      <c r="G630" s="38">
        <f>SUM(G631)</f>
        <v>13014.5</v>
      </c>
      <c r="H630" s="38">
        <f>SUM(H631)</f>
        <v>12996.3</v>
      </c>
      <c r="I630" s="39">
        <f t="shared" si="18"/>
        <v>99.86015597986861</v>
      </c>
    </row>
    <row r="631" spans="1:9" ht="14.25" customHeight="1">
      <c r="A631" s="137" t="s">
        <v>780</v>
      </c>
      <c r="B631" s="92"/>
      <c r="C631" s="53" t="s">
        <v>887</v>
      </c>
      <c r="D631" s="53" t="s">
        <v>688</v>
      </c>
      <c r="E631" s="53" t="s">
        <v>1260</v>
      </c>
      <c r="F631" s="41"/>
      <c r="G631" s="38">
        <f>SUM(G632:G633)</f>
        <v>13014.5</v>
      </c>
      <c r="H631" s="38">
        <f>SUM(H632:H633)</f>
        <v>12996.3</v>
      </c>
      <c r="I631" s="39">
        <f t="shared" si="18"/>
        <v>99.86015597986861</v>
      </c>
    </row>
    <row r="632" spans="1:11" ht="14.25" customHeight="1">
      <c r="A632" s="137" t="s">
        <v>782</v>
      </c>
      <c r="B632" s="92"/>
      <c r="C632" s="53" t="s">
        <v>887</v>
      </c>
      <c r="D632" s="53" t="s">
        <v>688</v>
      </c>
      <c r="E632" s="53" t="s">
        <v>1260</v>
      </c>
      <c r="F632" s="41" t="s">
        <v>783</v>
      </c>
      <c r="G632" s="38">
        <v>13014.5</v>
      </c>
      <c r="H632" s="38">
        <v>12996.3</v>
      </c>
      <c r="I632" s="39">
        <f t="shared" si="18"/>
        <v>99.86015597986861</v>
      </c>
      <c r="J632" s="6">
        <f>SUM('[1]ведомствен.'!G1129)+'[1]ведомствен.'!G600</f>
        <v>13014.5</v>
      </c>
      <c r="K632" s="6">
        <f>SUM('[1]ведомствен.'!H1129)+'[1]ведомствен.'!H600</f>
        <v>12996.3</v>
      </c>
    </row>
    <row r="633" spans="1:9" ht="14.25" customHeight="1" hidden="1">
      <c r="A633" s="40" t="s">
        <v>1114</v>
      </c>
      <c r="B633" s="35"/>
      <c r="C633" s="53" t="s">
        <v>887</v>
      </c>
      <c r="D633" s="53" t="s">
        <v>688</v>
      </c>
      <c r="E633" s="53" t="s">
        <v>1268</v>
      </c>
      <c r="F633" s="41" t="s">
        <v>1269</v>
      </c>
      <c r="G633" s="38"/>
      <c r="H633" s="38"/>
      <c r="I633" s="39" t="e">
        <f t="shared" si="18"/>
        <v>#DIV/0!</v>
      </c>
    </row>
    <row r="634" spans="1:9" ht="15">
      <c r="A634" s="57" t="s">
        <v>1277</v>
      </c>
      <c r="B634" s="35"/>
      <c r="C634" s="53" t="s">
        <v>887</v>
      </c>
      <c r="D634" s="53" t="s">
        <v>712</v>
      </c>
      <c r="E634" s="53"/>
      <c r="F634" s="41"/>
      <c r="G634" s="38">
        <f>SUM(G637+G641+G635)</f>
        <v>58256.3</v>
      </c>
      <c r="H634" s="38">
        <f>SUM(H637+H641+H635)</f>
        <v>57909.6</v>
      </c>
      <c r="I634" s="39">
        <f t="shared" si="18"/>
        <v>99.40487123281086</v>
      </c>
    </row>
    <row r="635" spans="1:9" ht="15">
      <c r="A635" s="57" t="s">
        <v>740</v>
      </c>
      <c r="B635" s="35"/>
      <c r="C635" s="53" t="s">
        <v>887</v>
      </c>
      <c r="D635" s="53" t="s">
        <v>712</v>
      </c>
      <c r="E635" s="53" t="s">
        <v>741</v>
      </c>
      <c r="F635" s="41"/>
      <c r="G635" s="38">
        <f>SUM(G636)</f>
        <v>60</v>
      </c>
      <c r="H635" s="38">
        <f>SUM(H636)</f>
        <v>60</v>
      </c>
      <c r="I635" s="39">
        <f t="shared" si="18"/>
        <v>100</v>
      </c>
    </row>
    <row r="636" spans="1:11" ht="15">
      <c r="A636" s="57" t="s">
        <v>782</v>
      </c>
      <c r="B636" s="35"/>
      <c r="C636" s="53" t="s">
        <v>887</v>
      </c>
      <c r="D636" s="53" t="s">
        <v>712</v>
      </c>
      <c r="E636" s="53" t="s">
        <v>741</v>
      </c>
      <c r="F636" s="41" t="s">
        <v>783</v>
      </c>
      <c r="G636" s="38">
        <v>60</v>
      </c>
      <c r="H636" s="38">
        <v>60</v>
      </c>
      <c r="I636" s="39">
        <f t="shared" si="18"/>
        <v>100</v>
      </c>
      <c r="J636" s="6">
        <f>SUM('[1]ведомствен.'!G1133)</f>
        <v>60</v>
      </c>
      <c r="K636" s="6">
        <f>SUM('[1]ведомствен.'!H1133)</f>
        <v>60</v>
      </c>
    </row>
    <row r="637" spans="1:9" ht="15" customHeight="1">
      <c r="A637" s="34" t="s">
        <v>1278</v>
      </c>
      <c r="B637" s="35"/>
      <c r="C637" s="53" t="s">
        <v>887</v>
      </c>
      <c r="D637" s="53" t="s">
        <v>712</v>
      </c>
      <c r="E637" s="53" t="s">
        <v>1279</v>
      </c>
      <c r="F637" s="41"/>
      <c r="G637" s="38">
        <f>SUM(G638)</f>
        <v>49846.1</v>
      </c>
      <c r="H637" s="38">
        <f>SUM(H638)</f>
        <v>49733.4</v>
      </c>
      <c r="I637" s="39">
        <f t="shared" si="18"/>
        <v>99.77390407674824</v>
      </c>
    </row>
    <row r="638" spans="1:9" ht="18" customHeight="1">
      <c r="A638" s="40" t="s">
        <v>780</v>
      </c>
      <c r="B638" s="35"/>
      <c r="C638" s="53" t="s">
        <v>887</v>
      </c>
      <c r="D638" s="53" t="s">
        <v>712</v>
      </c>
      <c r="E638" s="53" t="s">
        <v>1280</v>
      </c>
      <c r="F638" s="41"/>
      <c r="G638" s="38">
        <f>SUM(G639:G640)</f>
        <v>49846.1</v>
      </c>
      <c r="H638" s="38">
        <f>SUM(H639:H640)</f>
        <v>49733.4</v>
      </c>
      <c r="I638" s="39">
        <f t="shared" si="18"/>
        <v>99.77390407674824</v>
      </c>
    </row>
    <row r="639" spans="1:11" ht="17.25" customHeight="1">
      <c r="A639" s="57" t="s">
        <v>782</v>
      </c>
      <c r="B639" s="35"/>
      <c r="C639" s="53" t="s">
        <v>887</v>
      </c>
      <c r="D639" s="53" t="s">
        <v>712</v>
      </c>
      <c r="E639" s="53" t="s">
        <v>1280</v>
      </c>
      <c r="F639" s="41" t="s">
        <v>783</v>
      </c>
      <c r="G639" s="38">
        <v>49846.1</v>
      </c>
      <c r="H639" s="38">
        <v>49733.4</v>
      </c>
      <c r="I639" s="39">
        <f t="shared" si="18"/>
        <v>99.77390407674824</v>
      </c>
      <c r="J639" s="6">
        <f>SUM('[1]ведомствен.'!G1136)+'[1]ведомствен.'!G605</f>
        <v>49846.100000000006</v>
      </c>
      <c r="K639" s="6">
        <f>SUM('[1]ведомствен.'!H1136)+'[1]ведомствен.'!H605</f>
        <v>49733.4</v>
      </c>
    </row>
    <row r="640" spans="1:9" ht="57" customHeight="1" hidden="1">
      <c r="A640" s="40" t="s">
        <v>1114</v>
      </c>
      <c r="B640" s="35"/>
      <c r="C640" s="53" t="s">
        <v>887</v>
      </c>
      <c r="D640" s="53" t="s">
        <v>712</v>
      </c>
      <c r="E640" s="53" t="s">
        <v>1280</v>
      </c>
      <c r="F640" s="41" t="s">
        <v>1269</v>
      </c>
      <c r="G640" s="38"/>
      <c r="H640" s="38"/>
      <c r="I640" s="39" t="e">
        <f t="shared" si="18"/>
        <v>#DIV/0!</v>
      </c>
    </row>
    <row r="641" spans="1:9" ht="27" customHeight="1">
      <c r="A641" s="93" t="s">
        <v>1080</v>
      </c>
      <c r="B641" s="35"/>
      <c r="C641" s="53" t="s">
        <v>887</v>
      </c>
      <c r="D641" s="53" t="s">
        <v>712</v>
      </c>
      <c r="E641" s="53" t="s">
        <v>1081</v>
      </c>
      <c r="F641" s="41"/>
      <c r="G641" s="38">
        <f>SUM(G642)</f>
        <v>8350.2</v>
      </c>
      <c r="H641" s="38">
        <f>SUM(H642)</f>
        <v>8116.2</v>
      </c>
      <c r="I641" s="39">
        <f t="shared" si="18"/>
        <v>97.19767191205</v>
      </c>
    </row>
    <row r="642" spans="1:11" s="139" customFormat="1" ht="41.25" customHeight="1">
      <c r="A642" s="54" t="s">
        <v>1273</v>
      </c>
      <c r="B642" s="35"/>
      <c r="C642" s="53" t="s">
        <v>887</v>
      </c>
      <c r="D642" s="53" t="s">
        <v>712</v>
      </c>
      <c r="E642" s="53" t="s">
        <v>1274</v>
      </c>
      <c r="F642" s="41"/>
      <c r="G642" s="38">
        <f>SUM(G643)</f>
        <v>8350.2</v>
      </c>
      <c r="H642" s="38">
        <f>SUM(H643)</f>
        <v>8116.2</v>
      </c>
      <c r="I642" s="39">
        <f t="shared" si="18"/>
        <v>97.19767191205</v>
      </c>
      <c r="J642" s="138"/>
      <c r="K642" s="138"/>
    </row>
    <row r="643" spans="1:11" ht="15">
      <c r="A643" s="57" t="s">
        <v>782</v>
      </c>
      <c r="B643" s="35"/>
      <c r="C643" s="53" t="s">
        <v>887</v>
      </c>
      <c r="D643" s="53" t="s">
        <v>712</v>
      </c>
      <c r="E643" s="53" t="s">
        <v>1274</v>
      </c>
      <c r="F643" s="41" t="s">
        <v>783</v>
      </c>
      <c r="G643" s="38">
        <v>8350.2</v>
      </c>
      <c r="H643" s="38">
        <v>8116.2</v>
      </c>
      <c r="I643" s="39">
        <f t="shared" si="18"/>
        <v>97.19767191205</v>
      </c>
      <c r="J643" s="6">
        <f>SUM('[1]ведомствен.'!G1140)</f>
        <v>8350.2</v>
      </c>
      <c r="K643" s="6">
        <f>SUM('[1]ведомствен.'!H1140)</f>
        <v>8116.2</v>
      </c>
    </row>
    <row r="644" spans="1:9" ht="15">
      <c r="A644" s="34" t="s">
        <v>1281</v>
      </c>
      <c r="B644" s="35"/>
      <c r="C644" s="36" t="s">
        <v>887</v>
      </c>
      <c r="D644" s="36" t="s">
        <v>714</v>
      </c>
      <c r="E644" s="36"/>
      <c r="F644" s="37"/>
      <c r="G644" s="38">
        <f>SUM(G647+G650+G645)</f>
        <v>2075</v>
      </c>
      <c r="H644" s="38">
        <f>SUM(H647+H650+H645)</f>
        <v>2075</v>
      </c>
      <c r="I644" s="39">
        <f t="shared" si="18"/>
        <v>100</v>
      </c>
    </row>
    <row r="645" spans="1:9" ht="15">
      <c r="A645" s="57" t="s">
        <v>740</v>
      </c>
      <c r="B645" s="35"/>
      <c r="C645" s="36" t="s">
        <v>887</v>
      </c>
      <c r="D645" s="36" t="s">
        <v>714</v>
      </c>
      <c r="E645" s="53" t="s">
        <v>741</v>
      </c>
      <c r="F645" s="41"/>
      <c r="G645" s="38">
        <f>SUM(G646)</f>
        <v>199.5</v>
      </c>
      <c r="H645" s="38">
        <f>SUM(H646)</f>
        <v>199.5</v>
      </c>
      <c r="I645" s="39">
        <f t="shared" si="18"/>
        <v>100</v>
      </c>
    </row>
    <row r="646" spans="1:11" ht="15">
      <c r="A646" s="40" t="s">
        <v>685</v>
      </c>
      <c r="B646" s="35"/>
      <c r="C646" s="36" t="s">
        <v>887</v>
      </c>
      <c r="D646" s="36" t="s">
        <v>714</v>
      </c>
      <c r="E646" s="53" t="s">
        <v>741</v>
      </c>
      <c r="F646" s="41" t="s">
        <v>686</v>
      </c>
      <c r="G646" s="38">
        <f>250-50.3-0.2</f>
        <v>199.5</v>
      </c>
      <c r="H646" s="38">
        <f>250-50.3-0.2</f>
        <v>199.5</v>
      </c>
      <c r="I646" s="39">
        <f t="shared" si="18"/>
        <v>100</v>
      </c>
      <c r="J646" s="6">
        <f>SUM('[1]ведомствен.'!G845+'[1]ведомствен.'!G384)</f>
        <v>199.5</v>
      </c>
      <c r="K646" s="6">
        <f>SUM('[1]ведомствен.'!H845+'[1]ведомствен.'!H384)</f>
        <v>199.5</v>
      </c>
    </row>
    <row r="647" spans="1:9" ht="28.5">
      <c r="A647" s="34" t="s">
        <v>1282</v>
      </c>
      <c r="B647" s="35"/>
      <c r="C647" s="36" t="s">
        <v>887</v>
      </c>
      <c r="D647" s="36" t="s">
        <v>714</v>
      </c>
      <c r="E647" s="64" t="s">
        <v>1152</v>
      </c>
      <c r="F647" s="37"/>
      <c r="G647" s="38">
        <f>SUM(G648)</f>
        <v>1875.5</v>
      </c>
      <c r="H647" s="38">
        <f>SUM(H648)</f>
        <v>1875.5</v>
      </c>
      <c r="I647" s="39">
        <f t="shared" si="18"/>
        <v>100</v>
      </c>
    </row>
    <row r="648" spans="1:9" ht="26.25" customHeight="1">
      <c r="A648" s="34" t="s">
        <v>1110</v>
      </c>
      <c r="B648" s="35"/>
      <c r="C648" s="36" t="s">
        <v>887</v>
      </c>
      <c r="D648" s="36" t="s">
        <v>714</v>
      </c>
      <c r="E648" s="64" t="s">
        <v>1153</v>
      </c>
      <c r="F648" s="37"/>
      <c r="G648" s="38">
        <f>SUM(G649)</f>
        <v>1875.5</v>
      </c>
      <c r="H648" s="38">
        <f>SUM(H649)</f>
        <v>1875.5</v>
      </c>
      <c r="I648" s="39">
        <f t="shared" si="18"/>
        <v>100</v>
      </c>
    </row>
    <row r="649" spans="1:11" ht="15" customHeight="1">
      <c r="A649" s="40" t="s">
        <v>685</v>
      </c>
      <c r="B649" s="35"/>
      <c r="C649" s="36" t="s">
        <v>887</v>
      </c>
      <c r="D649" s="36" t="s">
        <v>714</v>
      </c>
      <c r="E649" s="64" t="s">
        <v>1153</v>
      </c>
      <c r="F649" s="37" t="s">
        <v>686</v>
      </c>
      <c r="G649" s="38">
        <v>1875.5</v>
      </c>
      <c r="H649" s="38">
        <v>1875.5</v>
      </c>
      <c r="I649" s="39">
        <f t="shared" si="18"/>
        <v>100</v>
      </c>
      <c r="J649" s="6">
        <f>SUM('[1]ведомствен.'!G848+'[1]ведомствен.'!G387)</f>
        <v>1875.5</v>
      </c>
      <c r="K649" s="6">
        <f>SUM('[1]ведомствен.'!H848+'[1]ведомствен.'!H387)</f>
        <v>1875.5</v>
      </c>
    </row>
    <row r="650" spans="1:9" ht="15" hidden="1">
      <c r="A650" s="74" t="s">
        <v>742</v>
      </c>
      <c r="B650" s="52"/>
      <c r="C650" s="36" t="s">
        <v>887</v>
      </c>
      <c r="D650" s="36" t="s">
        <v>714</v>
      </c>
      <c r="E650" s="53" t="s">
        <v>743</v>
      </c>
      <c r="F650" s="41"/>
      <c r="G650" s="38">
        <f>SUM(G651)</f>
        <v>0</v>
      </c>
      <c r="H650" s="38">
        <f>SUM(H651)</f>
        <v>0</v>
      </c>
      <c r="I650" s="39" t="e">
        <f t="shared" si="18"/>
        <v>#DIV/0!</v>
      </c>
    </row>
    <row r="651" spans="1:9" ht="15.75" customHeight="1" hidden="1">
      <c r="A651" s="40" t="s">
        <v>685</v>
      </c>
      <c r="B651" s="114"/>
      <c r="C651" s="36" t="s">
        <v>887</v>
      </c>
      <c r="D651" s="36" t="s">
        <v>714</v>
      </c>
      <c r="E651" s="73" t="s">
        <v>743</v>
      </c>
      <c r="F651" s="42" t="s">
        <v>686</v>
      </c>
      <c r="G651" s="38">
        <f>SUM(G652)</f>
        <v>0</v>
      </c>
      <c r="H651" s="38">
        <f>SUM(H652)</f>
        <v>0</v>
      </c>
      <c r="I651" s="39" t="e">
        <f t="shared" si="18"/>
        <v>#DIV/0!</v>
      </c>
    </row>
    <row r="652" spans="1:9" ht="28.5" customHeight="1" hidden="1">
      <c r="A652" s="40" t="s">
        <v>1283</v>
      </c>
      <c r="B652" s="35"/>
      <c r="C652" s="36" t="s">
        <v>887</v>
      </c>
      <c r="D652" s="36" t="s">
        <v>714</v>
      </c>
      <c r="E652" s="73" t="s">
        <v>1284</v>
      </c>
      <c r="F652" s="42" t="s">
        <v>686</v>
      </c>
      <c r="G652" s="38">
        <f>1738.6-1738.6</f>
        <v>0</v>
      </c>
      <c r="H652" s="38">
        <f>1738.6-1738.6</f>
        <v>0</v>
      </c>
      <c r="I652" s="39" t="e">
        <f t="shared" si="18"/>
        <v>#DIV/0!</v>
      </c>
    </row>
    <row r="653" spans="1:9" ht="28.5">
      <c r="A653" s="34" t="s">
        <v>1285</v>
      </c>
      <c r="B653" s="35"/>
      <c r="C653" s="53" t="s">
        <v>887</v>
      </c>
      <c r="D653" s="53" t="s">
        <v>910</v>
      </c>
      <c r="E653" s="53"/>
      <c r="F653" s="41"/>
      <c r="G653" s="38">
        <f>SUM(G654+G662+G669+G671+G667+G657+G659)</f>
        <v>19581.500000000004</v>
      </c>
      <c r="H653" s="38">
        <f>SUM(H654+H662+H669+H671+H667+H657+H659)</f>
        <v>19350.7</v>
      </c>
      <c r="I653" s="39">
        <f t="shared" si="18"/>
        <v>98.82133646554145</v>
      </c>
    </row>
    <row r="654" spans="1:9" ht="40.5" customHeight="1">
      <c r="A654" s="40" t="s">
        <v>681</v>
      </c>
      <c r="B654" s="35"/>
      <c r="C654" s="53" t="s">
        <v>887</v>
      </c>
      <c r="D654" s="53" t="s">
        <v>910</v>
      </c>
      <c r="E654" s="36" t="s">
        <v>682</v>
      </c>
      <c r="F654" s="41"/>
      <c r="G654" s="38">
        <f>SUM(G655)</f>
        <v>1835.1</v>
      </c>
      <c r="H654" s="38">
        <f>SUM(H655)</f>
        <v>1835.1</v>
      </c>
      <c r="I654" s="39">
        <f t="shared" si="18"/>
        <v>100</v>
      </c>
    </row>
    <row r="655" spans="1:9" ht="20.25" customHeight="1">
      <c r="A655" s="40" t="s">
        <v>689</v>
      </c>
      <c r="B655" s="35"/>
      <c r="C655" s="53" t="s">
        <v>887</v>
      </c>
      <c r="D655" s="53" t="s">
        <v>910</v>
      </c>
      <c r="E655" s="36" t="s">
        <v>691</v>
      </c>
      <c r="F655" s="41"/>
      <c r="G655" s="38">
        <f>SUM(G656)</f>
        <v>1835.1</v>
      </c>
      <c r="H655" s="38">
        <f>SUM(H656)</f>
        <v>1835.1</v>
      </c>
      <c r="I655" s="39">
        <f aca="true" t="shared" si="19" ref="I655:I718">SUM(H655/G655*100)</f>
        <v>100</v>
      </c>
    </row>
    <row r="656" spans="1:11" ht="21.75" customHeight="1">
      <c r="A656" s="40" t="s">
        <v>685</v>
      </c>
      <c r="B656" s="35"/>
      <c r="C656" s="53" t="s">
        <v>887</v>
      </c>
      <c r="D656" s="53" t="s">
        <v>910</v>
      </c>
      <c r="E656" s="36" t="s">
        <v>691</v>
      </c>
      <c r="F656" s="37" t="s">
        <v>686</v>
      </c>
      <c r="G656" s="38">
        <v>1835.1</v>
      </c>
      <c r="H656" s="38">
        <v>1835.1</v>
      </c>
      <c r="I656" s="39">
        <f t="shared" si="19"/>
        <v>100</v>
      </c>
      <c r="J656" s="6">
        <f>SUM('[1]ведомствен.'!G852)+'[1]ведомствен.'!G613</f>
        <v>1835.1</v>
      </c>
      <c r="K656" s="6">
        <f>SUM('[1]ведомствен.'!H852)+'[1]ведомствен.'!H613</f>
        <v>1835.1</v>
      </c>
    </row>
    <row r="657" spans="1:11" ht="15">
      <c r="A657" s="57" t="s">
        <v>740</v>
      </c>
      <c r="B657" s="35"/>
      <c r="C657" s="36" t="s">
        <v>887</v>
      </c>
      <c r="D657" s="36" t="s">
        <v>910</v>
      </c>
      <c r="E657" s="53" t="s">
        <v>741</v>
      </c>
      <c r="F657" s="41"/>
      <c r="G657" s="38">
        <f>SUM(G658)</f>
        <v>5.3</v>
      </c>
      <c r="H657" s="38">
        <f>SUM(H658)</f>
        <v>5.3</v>
      </c>
      <c r="I657" s="39">
        <f t="shared" si="19"/>
        <v>100</v>
      </c>
      <c r="J657"/>
      <c r="K657"/>
    </row>
    <row r="658" spans="1:11" ht="15">
      <c r="A658" s="40" t="s">
        <v>685</v>
      </c>
      <c r="B658" s="35"/>
      <c r="C658" s="36" t="s">
        <v>887</v>
      </c>
      <c r="D658" s="36" t="s">
        <v>910</v>
      </c>
      <c r="E658" s="53" t="s">
        <v>741</v>
      </c>
      <c r="F658" s="41" t="s">
        <v>686</v>
      </c>
      <c r="G658" s="38">
        <v>5.3</v>
      </c>
      <c r="H658" s="38">
        <v>5.3</v>
      </c>
      <c r="I658" s="39">
        <f t="shared" si="19"/>
        <v>100</v>
      </c>
      <c r="J658">
        <f>SUM('[1]ведомствен.'!G854)</f>
        <v>5.3</v>
      </c>
      <c r="K658">
        <f>SUM('[1]ведомствен.'!H854)</f>
        <v>5.3</v>
      </c>
    </row>
    <row r="659" spans="1:11" ht="28.5">
      <c r="A659" s="54" t="s">
        <v>696</v>
      </c>
      <c r="B659" s="35"/>
      <c r="C659" s="36" t="s">
        <v>887</v>
      </c>
      <c r="D659" s="36" t="s">
        <v>910</v>
      </c>
      <c r="E659" s="36" t="s">
        <v>697</v>
      </c>
      <c r="F659" s="42"/>
      <c r="G659" s="38">
        <f>SUM(G661)</f>
        <v>275.9</v>
      </c>
      <c r="H659" s="38">
        <f>SUM(H661)</f>
        <v>275.9</v>
      </c>
      <c r="I659" s="39">
        <f>SUM(H659/G659*100)</f>
        <v>100</v>
      </c>
      <c r="J659"/>
      <c r="K659"/>
    </row>
    <row r="660" spans="1:11" ht="15">
      <c r="A660" s="54" t="s">
        <v>698</v>
      </c>
      <c r="B660" s="35"/>
      <c r="C660" s="36" t="s">
        <v>887</v>
      </c>
      <c r="D660" s="36" t="s">
        <v>910</v>
      </c>
      <c r="E660" s="36" t="s">
        <v>786</v>
      </c>
      <c r="F660" s="42"/>
      <c r="G660" s="38">
        <f>SUM(G661)</f>
        <v>275.9</v>
      </c>
      <c r="H660" s="38">
        <f>SUM(H661)</f>
        <v>275.9</v>
      </c>
      <c r="I660" s="39">
        <f>SUM(H660/G660*100)</f>
        <v>100</v>
      </c>
      <c r="J660"/>
      <c r="K660"/>
    </row>
    <row r="661" spans="1:11" ht="27" customHeight="1">
      <c r="A661" s="40" t="s">
        <v>685</v>
      </c>
      <c r="B661" s="35"/>
      <c r="C661" s="36" t="s">
        <v>887</v>
      </c>
      <c r="D661" s="36" t="s">
        <v>910</v>
      </c>
      <c r="E661" s="36" t="s">
        <v>786</v>
      </c>
      <c r="F661" s="42" t="s">
        <v>686</v>
      </c>
      <c r="G661" s="38">
        <v>275.9</v>
      </c>
      <c r="H661" s="38">
        <v>275.9</v>
      </c>
      <c r="I661" s="39">
        <f>SUM(H661/G661*100)</f>
        <v>100</v>
      </c>
      <c r="J661">
        <f>SUM('[1]ведомствен.'!G857)</f>
        <v>275.9</v>
      </c>
      <c r="K661">
        <f>SUM('[1]ведомствен.'!H857)</f>
        <v>275.9</v>
      </c>
    </row>
    <row r="662" spans="1:9" ht="28.5">
      <c r="A662" s="84" t="s">
        <v>1255</v>
      </c>
      <c r="B662" s="35"/>
      <c r="C662" s="53" t="s">
        <v>887</v>
      </c>
      <c r="D662" s="53" t="s">
        <v>910</v>
      </c>
      <c r="E662" s="53" t="s">
        <v>1256</v>
      </c>
      <c r="F662" s="41"/>
      <c r="G662" s="38">
        <f>SUM(G663)</f>
        <v>9879.6</v>
      </c>
      <c r="H662" s="38">
        <f>SUM(H663)</f>
        <v>9828.5</v>
      </c>
      <c r="I662" s="39">
        <f t="shared" si="19"/>
        <v>99.4827725818859</v>
      </c>
    </row>
    <row r="663" spans="1:9" ht="18.75" customHeight="1">
      <c r="A663" s="40" t="s">
        <v>780</v>
      </c>
      <c r="B663" s="35"/>
      <c r="C663" s="53" t="s">
        <v>887</v>
      </c>
      <c r="D663" s="53" t="s">
        <v>910</v>
      </c>
      <c r="E663" s="53" t="s">
        <v>1257</v>
      </c>
      <c r="F663" s="41"/>
      <c r="G663" s="38">
        <f>SUM(G664:G665)</f>
        <v>9879.6</v>
      </c>
      <c r="H663" s="38">
        <f>SUM(H664:H665)</f>
        <v>9828.5</v>
      </c>
      <c r="I663" s="39">
        <f t="shared" si="19"/>
        <v>99.4827725818859</v>
      </c>
    </row>
    <row r="664" spans="1:11" ht="17.25" customHeight="1">
      <c r="A664" s="57" t="s">
        <v>782</v>
      </c>
      <c r="B664" s="35"/>
      <c r="C664" s="53" t="s">
        <v>887</v>
      </c>
      <c r="D664" s="53" t="s">
        <v>910</v>
      </c>
      <c r="E664" s="53" t="s">
        <v>1257</v>
      </c>
      <c r="F664" s="41" t="s">
        <v>783</v>
      </c>
      <c r="G664" s="38">
        <v>9879.6</v>
      </c>
      <c r="H664" s="38">
        <v>9828.5</v>
      </c>
      <c r="I664" s="39">
        <f t="shared" si="19"/>
        <v>99.4827725818859</v>
      </c>
      <c r="J664" s="6">
        <f>SUM('[1]ведомствен.'!G1146)+'[1]ведомствен.'!G616</f>
        <v>9879.6</v>
      </c>
      <c r="K664" s="6">
        <f>SUM('[1]ведомствен.'!H1146)+'[1]ведомствен.'!H616</f>
        <v>9828.5</v>
      </c>
    </row>
    <row r="665" spans="1:9" ht="0.75" customHeight="1" hidden="1">
      <c r="A665" s="40" t="s">
        <v>1114</v>
      </c>
      <c r="B665" s="35"/>
      <c r="C665" s="53" t="s">
        <v>887</v>
      </c>
      <c r="D665" s="53" t="s">
        <v>910</v>
      </c>
      <c r="E665" s="53" t="s">
        <v>1257</v>
      </c>
      <c r="F665" s="41" t="s">
        <v>1269</v>
      </c>
      <c r="G665" s="38"/>
      <c r="H665" s="38"/>
      <c r="I665" s="39" t="e">
        <f t="shared" si="19"/>
        <v>#DIV/0!</v>
      </c>
    </row>
    <row r="666" spans="1:9" ht="15" customHeight="1" hidden="1">
      <c r="A666" s="40" t="s">
        <v>906</v>
      </c>
      <c r="B666" s="35"/>
      <c r="C666" s="53" t="s">
        <v>887</v>
      </c>
      <c r="D666" s="53" t="s">
        <v>910</v>
      </c>
      <c r="E666" s="53" t="s">
        <v>907</v>
      </c>
      <c r="F666" s="41"/>
      <c r="G666" s="38">
        <f>SUM(G667+G669)</f>
        <v>0</v>
      </c>
      <c r="H666" s="38">
        <f>SUM(H667+H669)</f>
        <v>0</v>
      </c>
      <c r="I666" s="39" t="e">
        <f t="shared" si="19"/>
        <v>#DIV/0!</v>
      </c>
    </row>
    <row r="667" spans="1:9" ht="29.25" customHeight="1" hidden="1">
      <c r="A667" s="57" t="s">
        <v>1204</v>
      </c>
      <c r="B667" s="72"/>
      <c r="C667" s="53" t="s">
        <v>887</v>
      </c>
      <c r="D667" s="53" t="s">
        <v>910</v>
      </c>
      <c r="E667" s="53" t="s">
        <v>1205</v>
      </c>
      <c r="F667" s="42"/>
      <c r="G667" s="38">
        <f>SUM(G668)</f>
        <v>0</v>
      </c>
      <c r="H667" s="38">
        <f>SUM(H668)</f>
        <v>0</v>
      </c>
      <c r="I667" s="39" t="e">
        <f t="shared" si="19"/>
        <v>#DIV/0!</v>
      </c>
    </row>
    <row r="668" spans="1:9" ht="29.25" customHeight="1" hidden="1">
      <c r="A668" s="40" t="s">
        <v>1110</v>
      </c>
      <c r="B668" s="72"/>
      <c r="C668" s="53" t="s">
        <v>887</v>
      </c>
      <c r="D668" s="53" t="s">
        <v>910</v>
      </c>
      <c r="E668" s="53" t="s">
        <v>1205</v>
      </c>
      <c r="F668" s="42" t="s">
        <v>1203</v>
      </c>
      <c r="G668" s="38"/>
      <c r="H668" s="38"/>
      <c r="I668" s="39" t="e">
        <f t="shared" si="19"/>
        <v>#DIV/0!</v>
      </c>
    </row>
    <row r="669" spans="1:9" ht="31.5" customHeight="1" hidden="1">
      <c r="A669" s="40" t="s">
        <v>1286</v>
      </c>
      <c r="B669" s="35"/>
      <c r="C669" s="53" t="s">
        <v>887</v>
      </c>
      <c r="D669" s="53" t="s">
        <v>910</v>
      </c>
      <c r="E669" s="53" t="s">
        <v>1287</v>
      </c>
      <c r="F669" s="41"/>
      <c r="G669" s="38">
        <f>SUM(G670)</f>
        <v>0</v>
      </c>
      <c r="H669" s="38">
        <f>SUM(H670)</f>
        <v>0</v>
      </c>
      <c r="I669" s="39" t="e">
        <f t="shared" si="19"/>
        <v>#DIV/0!</v>
      </c>
    </row>
    <row r="670" spans="1:9" ht="28.5" customHeight="1" hidden="1">
      <c r="A670" s="40" t="s">
        <v>1110</v>
      </c>
      <c r="B670" s="35"/>
      <c r="C670" s="53" t="s">
        <v>887</v>
      </c>
      <c r="D670" s="53" t="s">
        <v>910</v>
      </c>
      <c r="E670" s="53" t="s">
        <v>1287</v>
      </c>
      <c r="F670" s="41" t="s">
        <v>1203</v>
      </c>
      <c r="G670" s="38"/>
      <c r="H670" s="38"/>
      <c r="I670" s="39" t="e">
        <f t="shared" si="19"/>
        <v>#DIV/0!</v>
      </c>
    </row>
    <row r="671" spans="1:9" ht="18" customHeight="1">
      <c r="A671" s="74" t="s">
        <v>742</v>
      </c>
      <c r="B671" s="52"/>
      <c r="C671" s="53" t="s">
        <v>887</v>
      </c>
      <c r="D671" s="53" t="s">
        <v>910</v>
      </c>
      <c r="E671" s="53" t="s">
        <v>743</v>
      </c>
      <c r="F671" s="41"/>
      <c r="G671" s="38">
        <f>SUM(G677,G688,G678)</f>
        <v>7585.6</v>
      </c>
      <c r="H671" s="38">
        <f>SUM(H677,H688,H678)</f>
        <v>7405.9</v>
      </c>
      <c r="I671" s="39">
        <f t="shared" si="19"/>
        <v>97.63103775574771</v>
      </c>
    </row>
    <row r="672" spans="1:9" ht="0.75" customHeight="1" hidden="1">
      <c r="A672" s="34" t="s">
        <v>1110</v>
      </c>
      <c r="B672" s="52"/>
      <c r="C672" s="53" t="s">
        <v>887</v>
      </c>
      <c r="D672" s="53" t="s">
        <v>910</v>
      </c>
      <c r="E672" s="53" t="s">
        <v>743</v>
      </c>
      <c r="F672" s="41" t="s">
        <v>1203</v>
      </c>
      <c r="G672" s="38"/>
      <c r="H672" s="38"/>
      <c r="I672" s="39" t="e">
        <f t="shared" si="19"/>
        <v>#DIV/0!</v>
      </c>
    </row>
    <row r="673" spans="1:9" ht="15" customHeight="1" hidden="1">
      <c r="A673" s="34" t="s">
        <v>1288</v>
      </c>
      <c r="B673" s="52"/>
      <c r="C673" s="53" t="s">
        <v>887</v>
      </c>
      <c r="D673" s="53" t="s">
        <v>910</v>
      </c>
      <c r="E673" s="53" t="s">
        <v>1289</v>
      </c>
      <c r="F673" s="41"/>
      <c r="G673" s="38">
        <f>SUM(G674:G675)</f>
        <v>0</v>
      </c>
      <c r="H673" s="38">
        <f>SUM(H674:H675)</f>
        <v>0</v>
      </c>
      <c r="I673" s="39" t="e">
        <f t="shared" si="19"/>
        <v>#DIV/0!</v>
      </c>
    </row>
    <row r="674" spans="1:9" ht="15" customHeight="1" hidden="1">
      <c r="A674" s="51" t="s">
        <v>1042</v>
      </c>
      <c r="B674" s="35"/>
      <c r="C674" s="53" t="s">
        <v>887</v>
      </c>
      <c r="D674" s="53" t="s">
        <v>910</v>
      </c>
      <c r="E674" s="53" t="s">
        <v>1289</v>
      </c>
      <c r="F674" s="41" t="s">
        <v>791</v>
      </c>
      <c r="G674" s="38"/>
      <c r="H674" s="38"/>
      <c r="I674" s="39" t="e">
        <f t="shared" si="19"/>
        <v>#DIV/0!</v>
      </c>
    </row>
    <row r="675" spans="1:11" s="116" customFormat="1" ht="21.75" customHeight="1" hidden="1">
      <c r="A675" s="34" t="s">
        <v>1110</v>
      </c>
      <c r="B675" s="140"/>
      <c r="C675" s="53" t="s">
        <v>887</v>
      </c>
      <c r="D675" s="53" t="s">
        <v>910</v>
      </c>
      <c r="E675" s="53" t="s">
        <v>1289</v>
      </c>
      <c r="F675" s="41" t="s">
        <v>1203</v>
      </c>
      <c r="G675" s="71"/>
      <c r="H675" s="71"/>
      <c r="I675" s="39" t="e">
        <f t="shared" si="19"/>
        <v>#DIV/0!</v>
      </c>
      <c r="J675" s="115"/>
      <c r="K675" s="115"/>
    </row>
    <row r="676" spans="1:9" ht="18.75" customHeight="1" hidden="1">
      <c r="A676" s="40" t="s">
        <v>685</v>
      </c>
      <c r="B676" s="114"/>
      <c r="C676" s="73" t="s">
        <v>887</v>
      </c>
      <c r="D676" s="48" t="s">
        <v>910</v>
      </c>
      <c r="E676" s="53" t="s">
        <v>1289</v>
      </c>
      <c r="F676" s="42" t="s">
        <v>686</v>
      </c>
      <c r="G676" s="38"/>
      <c r="H676" s="38"/>
      <c r="I676" s="39" t="e">
        <f t="shared" si="19"/>
        <v>#DIV/0!</v>
      </c>
    </row>
    <row r="677" spans="1:9" ht="27.75" customHeight="1">
      <c r="A677" s="34" t="s">
        <v>1110</v>
      </c>
      <c r="B677" s="114"/>
      <c r="C677" s="48" t="s">
        <v>887</v>
      </c>
      <c r="D677" s="48" t="s">
        <v>910</v>
      </c>
      <c r="E677" s="48" t="s">
        <v>743</v>
      </c>
      <c r="F677" s="133" t="s">
        <v>1203</v>
      </c>
      <c r="G677" s="38">
        <f>SUM(G680,G681,G687)</f>
        <v>3903.1</v>
      </c>
      <c r="H677" s="38">
        <f>SUM(H680,H681,H687)</f>
        <v>3900.5</v>
      </c>
      <c r="I677" s="39">
        <f t="shared" si="19"/>
        <v>99.93338628269836</v>
      </c>
    </row>
    <row r="678" spans="1:11" ht="50.25" customHeight="1">
      <c r="A678" s="34" t="s">
        <v>901</v>
      </c>
      <c r="B678" s="140"/>
      <c r="C678" s="53" t="s">
        <v>887</v>
      </c>
      <c r="D678" s="53" t="s">
        <v>910</v>
      </c>
      <c r="E678" s="53" t="s">
        <v>902</v>
      </c>
      <c r="F678" s="41"/>
      <c r="G678" s="71">
        <f>SUM(G679)</f>
        <v>1782.5</v>
      </c>
      <c r="H678" s="71">
        <f>SUM(H679)</f>
        <v>1782.5</v>
      </c>
      <c r="I678" s="39">
        <f t="shared" si="19"/>
        <v>100</v>
      </c>
      <c r="J678"/>
      <c r="K678"/>
    </row>
    <row r="679" spans="1:11" ht="19.5" customHeight="1">
      <c r="A679" s="34" t="s">
        <v>903</v>
      </c>
      <c r="B679" s="140"/>
      <c r="C679" s="53" t="s">
        <v>887</v>
      </c>
      <c r="D679" s="53" t="s">
        <v>910</v>
      </c>
      <c r="E679" s="53" t="s">
        <v>902</v>
      </c>
      <c r="F679" s="41" t="s">
        <v>904</v>
      </c>
      <c r="G679" s="71">
        <v>1782.5</v>
      </c>
      <c r="H679" s="71">
        <v>1782.5</v>
      </c>
      <c r="I679" s="39">
        <f t="shared" si="19"/>
        <v>100</v>
      </c>
      <c r="J679">
        <f>SUM('[1]ведомствен.'!G397)</f>
        <v>1782.4999999999998</v>
      </c>
      <c r="K679">
        <f>SUM('[1]ведомствен.'!H397)</f>
        <v>1782.5</v>
      </c>
    </row>
    <row r="680" spans="1:11" s="135" customFormat="1" ht="42.75">
      <c r="A680" s="46" t="s">
        <v>1290</v>
      </c>
      <c r="B680" s="141"/>
      <c r="C680" s="48" t="s">
        <v>887</v>
      </c>
      <c r="D680" s="48" t="s">
        <v>910</v>
      </c>
      <c r="E680" s="48" t="s">
        <v>1291</v>
      </c>
      <c r="F680" s="133" t="s">
        <v>1203</v>
      </c>
      <c r="G680" s="71">
        <v>3431.4</v>
      </c>
      <c r="H680" s="71">
        <v>3430.9</v>
      </c>
      <c r="I680" s="39">
        <f t="shared" si="19"/>
        <v>99.98542868799906</v>
      </c>
      <c r="J680" s="134">
        <f>SUM('[1]ведомствен.'!G1159)</f>
        <v>3431.4</v>
      </c>
      <c r="K680" s="134">
        <f>SUM('[1]ведомствен.'!H1159)</f>
        <v>3430.9</v>
      </c>
    </row>
    <row r="681" spans="1:11" s="135" customFormat="1" ht="28.5">
      <c r="A681" s="46" t="s">
        <v>1292</v>
      </c>
      <c r="B681" s="141"/>
      <c r="C681" s="48" t="s">
        <v>887</v>
      </c>
      <c r="D681" s="48" t="s">
        <v>910</v>
      </c>
      <c r="E681" s="48" t="s">
        <v>1293</v>
      </c>
      <c r="F681" s="133" t="s">
        <v>1203</v>
      </c>
      <c r="G681" s="71">
        <v>395.5</v>
      </c>
      <c r="H681" s="71">
        <v>393.4</v>
      </c>
      <c r="I681" s="39">
        <f t="shared" si="19"/>
        <v>99.46902654867256</v>
      </c>
      <c r="J681" s="134">
        <f>SUM('[1]ведомствен.'!G1160)</f>
        <v>395.5</v>
      </c>
      <c r="K681" s="134">
        <f>SUM('[1]ведомствен.'!H1160)</f>
        <v>393.4</v>
      </c>
    </row>
    <row r="682" spans="1:11" s="135" customFormat="1" ht="28.5" hidden="1">
      <c r="A682" s="46" t="s">
        <v>1294</v>
      </c>
      <c r="B682" s="141"/>
      <c r="C682" s="48" t="s">
        <v>887</v>
      </c>
      <c r="D682" s="48" t="s">
        <v>910</v>
      </c>
      <c r="E682" s="48" t="s">
        <v>1295</v>
      </c>
      <c r="F682" s="133" t="s">
        <v>1203</v>
      </c>
      <c r="G682" s="71"/>
      <c r="H682" s="71"/>
      <c r="I682" s="39" t="e">
        <f t="shared" si="19"/>
        <v>#DIV/0!</v>
      </c>
      <c r="J682" s="134"/>
      <c r="K682" s="134"/>
    </row>
    <row r="683" spans="1:11" s="135" customFormat="1" ht="28.5" hidden="1">
      <c r="A683" s="46" t="s">
        <v>1296</v>
      </c>
      <c r="B683" s="141"/>
      <c r="C683" s="48" t="s">
        <v>887</v>
      </c>
      <c r="D683" s="48" t="s">
        <v>910</v>
      </c>
      <c r="E683" s="48" t="s">
        <v>1297</v>
      </c>
      <c r="F683" s="133" t="s">
        <v>1203</v>
      </c>
      <c r="G683" s="71"/>
      <c r="H683" s="71"/>
      <c r="I683" s="39" t="e">
        <f t="shared" si="19"/>
        <v>#DIV/0!</v>
      </c>
      <c r="J683" s="134"/>
      <c r="K683" s="134"/>
    </row>
    <row r="684" spans="1:11" s="135" customFormat="1" ht="28.5" hidden="1">
      <c r="A684" s="34" t="s">
        <v>1110</v>
      </c>
      <c r="B684" s="35"/>
      <c r="C684" s="53" t="s">
        <v>887</v>
      </c>
      <c r="D684" s="53" t="s">
        <v>910</v>
      </c>
      <c r="E684" s="53" t="s">
        <v>1214</v>
      </c>
      <c r="F684" s="133" t="s">
        <v>1203</v>
      </c>
      <c r="G684" s="71"/>
      <c r="H684" s="71"/>
      <c r="I684" s="39" t="e">
        <f t="shared" si="19"/>
        <v>#DIV/0!</v>
      </c>
      <c r="J684" s="134"/>
      <c r="K684" s="134"/>
    </row>
    <row r="685" spans="1:11" s="135" customFormat="1" ht="57" hidden="1">
      <c r="A685" s="93" t="s">
        <v>1298</v>
      </c>
      <c r="B685" s="35"/>
      <c r="C685" s="53" t="s">
        <v>887</v>
      </c>
      <c r="D685" s="53" t="s">
        <v>910</v>
      </c>
      <c r="E685" s="53" t="s">
        <v>1299</v>
      </c>
      <c r="F685" s="133" t="s">
        <v>1203</v>
      </c>
      <c r="G685" s="71">
        <f>SUM('[2]Ведомств.'!F701)</f>
        <v>0</v>
      </c>
      <c r="H685" s="71">
        <f>SUM('[2]Ведомств.'!G701)</f>
        <v>0</v>
      </c>
      <c r="I685" s="39" t="e">
        <f t="shared" si="19"/>
        <v>#DIV/0!</v>
      </c>
      <c r="J685" s="134"/>
      <c r="K685" s="134"/>
    </row>
    <row r="686" spans="1:11" s="135" customFormat="1" ht="30.75" customHeight="1">
      <c r="A686" s="93" t="s">
        <v>1300</v>
      </c>
      <c r="B686" s="35"/>
      <c r="C686" s="53" t="s">
        <v>887</v>
      </c>
      <c r="D686" s="53" t="s">
        <v>910</v>
      </c>
      <c r="E686" s="53" t="s">
        <v>1289</v>
      </c>
      <c r="F686" s="133"/>
      <c r="G686" s="71">
        <f>SUM(G687)</f>
        <v>76.2</v>
      </c>
      <c r="H686" s="71">
        <f>SUM(H687)</f>
        <v>76.2</v>
      </c>
      <c r="I686" s="39">
        <f t="shared" si="19"/>
        <v>100</v>
      </c>
      <c r="J686" s="134"/>
      <c r="K686" s="134"/>
    </row>
    <row r="687" spans="1:11" s="135" customFormat="1" ht="30.75" customHeight="1">
      <c r="A687" s="93" t="s">
        <v>1110</v>
      </c>
      <c r="B687" s="35"/>
      <c r="C687" s="53" t="s">
        <v>887</v>
      </c>
      <c r="D687" s="53" t="s">
        <v>910</v>
      </c>
      <c r="E687" s="53" t="s">
        <v>1289</v>
      </c>
      <c r="F687" s="133" t="s">
        <v>1203</v>
      </c>
      <c r="G687" s="71">
        <v>76.2</v>
      </c>
      <c r="H687" s="71">
        <v>76.2</v>
      </c>
      <c r="I687" s="39">
        <f t="shared" si="19"/>
        <v>100</v>
      </c>
      <c r="J687" s="134">
        <f>SUM('[1]ведомствен.'!G401)</f>
        <v>76.19999999999982</v>
      </c>
      <c r="K687" s="134">
        <f>SUM('[1]ведомствен.'!H401)</f>
        <v>76.2</v>
      </c>
    </row>
    <row r="688" spans="1:11" s="135" customFormat="1" ht="30.75" customHeight="1">
      <c r="A688" s="93" t="s">
        <v>1301</v>
      </c>
      <c r="B688" s="35"/>
      <c r="C688" s="53" t="s">
        <v>887</v>
      </c>
      <c r="D688" s="53" t="s">
        <v>910</v>
      </c>
      <c r="E688" s="53" t="s">
        <v>990</v>
      </c>
      <c r="F688" s="133"/>
      <c r="G688" s="71">
        <f>SUM(G689)</f>
        <v>1900</v>
      </c>
      <c r="H688" s="71">
        <f>SUM(H689)</f>
        <v>1722.9</v>
      </c>
      <c r="I688" s="39">
        <f t="shared" si="19"/>
        <v>90.67894736842106</v>
      </c>
      <c r="J688" s="134"/>
      <c r="K688" s="134"/>
    </row>
    <row r="689" spans="1:11" s="135" customFormat="1" ht="21.75" customHeight="1">
      <c r="A689" s="93" t="s">
        <v>790</v>
      </c>
      <c r="B689" s="35"/>
      <c r="C689" s="53" t="s">
        <v>887</v>
      </c>
      <c r="D689" s="53" t="s">
        <v>910</v>
      </c>
      <c r="E689" s="53" t="s">
        <v>990</v>
      </c>
      <c r="F689" s="133" t="s">
        <v>791</v>
      </c>
      <c r="G689" s="71">
        <v>1900</v>
      </c>
      <c r="H689" s="71">
        <v>1722.9</v>
      </c>
      <c r="I689" s="39">
        <f t="shared" si="19"/>
        <v>90.67894736842106</v>
      </c>
      <c r="J689" s="134">
        <f>SUM('[1]ведомствен.'!G405)</f>
        <v>1900</v>
      </c>
      <c r="K689" s="134">
        <f>SUM('[1]ведомствен.'!H405)</f>
        <v>1722.9</v>
      </c>
    </row>
    <row r="690" spans="1:11" s="143" customFormat="1" ht="21.75" customHeight="1">
      <c r="A690" s="58" t="s">
        <v>1302</v>
      </c>
      <c r="B690" s="59"/>
      <c r="C690" s="78" t="s">
        <v>910</v>
      </c>
      <c r="D690" s="78" t="s">
        <v>1303</v>
      </c>
      <c r="E690" s="78"/>
      <c r="F690" s="79"/>
      <c r="G690" s="62">
        <f>SUM(G691+G695+G706+G803+G821)</f>
        <v>741067.8999999999</v>
      </c>
      <c r="H690" s="62">
        <f>SUM(H691+H695+H706+H803+H821)</f>
        <v>724791.9999999999</v>
      </c>
      <c r="I690" s="63">
        <f t="shared" si="19"/>
        <v>97.80372351845223</v>
      </c>
      <c r="J690" s="142"/>
      <c r="K690" s="142"/>
    </row>
    <row r="691" spans="1:11" s="55" customFormat="1" ht="15">
      <c r="A691" s="46" t="s">
        <v>1304</v>
      </c>
      <c r="B691" s="35"/>
      <c r="C691" s="81" t="s">
        <v>910</v>
      </c>
      <c r="D691" s="81" t="s">
        <v>678</v>
      </c>
      <c r="E691" s="81"/>
      <c r="F691" s="68"/>
      <c r="G691" s="71">
        <f aca="true" t="shared" si="20" ref="G691:H693">SUM(G692)</f>
        <v>1657.3</v>
      </c>
      <c r="H691" s="71">
        <f t="shared" si="20"/>
        <v>1657.3</v>
      </c>
      <c r="I691" s="39">
        <f t="shared" si="19"/>
        <v>100</v>
      </c>
      <c r="J691" s="86"/>
      <c r="K691" s="86"/>
    </row>
    <row r="692" spans="1:11" s="55" customFormat="1" ht="28.5">
      <c r="A692" s="103" t="s">
        <v>1305</v>
      </c>
      <c r="B692" s="35"/>
      <c r="C692" s="36" t="s">
        <v>910</v>
      </c>
      <c r="D692" s="36" t="s">
        <v>678</v>
      </c>
      <c r="E692" s="36" t="s">
        <v>1306</v>
      </c>
      <c r="F692" s="68"/>
      <c r="G692" s="38">
        <f t="shared" si="20"/>
        <v>1657.3</v>
      </c>
      <c r="H692" s="38">
        <f t="shared" si="20"/>
        <v>1657.3</v>
      </c>
      <c r="I692" s="39">
        <f t="shared" si="19"/>
        <v>100</v>
      </c>
      <c r="J692" s="86"/>
      <c r="K692" s="86"/>
    </row>
    <row r="693" spans="1:11" s="55" customFormat="1" ht="28.5">
      <c r="A693" s="103" t="s">
        <v>1307</v>
      </c>
      <c r="B693" s="92"/>
      <c r="C693" s="36" t="s">
        <v>910</v>
      </c>
      <c r="D693" s="36" t="s">
        <v>678</v>
      </c>
      <c r="E693" s="36" t="s">
        <v>1308</v>
      </c>
      <c r="F693" s="68"/>
      <c r="G693" s="38">
        <f t="shared" si="20"/>
        <v>1657.3</v>
      </c>
      <c r="H693" s="38">
        <f t="shared" si="20"/>
        <v>1657.3</v>
      </c>
      <c r="I693" s="39">
        <f t="shared" si="19"/>
        <v>100</v>
      </c>
      <c r="J693" s="86"/>
      <c r="K693" s="86"/>
    </row>
    <row r="694" spans="1:11" s="55" customFormat="1" ht="15">
      <c r="A694" s="34" t="s">
        <v>879</v>
      </c>
      <c r="B694" s="35"/>
      <c r="C694" s="36" t="s">
        <v>910</v>
      </c>
      <c r="D694" s="36" t="s">
        <v>678</v>
      </c>
      <c r="E694" s="36" t="s">
        <v>1308</v>
      </c>
      <c r="F694" s="68" t="s">
        <v>880</v>
      </c>
      <c r="G694" s="38">
        <v>1657.3</v>
      </c>
      <c r="H694" s="38">
        <v>1657.3</v>
      </c>
      <c r="I694" s="39">
        <f t="shared" si="19"/>
        <v>100</v>
      </c>
      <c r="J694" s="86">
        <f>SUM('[1]ведомствен.'!G621)</f>
        <v>1657.3</v>
      </c>
      <c r="K694" s="86">
        <f>SUM('[1]ведомствен.'!H621)</f>
        <v>1657.3</v>
      </c>
    </row>
    <row r="695" spans="1:11" s="55" customFormat="1" ht="15">
      <c r="A695" s="34" t="s">
        <v>1309</v>
      </c>
      <c r="B695" s="35"/>
      <c r="C695" s="48" t="s">
        <v>910</v>
      </c>
      <c r="D695" s="48" t="s">
        <v>680</v>
      </c>
      <c r="E695" s="36"/>
      <c r="F695" s="68"/>
      <c r="G695" s="71">
        <f>SUM(G696+G701)</f>
        <v>25286.4</v>
      </c>
      <c r="H695" s="71">
        <f>SUM(H696+H701)</f>
        <v>25286.3</v>
      </c>
      <c r="I695" s="39">
        <f t="shared" si="19"/>
        <v>99.9996045304986</v>
      </c>
      <c r="J695" s="86"/>
      <c r="K695" s="86"/>
    </row>
    <row r="696" spans="1:11" s="55" customFormat="1" ht="15" customHeight="1" hidden="1">
      <c r="A696" s="144" t="s">
        <v>1310</v>
      </c>
      <c r="B696" s="35"/>
      <c r="C696" s="48" t="s">
        <v>910</v>
      </c>
      <c r="D696" s="48" t="s">
        <v>680</v>
      </c>
      <c r="E696" s="48" t="s">
        <v>1311</v>
      </c>
      <c r="F696" s="133"/>
      <c r="G696" s="71">
        <f>SUM(G697)+G699</f>
        <v>0</v>
      </c>
      <c r="H696" s="71">
        <f>SUM(H697)+H699</f>
        <v>0</v>
      </c>
      <c r="I696" s="39" t="e">
        <f t="shared" si="19"/>
        <v>#DIV/0!</v>
      </c>
      <c r="J696" s="86"/>
      <c r="K696" s="86"/>
    </row>
    <row r="697" spans="1:11" s="55" customFormat="1" ht="42.75" customHeight="1" hidden="1">
      <c r="A697" s="144" t="s">
        <v>1312</v>
      </c>
      <c r="B697" s="35"/>
      <c r="C697" s="53" t="s">
        <v>910</v>
      </c>
      <c r="D697" s="53" t="s">
        <v>680</v>
      </c>
      <c r="E697" s="53" t="s">
        <v>1313</v>
      </c>
      <c r="F697" s="41"/>
      <c r="G697" s="38">
        <f>SUM(G698)</f>
        <v>0</v>
      </c>
      <c r="H697" s="38">
        <f>SUM(H698)</f>
        <v>0</v>
      </c>
      <c r="I697" s="39" t="e">
        <f t="shared" si="19"/>
        <v>#DIV/0!</v>
      </c>
      <c r="J697" s="86"/>
      <c r="K697" s="86"/>
    </row>
    <row r="698" spans="1:11" s="55" customFormat="1" ht="17.25" customHeight="1" hidden="1">
      <c r="A698" s="51" t="s">
        <v>782</v>
      </c>
      <c r="B698" s="35"/>
      <c r="C698" s="53" t="s">
        <v>910</v>
      </c>
      <c r="D698" s="53" t="s">
        <v>680</v>
      </c>
      <c r="E698" s="53" t="s">
        <v>1313</v>
      </c>
      <c r="F698" s="133" t="s">
        <v>783</v>
      </c>
      <c r="G698" s="38"/>
      <c r="H698" s="38"/>
      <c r="I698" s="39" t="e">
        <f t="shared" si="19"/>
        <v>#DIV/0!</v>
      </c>
      <c r="J698" s="86"/>
      <c r="K698" s="86"/>
    </row>
    <row r="699" spans="1:11" s="55" customFormat="1" ht="31.5" customHeight="1" hidden="1">
      <c r="A699" s="144" t="s">
        <v>1314</v>
      </c>
      <c r="B699" s="35"/>
      <c r="C699" s="53" t="s">
        <v>910</v>
      </c>
      <c r="D699" s="53" t="s">
        <v>680</v>
      </c>
      <c r="E699" s="53" t="s">
        <v>1315</v>
      </c>
      <c r="F699" s="41"/>
      <c r="G699" s="38">
        <f>SUM(G700)</f>
        <v>0</v>
      </c>
      <c r="H699" s="38">
        <f>SUM(H700)</f>
        <v>0</v>
      </c>
      <c r="I699" s="39" t="e">
        <f t="shared" si="19"/>
        <v>#DIV/0!</v>
      </c>
      <c r="J699" s="86"/>
      <c r="K699" s="86"/>
    </row>
    <row r="700" spans="1:11" s="55" customFormat="1" ht="18.75" customHeight="1" hidden="1">
      <c r="A700" s="51" t="s">
        <v>782</v>
      </c>
      <c r="B700" s="35"/>
      <c r="C700" s="53" t="s">
        <v>910</v>
      </c>
      <c r="D700" s="53" t="s">
        <v>680</v>
      </c>
      <c r="E700" s="53" t="s">
        <v>1315</v>
      </c>
      <c r="F700" s="133" t="s">
        <v>783</v>
      </c>
      <c r="G700" s="38"/>
      <c r="H700" s="38"/>
      <c r="I700" s="39" t="e">
        <f t="shared" si="19"/>
        <v>#DIV/0!</v>
      </c>
      <c r="J700" s="86"/>
      <c r="K700" s="86"/>
    </row>
    <row r="701" spans="1:11" s="55" customFormat="1" ht="18.75" customHeight="1">
      <c r="A701" s="144" t="s">
        <v>1310</v>
      </c>
      <c r="B701" s="35"/>
      <c r="C701" s="48" t="s">
        <v>910</v>
      </c>
      <c r="D701" s="48" t="s">
        <v>680</v>
      </c>
      <c r="E701" s="48" t="s">
        <v>1316</v>
      </c>
      <c r="F701" s="133"/>
      <c r="G701" s="38">
        <f>SUM(G702+G704)</f>
        <v>25286.4</v>
      </c>
      <c r="H701" s="38">
        <f>SUM(H702+H704)</f>
        <v>25286.3</v>
      </c>
      <c r="I701" s="39">
        <f t="shared" si="19"/>
        <v>99.9996045304986</v>
      </c>
      <c r="J701" s="86"/>
      <c r="K701" s="86"/>
    </row>
    <row r="702" spans="1:11" s="55" customFormat="1" ht="30.75" customHeight="1">
      <c r="A702" s="51" t="s">
        <v>1314</v>
      </c>
      <c r="B702" s="35"/>
      <c r="C702" s="53" t="s">
        <v>910</v>
      </c>
      <c r="D702" s="53" t="s">
        <v>680</v>
      </c>
      <c r="E702" s="53" t="s">
        <v>1317</v>
      </c>
      <c r="F702" s="133"/>
      <c r="G702" s="38">
        <f>SUM(G703)</f>
        <v>446.2</v>
      </c>
      <c r="H702" s="38">
        <f>SUM(H703)</f>
        <v>446.1</v>
      </c>
      <c r="I702" s="39">
        <f t="shared" si="19"/>
        <v>99.97758852532498</v>
      </c>
      <c r="J702" s="86"/>
      <c r="K702" s="86"/>
    </row>
    <row r="703" spans="1:11" s="55" customFormat="1" ht="15" customHeight="1">
      <c r="A703" s="51" t="s">
        <v>782</v>
      </c>
      <c r="B703" s="35"/>
      <c r="C703" s="53" t="s">
        <v>910</v>
      </c>
      <c r="D703" s="53" t="s">
        <v>680</v>
      </c>
      <c r="E703" s="53" t="s">
        <v>1317</v>
      </c>
      <c r="F703" s="133" t="s">
        <v>783</v>
      </c>
      <c r="G703" s="38">
        <v>446.2</v>
      </c>
      <c r="H703" s="38">
        <v>446.1</v>
      </c>
      <c r="I703" s="39">
        <f t="shared" si="19"/>
        <v>99.97758852532498</v>
      </c>
      <c r="J703" s="86">
        <f>SUM('[1]ведомствен.'!G630)</f>
        <v>446.2</v>
      </c>
      <c r="K703" s="86">
        <f>SUM('[1]ведомствен.'!H630)</f>
        <v>446.1</v>
      </c>
    </row>
    <row r="704" spans="1:11" s="55" customFormat="1" ht="42.75" customHeight="1">
      <c r="A704" s="51" t="s">
        <v>1318</v>
      </c>
      <c r="B704" s="35"/>
      <c r="C704" s="53" t="s">
        <v>910</v>
      </c>
      <c r="D704" s="53" t="s">
        <v>680</v>
      </c>
      <c r="E704" s="53" t="s">
        <v>1319</v>
      </c>
      <c r="F704" s="133"/>
      <c r="G704" s="38">
        <f>SUM(G705)</f>
        <v>24840.2</v>
      </c>
      <c r="H704" s="38">
        <f>SUM(H705)</f>
        <v>24840.2</v>
      </c>
      <c r="I704" s="39">
        <f t="shared" si="19"/>
        <v>100</v>
      </c>
      <c r="J704" s="86"/>
      <c r="K704" s="86"/>
    </row>
    <row r="705" spans="1:11" s="55" customFormat="1" ht="15" customHeight="1">
      <c r="A705" s="51" t="s">
        <v>782</v>
      </c>
      <c r="B705" s="35"/>
      <c r="C705" s="53" t="s">
        <v>910</v>
      </c>
      <c r="D705" s="53" t="s">
        <v>680</v>
      </c>
      <c r="E705" s="53" t="s">
        <v>1319</v>
      </c>
      <c r="F705" s="133" t="s">
        <v>783</v>
      </c>
      <c r="G705" s="38">
        <v>24840.2</v>
      </c>
      <c r="H705" s="38">
        <v>24840.2</v>
      </c>
      <c r="I705" s="39">
        <f t="shared" si="19"/>
        <v>100</v>
      </c>
      <c r="J705" s="86">
        <f>SUM('[1]ведомствен.'!G632)</f>
        <v>24840.2</v>
      </c>
      <c r="K705" s="86">
        <f>SUM('[1]ведомствен.'!H632)</f>
        <v>24840.2</v>
      </c>
    </row>
    <row r="706" spans="1:11" s="55" customFormat="1" ht="14.25" customHeight="1">
      <c r="A706" s="46" t="s">
        <v>1320</v>
      </c>
      <c r="B706" s="35"/>
      <c r="C706" s="81" t="s">
        <v>910</v>
      </c>
      <c r="D706" s="81" t="s">
        <v>688</v>
      </c>
      <c r="E706" s="81"/>
      <c r="F706" s="68"/>
      <c r="G706" s="71">
        <f>SUM(G710+G713+G786+G789+G796+G707)</f>
        <v>651375.9</v>
      </c>
      <c r="H706" s="71">
        <f>SUM(H710+H713+H786+H789+H796+H707)</f>
        <v>638054.8999999999</v>
      </c>
      <c r="I706" s="39">
        <f t="shared" si="19"/>
        <v>97.95494429560564</v>
      </c>
      <c r="J706" s="86"/>
      <c r="K706" s="86"/>
    </row>
    <row r="707" spans="1:11" s="55" customFormat="1" ht="14.25" customHeight="1">
      <c r="A707" s="34" t="s">
        <v>769</v>
      </c>
      <c r="B707" s="35"/>
      <c r="C707" s="81" t="s">
        <v>910</v>
      </c>
      <c r="D707" s="81" t="s">
        <v>688</v>
      </c>
      <c r="E707" s="36" t="s">
        <v>771</v>
      </c>
      <c r="F707" s="37"/>
      <c r="G707" s="38">
        <f>SUM(G709)</f>
        <v>200</v>
      </c>
      <c r="H707" s="38">
        <f>SUM(H709)</f>
        <v>200</v>
      </c>
      <c r="I707" s="39">
        <f t="shared" si="19"/>
        <v>100</v>
      </c>
      <c r="J707" s="86"/>
      <c r="K707" s="86"/>
    </row>
    <row r="708" spans="1:11" s="55" customFormat="1" ht="14.25" customHeight="1">
      <c r="A708" s="34" t="s">
        <v>740</v>
      </c>
      <c r="B708" s="35"/>
      <c r="C708" s="81" t="s">
        <v>910</v>
      </c>
      <c r="D708" s="81" t="s">
        <v>688</v>
      </c>
      <c r="E708" s="36" t="s">
        <v>741</v>
      </c>
      <c r="F708" s="37"/>
      <c r="G708" s="38">
        <f>SUM(G709)</f>
        <v>200</v>
      </c>
      <c r="H708" s="38">
        <f>SUM(H709)</f>
        <v>200</v>
      </c>
      <c r="I708" s="39">
        <f t="shared" si="19"/>
        <v>100</v>
      </c>
      <c r="J708" s="86"/>
      <c r="K708" s="86"/>
    </row>
    <row r="709" spans="1:11" s="55" customFormat="1" ht="14.25" customHeight="1">
      <c r="A709" s="34" t="s">
        <v>879</v>
      </c>
      <c r="B709" s="52"/>
      <c r="C709" s="81" t="s">
        <v>910</v>
      </c>
      <c r="D709" s="81" t="s">
        <v>688</v>
      </c>
      <c r="E709" s="36" t="s">
        <v>741</v>
      </c>
      <c r="F709" s="41" t="s">
        <v>880</v>
      </c>
      <c r="G709" s="38">
        <v>200</v>
      </c>
      <c r="H709" s="38">
        <v>200</v>
      </c>
      <c r="I709" s="39">
        <f t="shared" si="19"/>
        <v>100</v>
      </c>
      <c r="J709" s="86">
        <f>SUM('[1]ведомствен.'!G636)</f>
        <v>200</v>
      </c>
      <c r="K709" s="86">
        <f>SUM('[1]ведомствен.'!H636)</f>
        <v>200</v>
      </c>
    </row>
    <row r="710" spans="1:9" ht="31.5" customHeight="1">
      <c r="A710" s="54" t="s">
        <v>1321</v>
      </c>
      <c r="B710" s="35"/>
      <c r="C710" s="36" t="s">
        <v>910</v>
      </c>
      <c r="D710" s="53" t="s">
        <v>688</v>
      </c>
      <c r="E710" s="36" t="s">
        <v>1047</v>
      </c>
      <c r="F710" s="37"/>
      <c r="G710" s="38">
        <f>SUM(G711)</f>
        <v>2387.8</v>
      </c>
      <c r="H710" s="38">
        <f>SUM(H711)</f>
        <v>2387.8</v>
      </c>
      <c r="I710" s="39">
        <f>SUM(H710/G710*100)</f>
        <v>100</v>
      </c>
    </row>
    <row r="711" spans="1:9" ht="28.5" customHeight="1">
      <c r="A711" s="54" t="s">
        <v>1322</v>
      </c>
      <c r="B711" s="35"/>
      <c r="C711" s="36" t="s">
        <v>910</v>
      </c>
      <c r="D711" s="53" t="s">
        <v>688</v>
      </c>
      <c r="E711" s="36" t="s">
        <v>1323</v>
      </c>
      <c r="F711" s="37"/>
      <c r="G711" s="38">
        <f>SUM(G712)</f>
        <v>2387.8</v>
      </c>
      <c r="H711" s="38">
        <f>SUM(H712)</f>
        <v>2387.8</v>
      </c>
      <c r="I711" s="39">
        <f>SUM(H711/G711*100)</f>
        <v>100</v>
      </c>
    </row>
    <row r="712" spans="1:11" ht="23.25" customHeight="1">
      <c r="A712" s="54" t="s">
        <v>1324</v>
      </c>
      <c r="B712" s="35"/>
      <c r="C712" s="36" t="s">
        <v>910</v>
      </c>
      <c r="D712" s="53" t="s">
        <v>688</v>
      </c>
      <c r="E712" s="36" t="s">
        <v>1323</v>
      </c>
      <c r="F712" s="37" t="s">
        <v>1325</v>
      </c>
      <c r="G712" s="38">
        <v>2387.8</v>
      </c>
      <c r="H712" s="38">
        <v>2387.8</v>
      </c>
      <c r="I712" s="39">
        <f>SUM(H712/G712*100)</f>
        <v>100</v>
      </c>
      <c r="J712" s="6">
        <f>SUM('[1]ведомствен.'!G413+'[1]ведомствен.'!G793)</f>
        <v>2387.8</v>
      </c>
      <c r="K712" s="6">
        <f>SUM('[1]ведомствен.'!H413+'[1]ведомствен.'!H793)</f>
        <v>2387.8</v>
      </c>
    </row>
    <row r="713" spans="1:9" ht="18" customHeight="1">
      <c r="A713" s="34" t="s">
        <v>1326</v>
      </c>
      <c r="B713" s="35"/>
      <c r="C713" s="36" t="s">
        <v>910</v>
      </c>
      <c r="D713" s="36" t="s">
        <v>688</v>
      </c>
      <c r="E713" s="36" t="s">
        <v>1327</v>
      </c>
      <c r="F713" s="37"/>
      <c r="G713" s="38">
        <f>SUM(G714+G716+G718+G728+G730+G746+G750+G755+G757+G759+G780)+G784+G732+G734+G740+G742+G748+G753+G727+G738+G736+G744+G723+G725+G720</f>
        <v>634556.9</v>
      </c>
      <c r="H713" s="38">
        <f>SUM(H714+H716+H718+H728+H730+H746+H750+H755+H757+H759+H780)+H784+H732+H734+H740+H742+H748+H753+H727+H738+H736+H744+H723+H725+H720</f>
        <v>621384.4999999999</v>
      </c>
      <c r="I713" s="39">
        <f t="shared" si="19"/>
        <v>97.924157786323</v>
      </c>
    </row>
    <row r="714" spans="1:9" ht="55.5" customHeight="1" hidden="1">
      <c r="A714" s="145" t="s">
        <v>1328</v>
      </c>
      <c r="B714" s="35"/>
      <c r="C714" s="36" t="s">
        <v>910</v>
      </c>
      <c r="D714" s="36" t="s">
        <v>688</v>
      </c>
      <c r="E714" s="36" t="s">
        <v>1329</v>
      </c>
      <c r="F714" s="37"/>
      <c r="G714" s="38">
        <f>SUM(G715:G715)</f>
        <v>0</v>
      </c>
      <c r="H714" s="38">
        <f>SUM(H715:H715)</f>
        <v>0</v>
      </c>
      <c r="I714" s="39" t="e">
        <f t="shared" si="19"/>
        <v>#DIV/0!</v>
      </c>
    </row>
    <row r="715" spans="1:9" ht="20.25" customHeight="1" hidden="1">
      <c r="A715" s="34" t="s">
        <v>879</v>
      </c>
      <c r="B715" s="35"/>
      <c r="C715" s="36" t="s">
        <v>910</v>
      </c>
      <c r="D715" s="36" t="s">
        <v>688</v>
      </c>
      <c r="E715" s="36" t="s">
        <v>1329</v>
      </c>
      <c r="F715" s="37" t="s">
        <v>880</v>
      </c>
      <c r="G715" s="38"/>
      <c r="H715" s="38"/>
      <c r="I715" s="39" t="e">
        <f t="shared" si="19"/>
        <v>#DIV/0!</v>
      </c>
    </row>
    <row r="716" spans="1:11" s="55" customFormat="1" ht="42.75" customHeight="1" hidden="1">
      <c r="A716" s="34" t="s">
        <v>1330</v>
      </c>
      <c r="B716" s="35"/>
      <c r="C716" s="36" t="s">
        <v>910</v>
      </c>
      <c r="D716" s="36" t="s">
        <v>688</v>
      </c>
      <c r="E716" s="36" t="s">
        <v>1331</v>
      </c>
      <c r="F716" s="37"/>
      <c r="G716" s="38">
        <f>SUM(G717:G717)</f>
        <v>0</v>
      </c>
      <c r="H716" s="38">
        <f>SUM(H717:H717)</f>
        <v>0</v>
      </c>
      <c r="I716" s="39" t="e">
        <f t="shared" si="19"/>
        <v>#DIV/0!</v>
      </c>
      <c r="J716" s="86"/>
      <c r="K716" s="86"/>
    </row>
    <row r="717" spans="1:11" s="55" customFormat="1" ht="15" customHeight="1" hidden="1">
      <c r="A717" s="34" t="s">
        <v>879</v>
      </c>
      <c r="B717" s="35"/>
      <c r="C717" s="36" t="s">
        <v>910</v>
      </c>
      <c r="D717" s="36" t="s">
        <v>688</v>
      </c>
      <c r="E717" s="36" t="s">
        <v>1331</v>
      </c>
      <c r="F717" s="37" t="s">
        <v>880</v>
      </c>
      <c r="G717" s="38"/>
      <c r="H717" s="38"/>
      <c r="I717" s="39" t="e">
        <f t="shared" si="19"/>
        <v>#DIV/0!</v>
      </c>
      <c r="J717" s="86"/>
      <c r="K717" s="86"/>
    </row>
    <row r="718" spans="1:11" s="55" customFormat="1" ht="42.75" customHeight="1" hidden="1">
      <c r="A718" s="34" t="s">
        <v>1332</v>
      </c>
      <c r="B718" s="43"/>
      <c r="C718" s="53" t="s">
        <v>910</v>
      </c>
      <c r="D718" s="36" t="s">
        <v>688</v>
      </c>
      <c r="E718" s="36" t="s">
        <v>1333</v>
      </c>
      <c r="F718" s="37"/>
      <c r="G718" s="38">
        <f>SUM(G719)</f>
        <v>0</v>
      </c>
      <c r="H718" s="38">
        <f>SUM(H719)</f>
        <v>0</v>
      </c>
      <c r="I718" s="39" t="e">
        <f t="shared" si="19"/>
        <v>#DIV/0!</v>
      </c>
      <c r="J718" s="86"/>
      <c r="K718" s="86"/>
    </row>
    <row r="719" spans="1:11" s="55" customFormat="1" ht="23.25" customHeight="1" hidden="1">
      <c r="A719" s="34" t="s">
        <v>879</v>
      </c>
      <c r="B719" s="43"/>
      <c r="C719" s="53" t="s">
        <v>910</v>
      </c>
      <c r="D719" s="36" t="s">
        <v>688</v>
      </c>
      <c r="E719" s="36" t="s">
        <v>1333</v>
      </c>
      <c r="F719" s="37" t="s">
        <v>880</v>
      </c>
      <c r="G719" s="38"/>
      <c r="H719" s="38"/>
      <c r="I719" s="39" t="e">
        <f aca="true" t="shared" si="21" ref="I719:I782">SUM(H719/G719*100)</f>
        <v>#DIV/0!</v>
      </c>
      <c r="J719" s="86"/>
      <c r="K719" s="86"/>
    </row>
    <row r="720" spans="1:11" s="55" customFormat="1" ht="60" customHeight="1">
      <c r="A720" s="57" t="s">
        <v>1334</v>
      </c>
      <c r="B720" s="43"/>
      <c r="C720" s="36" t="s">
        <v>910</v>
      </c>
      <c r="D720" s="53" t="s">
        <v>688</v>
      </c>
      <c r="E720" s="36" t="s">
        <v>1335</v>
      </c>
      <c r="F720" s="37"/>
      <c r="G720" s="38">
        <f>SUM(G721)</f>
        <v>378.4</v>
      </c>
      <c r="H720" s="38">
        <f>SUM(H721)</f>
        <v>378.2</v>
      </c>
      <c r="I720" s="39">
        <f t="shared" si="21"/>
        <v>99.94714587737845</v>
      </c>
      <c r="J720" s="86"/>
      <c r="K720" s="86"/>
    </row>
    <row r="721" spans="1:11" s="55" customFormat="1" ht="19.5" customHeight="1">
      <c r="A721" s="34" t="s">
        <v>879</v>
      </c>
      <c r="B721" s="43"/>
      <c r="C721" s="53" t="s">
        <v>910</v>
      </c>
      <c r="D721" s="36" t="s">
        <v>688</v>
      </c>
      <c r="E721" s="36" t="s">
        <v>1335</v>
      </c>
      <c r="F721" s="37" t="s">
        <v>880</v>
      </c>
      <c r="G721" s="38">
        <v>378.4</v>
      </c>
      <c r="H721" s="38">
        <v>378.2</v>
      </c>
      <c r="I721" s="39">
        <f t="shared" si="21"/>
        <v>99.94714587737845</v>
      </c>
      <c r="J721" s="86">
        <f>SUM('[1]ведомствен.'!G36)</f>
        <v>378.4</v>
      </c>
      <c r="K721" s="86">
        <f>SUM('[1]ведомствен.'!H36)</f>
        <v>378.2</v>
      </c>
    </row>
    <row r="722" spans="1:11" s="55" customFormat="1" ht="60" customHeight="1" hidden="1">
      <c r="A722" s="57" t="s">
        <v>1334</v>
      </c>
      <c r="B722" s="43"/>
      <c r="C722" s="36" t="s">
        <v>910</v>
      </c>
      <c r="D722" s="53" t="s">
        <v>688</v>
      </c>
      <c r="E722" s="36" t="s">
        <v>1335</v>
      </c>
      <c r="F722" s="37"/>
      <c r="G722" s="38"/>
      <c r="H722" s="38"/>
      <c r="I722" s="39" t="e">
        <f t="shared" si="21"/>
        <v>#DIV/0!</v>
      </c>
      <c r="J722" s="86"/>
      <c r="K722" s="86"/>
    </row>
    <row r="723" spans="1:11" s="55" customFormat="1" ht="105" customHeight="1">
      <c r="A723" s="34" t="s">
        <v>1336</v>
      </c>
      <c r="B723" s="43"/>
      <c r="C723" s="53" t="s">
        <v>910</v>
      </c>
      <c r="D723" s="36" t="s">
        <v>688</v>
      </c>
      <c r="E723" s="36" t="s">
        <v>1337</v>
      </c>
      <c r="F723" s="37"/>
      <c r="G723" s="38">
        <f>SUM(G724)</f>
        <v>1086.4</v>
      </c>
      <c r="H723" s="38">
        <f>SUM(H724)</f>
        <v>985.6</v>
      </c>
      <c r="I723" s="39">
        <f t="shared" si="21"/>
        <v>90.72164948453609</v>
      </c>
      <c r="J723" s="86"/>
      <c r="K723" s="86"/>
    </row>
    <row r="724" spans="1:11" s="55" customFormat="1" ht="16.5" customHeight="1">
      <c r="A724" s="34" t="s">
        <v>879</v>
      </c>
      <c r="B724" s="43"/>
      <c r="C724" s="53" t="s">
        <v>910</v>
      </c>
      <c r="D724" s="36" t="s">
        <v>688</v>
      </c>
      <c r="E724" s="36" t="s">
        <v>1337</v>
      </c>
      <c r="F724" s="37" t="s">
        <v>880</v>
      </c>
      <c r="G724" s="38">
        <v>1086.4</v>
      </c>
      <c r="H724" s="38">
        <v>985.6</v>
      </c>
      <c r="I724" s="39">
        <f t="shared" si="21"/>
        <v>90.72164948453609</v>
      </c>
      <c r="J724" s="86">
        <f>SUM('[1]ведомствен.'!G645)</f>
        <v>1086.4</v>
      </c>
      <c r="K724" s="86">
        <f>SUM('[1]ведомствен.'!H645)</f>
        <v>985.6</v>
      </c>
    </row>
    <row r="725" spans="1:11" s="55" customFormat="1" ht="60" customHeight="1">
      <c r="A725" s="34" t="s">
        <v>1338</v>
      </c>
      <c r="B725" s="43"/>
      <c r="C725" s="53" t="s">
        <v>910</v>
      </c>
      <c r="D725" s="36" t="s">
        <v>688</v>
      </c>
      <c r="E725" s="36" t="s">
        <v>1339</v>
      </c>
      <c r="F725" s="37"/>
      <c r="G725" s="38">
        <f>SUM(G726)</f>
        <v>664.2</v>
      </c>
      <c r="H725" s="38">
        <f>SUM(H726)</f>
        <v>635</v>
      </c>
      <c r="I725" s="39">
        <f t="shared" si="21"/>
        <v>95.60373381511592</v>
      </c>
      <c r="J725" s="86"/>
      <c r="K725" s="86"/>
    </row>
    <row r="726" spans="1:11" s="55" customFormat="1" ht="22.5" customHeight="1">
      <c r="A726" s="34" t="s">
        <v>879</v>
      </c>
      <c r="B726" s="43"/>
      <c r="C726" s="53" t="s">
        <v>910</v>
      </c>
      <c r="D726" s="36" t="s">
        <v>688</v>
      </c>
      <c r="E726" s="36" t="s">
        <v>1339</v>
      </c>
      <c r="F726" s="37" t="s">
        <v>880</v>
      </c>
      <c r="G726" s="38">
        <f>654.2+10</f>
        <v>664.2</v>
      </c>
      <c r="H726" s="38">
        <v>635</v>
      </c>
      <c r="I726" s="39">
        <f t="shared" si="21"/>
        <v>95.60373381511592</v>
      </c>
      <c r="J726" s="86">
        <f>SUM('[1]ведомствен.'!G647)</f>
        <v>664.2</v>
      </c>
      <c r="K726" s="86">
        <f>SUM('[1]ведомствен.'!H647)</f>
        <v>635</v>
      </c>
    </row>
    <row r="727" spans="1:11" s="55" customFormat="1" ht="21" customHeight="1" hidden="1">
      <c r="A727" s="34" t="s">
        <v>879</v>
      </c>
      <c r="B727" s="123"/>
      <c r="C727" s="53" t="s">
        <v>910</v>
      </c>
      <c r="D727" s="53" t="s">
        <v>688</v>
      </c>
      <c r="E727" s="36" t="s">
        <v>1335</v>
      </c>
      <c r="F727" s="133" t="s">
        <v>880</v>
      </c>
      <c r="G727" s="38"/>
      <c r="H727" s="38"/>
      <c r="I727" s="39" t="e">
        <f t="shared" si="21"/>
        <v>#DIV/0!</v>
      </c>
      <c r="J727" s="86"/>
      <c r="K727" s="86"/>
    </row>
    <row r="728" spans="1:11" s="55" customFormat="1" ht="71.25">
      <c r="A728" s="54" t="s">
        <v>1340</v>
      </c>
      <c r="B728" s="35"/>
      <c r="C728" s="53" t="s">
        <v>910</v>
      </c>
      <c r="D728" s="36" t="s">
        <v>688</v>
      </c>
      <c r="E728" s="36" t="s">
        <v>1341</v>
      </c>
      <c r="F728" s="37"/>
      <c r="G728" s="38">
        <f>SUM(G729)</f>
        <v>1864.4</v>
      </c>
      <c r="H728" s="38">
        <f>SUM(H729)</f>
        <v>1864.4</v>
      </c>
      <c r="I728" s="39">
        <f t="shared" si="21"/>
        <v>100</v>
      </c>
      <c r="J728" s="86"/>
      <c r="K728" s="86"/>
    </row>
    <row r="729" spans="1:11" s="55" customFormat="1" ht="15">
      <c r="A729" s="34" t="s">
        <v>879</v>
      </c>
      <c r="B729" s="35"/>
      <c r="C729" s="53" t="s">
        <v>910</v>
      </c>
      <c r="D729" s="36" t="s">
        <v>688</v>
      </c>
      <c r="E729" s="36" t="s">
        <v>1341</v>
      </c>
      <c r="F729" s="37" t="s">
        <v>880</v>
      </c>
      <c r="G729" s="38">
        <f>1404.4+460</f>
        <v>1864.4</v>
      </c>
      <c r="H729" s="38">
        <f>1404.4+460</f>
        <v>1864.4</v>
      </c>
      <c r="I729" s="39">
        <f t="shared" si="21"/>
        <v>100</v>
      </c>
      <c r="J729" s="86">
        <f>SUM('[1]ведомствен.'!G649)</f>
        <v>1864.4</v>
      </c>
      <c r="K729" s="86">
        <f>SUM('[1]ведомствен.'!H649)</f>
        <v>1864.4</v>
      </c>
    </row>
    <row r="730" spans="1:11" s="55" customFormat="1" ht="42.75">
      <c r="A730" s="103" t="s">
        <v>1342</v>
      </c>
      <c r="B730" s="35"/>
      <c r="C730" s="53" t="s">
        <v>910</v>
      </c>
      <c r="D730" s="36" t="s">
        <v>688</v>
      </c>
      <c r="E730" s="36" t="s">
        <v>1343</v>
      </c>
      <c r="F730" s="37"/>
      <c r="G730" s="38">
        <f>SUM(G731)</f>
        <v>8908</v>
      </c>
      <c r="H730" s="38">
        <f>SUM(H731)</f>
        <v>8809.3</v>
      </c>
      <c r="I730" s="39">
        <f t="shared" si="21"/>
        <v>98.8920071845532</v>
      </c>
      <c r="J730" s="86"/>
      <c r="K730" s="86"/>
    </row>
    <row r="731" spans="1:11" s="55" customFormat="1" ht="15">
      <c r="A731" s="34" t="s">
        <v>879</v>
      </c>
      <c r="B731" s="35"/>
      <c r="C731" s="53" t="s">
        <v>910</v>
      </c>
      <c r="D731" s="36" t="s">
        <v>688</v>
      </c>
      <c r="E731" s="36" t="s">
        <v>1343</v>
      </c>
      <c r="F731" s="37" t="s">
        <v>880</v>
      </c>
      <c r="G731" s="38">
        <v>8908</v>
      </c>
      <c r="H731" s="38">
        <v>8809.3</v>
      </c>
      <c r="I731" s="39">
        <f t="shared" si="21"/>
        <v>98.8920071845532</v>
      </c>
      <c r="J731" s="86">
        <f>SUM('[1]ведомствен.'!G651)</f>
        <v>8908</v>
      </c>
      <c r="K731" s="86">
        <f>SUM('[1]ведомствен.'!H651)</f>
        <v>8809.3</v>
      </c>
    </row>
    <row r="732" spans="1:11" s="55" customFormat="1" ht="57" customHeight="1">
      <c r="A732" s="34" t="s">
        <v>350</v>
      </c>
      <c r="B732" s="35"/>
      <c r="C732" s="53" t="s">
        <v>910</v>
      </c>
      <c r="D732" s="36" t="s">
        <v>688</v>
      </c>
      <c r="E732" s="36" t="s">
        <v>351</v>
      </c>
      <c r="F732" s="37"/>
      <c r="G732" s="38">
        <f>SUM(G733)</f>
        <v>25032.4</v>
      </c>
      <c r="H732" s="38">
        <f>SUM(H733)</f>
        <v>25032.4</v>
      </c>
      <c r="I732" s="39">
        <f t="shared" si="21"/>
        <v>100</v>
      </c>
      <c r="J732" s="86"/>
      <c r="K732" s="86"/>
    </row>
    <row r="733" spans="1:11" s="55" customFormat="1" ht="18.75" customHeight="1">
      <c r="A733" s="34" t="s">
        <v>879</v>
      </c>
      <c r="B733" s="35"/>
      <c r="C733" s="53" t="s">
        <v>910</v>
      </c>
      <c r="D733" s="36" t="s">
        <v>688</v>
      </c>
      <c r="E733" s="36" t="s">
        <v>351</v>
      </c>
      <c r="F733" s="37" t="s">
        <v>880</v>
      </c>
      <c r="G733" s="38">
        <v>25032.4</v>
      </c>
      <c r="H733" s="38">
        <v>25032.4</v>
      </c>
      <c r="I733" s="39">
        <f t="shared" si="21"/>
        <v>100</v>
      </c>
      <c r="J733" s="86">
        <f>SUM('[1]ведомствен.'!G653)</f>
        <v>25032.4</v>
      </c>
      <c r="K733" s="86">
        <f>SUM('[1]ведомствен.'!H653)</f>
        <v>25032.4</v>
      </c>
    </row>
    <row r="734" spans="1:11" s="55" customFormat="1" ht="72" customHeight="1">
      <c r="A734" s="34" t="s">
        <v>352</v>
      </c>
      <c r="B734" s="35"/>
      <c r="C734" s="53" t="s">
        <v>910</v>
      </c>
      <c r="D734" s="36" t="s">
        <v>688</v>
      </c>
      <c r="E734" s="36" t="s">
        <v>353</v>
      </c>
      <c r="F734" s="37"/>
      <c r="G734" s="38">
        <f>SUM(G735)</f>
        <v>18414</v>
      </c>
      <c r="H734" s="38">
        <f>SUM(H735)</f>
        <v>17559.4</v>
      </c>
      <c r="I734" s="39">
        <f t="shared" si="21"/>
        <v>95.3589660041273</v>
      </c>
      <c r="J734" s="86"/>
      <c r="K734" s="86"/>
    </row>
    <row r="735" spans="1:11" s="55" customFormat="1" ht="20.25" customHeight="1">
      <c r="A735" s="34" t="s">
        <v>879</v>
      </c>
      <c r="B735" s="35"/>
      <c r="C735" s="53" t="s">
        <v>910</v>
      </c>
      <c r="D735" s="36" t="s">
        <v>688</v>
      </c>
      <c r="E735" s="36" t="s">
        <v>353</v>
      </c>
      <c r="F735" s="37" t="s">
        <v>880</v>
      </c>
      <c r="G735" s="38">
        <v>18414</v>
      </c>
      <c r="H735" s="38">
        <v>17559.4</v>
      </c>
      <c r="I735" s="39">
        <f t="shared" si="21"/>
        <v>95.3589660041273</v>
      </c>
      <c r="J735" s="86">
        <f>SUM('[1]ведомствен.'!G655)</f>
        <v>18414</v>
      </c>
      <c r="K735" s="86">
        <f>SUM('[1]ведомствен.'!H655)</f>
        <v>17559.4</v>
      </c>
    </row>
    <row r="736" spans="1:11" s="106" customFormat="1" ht="89.25" customHeight="1">
      <c r="A736" s="34" t="s">
        <v>354</v>
      </c>
      <c r="B736" s="35"/>
      <c r="C736" s="53" t="s">
        <v>910</v>
      </c>
      <c r="D736" s="36" t="s">
        <v>688</v>
      </c>
      <c r="E736" s="36" t="s">
        <v>355</v>
      </c>
      <c r="F736" s="37"/>
      <c r="G736" s="38">
        <f>SUM(G737)</f>
        <v>64667.1</v>
      </c>
      <c r="H736" s="38">
        <f>SUM(H737)</f>
        <v>64667.1</v>
      </c>
      <c r="I736" s="39">
        <f t="shared" si="21"/>
        <v>100</v>
      </c>
      <c r="J736" s="129"/>
      <c r="K736" s="129"/>
    </row>
    <row r="737" spans="1:11" s="106" customFormat="1" ht="21.75" customHeight="1">
      <c r="A737" s="34" t="s">
        <v>879</v>
      </c>
      <c r="B737" s="35"/>
      <c r="C737" s="53" t="s">
        <v>910</v>
      </c>
      <c r="D737" s="36" t="s">
        <v>688</v>
      </c>
      <c r="E737" s="36" t="s">
        <v>355</v>
      </c>
      <c r="F737" s="37" t="s">
        <v>880</v>
      </c>
      <c r="G737" s="38">
        <v>64667.1</v>
      </c>
      <c r="H737" s="38">
        <v>64667.1</v>
      </c>
      <c r="I737" s="39">
        <f t="shared" si="21"/>
        <v>100</v>
      </c>
      <c r="J737" s="86">
        <f>SUM('[1]ведомствен.'!G657)</f>
        <v>64667.1</v>
      </c>
      <c r="K737" s="86">
        <f>SUM('[1]ведомствен.'!H657)</f>
        <v>64667.1</v>
      </c>
    </row>
    <row r="738" spans="1:11" s="55" customFormat="1" ht="44.25" customHeight="1">
      <c r="A738" s="34" t="s">
        <v>356</v>
      </c>
      <c r="B738" s="35"/>
      <c r="C738" s="53" t="s">
        <v>910</v>
      </c>
      <c r="D738" s="36" t="s">
        <v>688</v>
      </c>
      <c r="E738" s="36" t="s">
        <v>357</v>
      </c>
      <c r="F738" s="37"/>
      <c r="G738" s="38">
        <f>SUM(G739)</f>
        <v>4349.5</v>
      </c>
      <c r="H738" s="38">
        <f>SUM(H739)</f>
        <v>697.6</v>
      </c>
      <c r="I738" s="39">
        <f t="shared" si="21"/>
        <v>16.038625129325208</v>
      </c>
      <c r="J738" s="86"/>
      <c r="K738" s="86"/>
    </row>
    <row r="739" spans="1:11" s="55" customFormat="1" ht="20.25" customHeight="1">
      <c r="A739" s="34" t="s">
        <v>879</v>
      </c>
      <c r="B739" s="35"/>
      <c r="C739" s="53" t="s">
        <v>910</v>
      </c>
      <c r="D739" s="36" t="s">
        <v>688</v>
      </c>
      <c r="E739" s="36" t="s">
        <v>357</v>
      </c>
      <c r="F739" s="37" t="s">
        <v>880</v>
      </c>
      <c r="G739" s="38">
        <f>6681.7-2332.2</f>
        <v>4349.5</v>
      </c>
      <c r="H739" s="38">
        <v>697.6</v>
      </c>
      <c r="I739" s="39">
        <f t="shared" si="21"/>
        <v>16.038625129325208</v>
      </c>
      <c r="J739" s="86">
        <f>SUM('[1]ведомствен.'!G659)</f>
        <v>4349.5</v>
      </c>
      <c r="K739" s="86">
        <f>SUM('[1]ведомствен.'!H659)</f>
        <v>697.6</v>
      </c>
    </row>
    <row r="740" spans="1:11" s="55" customFormat="1" ht="60.75" customHeight="1">
      <c r="A740" s="34" t="s">
        <v>358</v>
      </c>
      <c r="B740" s="35"/>
      <c r="C740" s="53" t="s">
        <v>910</v>
      </c>
      <c r="D740" s="36" t="s">
        <v>688</v>
      </c>
      <c r="E740" s="36" t="s">
        <v>359</v>
      </c>
      <c r="F740" s="37"/>
      <c r="G740" s="38">
        <f>SUM(G741)</f>
        <v>6540.5</v>
      </c>
      <c r="H740" s="38">
        <f>SUM(H741)</f>
        <v>5477.2</v>
      </c>
      <c r="I740" s="39">
        <f t="shared" si="21"/>
        <v>83.74283311673419</v>
      </c>
      <c r="J740" s="86"/>
      <c r="K740" s="86"/>
    </row>
    <row r="741" spans="1:11" s="55" customFormat="1" ht="17.25" customHeight="1">
      <c r="A741" s="34" t="s">
        <v>879</v>
      </c>
      <c r="B741" s="35"/>
      <c r="C741" s="53" t="s">
        <v>910</v>
      </c>
      <c r="D741" s="36" t="s">
        <v>688</v>
      </c>
      <c r="E741" s="36" t="s">
        <v>359</v>
      </c>
      <c r="F741" s="37" t="s">
        <v>880</v>
      </c>
      <c r="G741" s="38">
        <v>6540.5</v>
      </c>
      <c r="H741" s="38">
        <v>5477.2</v>
      </c>
      <c r="I741" s="39">
        <f t="shared" si="21"/>
        <v>83.74283311673419</v>
      </c>
      <c r="J741" s="86">
        <f>SUM('[1]ведомствен.'!G661)</f>
        <v>6540.5</v>
      </c>
      <c r="K741" s="86">
        <f>SUM('[1]ведомствен.'!H661)</f>
        <v>5477.2</v>
      </c>
    </row>
    <row r="742" spans="1:11" s="55" customFormat="1" ht="44.25" customHeight="1" hidden="1">
      <c r="A742" s="34" t="s">
        <v>1330</v>
      </c>
      <c r="B742" s="35"/>
      <c r="C742" s="53" t="s">
        <v>910</v>
      </c>
      <c r="D742" s="36" t="s">
        <v>688</v>
      </c>
      <c r="E742" s="36" t="s">
        <v>360</v>
      </c>
      <c r="F742" s="37"/>
      <c r="G742" s="38">
        <f>SUM(G743)</f>
        <v>0</v>
      </c>
      <c r="H742" s="38">
        <f>SUM(H743)</f>
        <v>0</v>
      </c>
      <c r="I742" s="39" t="e">
        <f t="shared" si="21"/>
        <v>#DIV/0!</v>
      </c>
      <c r="J742" s="86"/>
      <c r="K742" s="86"/>
    </row>
    <row r="743" spans="1:11" s="55" customFormat="1" ht="15" hidden="1">
      <c r="A743" s="34" t="s">
        <v>879</v>
      </c>
      <c r="B743" s="35"/>
      <c r="C743" s="53" t="s">
        <v>910</v>
      </c>
      <c r="D743" s="36" t="s">
        <v>688</v>
      </c>
      <c r="E743" s="36" t="s">
        <v>360</v>
      </c>
      <c r="F743" s="37" t="s">
        <v>880</v>
      </c>
      <c r="G743" s="38"/>
      <c r="H743" s="38"/>
      <c r="I743" s="39" t="e">
        <f t="shared" si="21"/>
        <v>#DIV/0!</v>
      </c>
      <c r="J743" s="86"/>
      <c r="K743" s="86"/>
    </row>
    <row r="744" spans="1:11" s="106" customFormat="1" ht="109.5" customHeight="1" hidden="1">
      <c r="A744" s="34" t="s">
        <v>361</v>
      </c>
      <c r="B744" s="35"/>
      <c r="C744" s="53" t="s">
        <v>910</v>
      </c>
      <c r="D744" s="36" t="s">
        <v>688</v>
      </c>
      <c r="E744" s="36" t="s">
        <v>362</v>
      </c>
      <c r="F744" s="37"/>
      <c r="G744" s="38">
        <f>SUM(G745)</f>
        <v>0</v>
      </c>
      <c r="H744" s="38">
        <f>SUM(H745)</f>
        <v>0</v>
      </c>
      <c r="I744" s="39" t="e">
        <f t="shared" si="21"/>
        <v>#DIV/0!</v>
      </c>
      <c r="J744" s="129"/>
      <c r="K744" s="129"/>
    </row>
    <row r="745" spans="1:11" s="106" customFormat="1" ht="19.5" customHeight="1" hidden="1">
      <c r="A745" s="34" t="s">
        <v>879</v>
      </c>
      <c r="B745" s="35"/>
      <c r="C745" s="53" t="s">
        <v>910</v>
      </c>
      <c r="D745" s="36" t="s">
        <v>688</v>
      </c>
      <c r="E745" s="36" t="s">
        <v>362</v>
      </c>
      <c r="F745" s="37" t="s">
        <v>880</v>
      </c>
      <c r="G745" s="38"/>
      <c r="H745" s="38"/>
      <c r="I745" s="39" t="e">
        <f t="shared" si="21"/>
        <v>#DIV/0!</v>
      </c>
      <c r="J745" s="129"/>
      <c r="K745" s="129"/>
    </row>
    <row r="746" spans="1:11" s="55" customFormat="1" ht="15">
      <c r="A746" s="145" t="s">
        <v>363</v>
      </c>
      <c r="B746" s="114"/>
      <c r="C746" s="73" t="s">
        <v>910</v>
      </c>
      <c r="D746" s="73" t="s">
        <v>688</v>
      </c>
      <c r="E746" s="73" t="s">
        <v>364</v>
      </c>
      <c r="F746" s="42"/>
      <c r="G746" s="38">
        <f>SUM(G747)</f>
        <v>27897</v>
      </c>
      <c r="H746" s="38">
        <f>SUM(H747)</f>
        <v>27954</v>
      </c>
      <c r="I746" s="39">
        <f t="shared" si="21"/>
        <v>100.20432304548876</v>
      </c>
      <c r="J746" s="86"/>
      <c r="K746" s="86"/>
    </row>
    <row r="747" spans="1:11" s="55" customFormat="1" ht="15">
      <c r="A747" s="34" t="s">
        <v>879</v>
      </c>
      <c r="B747" s="114"/>
      <c r="C747" s="73" t="s">
        <v>910</v>
      </c>
      <c r="D747" s="73" t="s">
        <v>688</v>
      </c>
      <c r="E747" s="73" t="s">
        <v>364</v>
      </c>
      <c r="F747" s="42" t="s">
        <v>880</v>
      </c>
      <c r="G747" s="38">
        <v>27897</v>
      </c>
      <c r="H747" s="38">
        <v>27954</v>
      </c>
      <c r="I747" s="39">
        <f t="shared" si="21"/>
        <v>100.20432304548876</v>
      </c>
      <c r="J747" s="86">
        <f>SUM('[1]ведомствен.'!G667)</f>
        <v>27897</v>
      </c>
      <c r="K747" s="86">
        <f>SUM('[1]ведомствен.'!H667)</f>
        <v>27954</v>
      </c>
    </row>
    <row r="748" spans="1:11" s="55" customFormat="1" ht="33" customHeight="1">
      <c r="A748" s="34" t="s">
        <v>365</v>
      </c>
      <c r="B748" s="114"/>
      <c r="C748" s="73" t="s">
        <v>910</v>
      </c>
      <c r="D748" s="73" t="s">
        <v>688</v>
      </c>
      <c r="E748" s="73" t="s">
        <v>366</v>
      </c>
      <c r="F748" s="42"/>
      <c r="G748" s="38">
        <f>SUM(G749)</f>
        <v>6044.1</v>
      </c>
      <c r="H748" s="38">
        <f>SUM(H749)</f>
        <v>5887</v>
      </c>
      <c r="I748" s="39">
        <f t="shared" si="21"/>
        <v>97.400770999818</v>
      </c>
      <c r="J748" s="86"/>
      <c r="K748" s="86"/>
    </row>
    <row r="749" spans="1:11" s="55" customFormat="1" ht="15">
      <c r="A749" s="34" t="s">
        <v>879</v>
      </c>
      <c r="B749" s="114"/>
      <c r="C749" s="73" t="s">
        <v>910</v>
      </c>
      <c r="D749" s="73" t="s">
        <v>688</v>
      </c>
      <c r="E749" s="73" t="s">
        <v>366</v>
      </c>
      <c r="F749" s="42" t="s">
        <v>880</v>
      </c>
      <c r="G749" s="38">
        <v>6044.1</v>
      </c>
      <c r="H749" s="38">
        <v>5887</v>
      </c>
      <c r="I749" s="39">
        <f t="shared" si="21"/>
        <v>97.400770999818</v>
      </c>
      <c r="J749" s="86">
        <f>SUM('[1]ведомствен.'!G669)</f>
        <v>6044.1</v>
      </c>
      <c r="K749" s="86">
        <f>SUM('[1]ведомствен.'!H669)</f>
        <v>5887</v>
      </c>
    </row>
    <row r="750" spans="1:11" s="55" customFormat="1" ht="57">
      <c r="A750" s="34" t="s">
        <v>367</v>
      </c>
      <c r="B750" s="35"/>
      <c r="C750" s="53" t="s">
        <v>910</v>
      </c>
      <c r="D750" s="53" t="s">
        <v>688</v>
      </c>
      <c r="E750" s="36" t="s">
        <v>368</v>
      </c>
      <c r="F750" s="37"/>
      <c r="G750" s="38">
        <f>SUM(G751)</f>
        <v>5628.5</v>
      </c>
      <c r="H750" s="38">
        <f>SUM(H751)</f>
        <v>5628.5</v>
      </c>
      <c r="I750" s="39">
        <f t="shared" si="21"/>
        <v>100</v>
      </c>
      <c r="J750" s="86"/>
      <c r="K750" s="86"/>
    </row>
    <row r="751" spans="1:11" s="55" customFormat="1" ht="57">
      <c r="A751" s="54" t="s">
        <v>369</v>
      </c>
      <c r="B751" s="35"/>
      <c r="C751" s="53" t="s">
        <v>910</v>
      </c>
      <c r="D751" s="53" t="s">
        <v>688</v>
      </c>
      <c r="E751" s="36" t="s">
        <v>370</v>
      </c>
      <c r="F751" s="41"/>
      <c r="G751" s="38">
        <f>SUM(G752)</f>
        <v>5628.5</v>
      </c>
      <c r="H751" s="38">
        <f>SUM(H752)</f>
        <v>5628.5</v>
      </c>
      <c r="I751" s="39">
        <f t="shared" si="21"/>
        <v>100</v>
      </c>
      <c r="J751" s="86"/>
      <c r="K751" s="86"/>
    </row>
    <row r="752" spans="1:11" s="55" customFormat="1" ht="15">
      <c r="A752" s="34" t="s">
        <v>879</v>
      </c>
      <c r="B752" s="123"/>
      <c r="C752" s="53" t="s">
        <v>910</v>
      </c>
      <c r="D752" s="53" t="s">
        <v>688</v>
      </c>
      <c r="E752" s="36" t="s">
        <v>370</v>
      </c>
      <c r="F752" s="133" t="s">
        <v>880</v>
      </c>
      <c r="G752" s="71">
        <v>5628.5</v>
      </c>
      <c r="H752" s="71">
        <v>5628.5</v>
      </c>
      <c r="I752" s="39">
        <f t="shared" si="21"/>
        <v>100</v>
      </c>
      <c r="J752" s="86">
        <f>SUM('[1]ведомствен.'!G420)</f>
        <v>5628.5</v>
      </c>
      <c r="K752" s="86">
        <f>SUM('[1]ведомствен.'!H420)</f>
        <v>5628.5</v>
      </c>
    </row>
    <row r="753" spans="1:11" s="55" customFormat="1" ht="46.5" customHeight="1">
      <c r="A753" s="54" t="s">
        <v>371</v>
      </c>
      <c r="B753" s="35"/>
      <c r="C753" s="53" t="s">
        <v>910</v>
      </c>
      <c r="D753" s="53" t="s">
        <v>688</v>
      </c>
      <c r="E753" s="53" t="s">
        <v>372</v>
      </c>
      <c r="F753" s="41"/>
      <c r="G753" s="38">
        <f>SUM(G754)</f>
        <v>89.4</v>
      </c>
      <c r="H753" s="38">
        <f>SUM(H754)</f>
        <v>14.1</v>
      </c>
      <c r="I753" s="39">
        <f t="shared" si="21"/>
        <v>15.771812080536913</v>
      </c>
      <c r="J753" s="86"/>
      <c r="K753" s="86"/>
    </row>
    <row r="754" spans="1:11" s="55" customFormat="1" ht="23.25" customHeight="1">
      <c r="A754" s="34" t="s">
        <v>879</v>
      </c>
      <c r="B754" s="35"/>
      <c r="C754" s="53" t="s">
        <v>910</v>
      </c>
      <c r="D754" s="53" t="s">
        <v>688</v>
      </c>
      <c r="E754" s="53" t="s">
        <v>372</v>
      </c>
      <c r="F754" s="41" t="s">
        <v>880</v>
      </c>
      <c r="G754" s="38">
        <v>89.4</v>
      </c>
      <c r="H754" s="38">
        <v>14.1</v>
      </c>
      <c r="I754" s="39">
        <f t="shared" si="21"/>
        <v>15.771812080536913</v>
      </c>
      <c r="J754" s="86">
        <f>SUM('[1]ведомствен.'!G672)</f>
        <v>89.4</v>
      </c>
      <c r="K754" s="86">
        <f>SUM('[1]ведомствен.'!H672)</f>
        <v>14.1</v>
      </c>
    </row>
    <row r="755" spans="1:11" s="55" customFormat="1" ht="28.5">
      <c r="A755" s="103" t="s">
        <v>373</v>
      </c>
      <c r="B755" s="35"/>
      <c r="C755" s="53" t="s">
        <v>910</v>
      </c>
      <c r="D755" s="53" t="s">
        <v>688</v>
      </c>
      <c r="E755" s="53" t="s">
        <v>374</v>
      </c>
      <c r="F755" s="41"/>
      <c r="G755" s="38">
        <f>SUM(G756)</f>
        <v>128347.5</v>
      </c>
      <c r="H755" s="38">
        <f>SUM(H756)</f>
        <v>128347.5</v>
      </c>
      <c r="I755" s="39">
        <f t="shared" si="21"/>
        <v>100</v>
      </c>
      <c r="J755" s="86"/>
      <c r="K755" s="86"/>
    </row>
    <row r="756" spans="1:11" s="55" customFormat="1" ht="15">
      <c r="A756" s="34" t="s">
        <v>879</v>
      </c>
      <c r="B756" s="52"/>
      <c r="C756" s="53" t="s">
        <v>910</v>
      </c>
      <c r="D756" s="53" t="s">
        <v>688</v>
      </c>
      <c r="E756" s="53" t="s">
        <v>374</v>
      </c>
      <c r="F756" s="41" t="s">
        <v>880</v>
      </c>
      <c r="G756" s="38">
        <v>128347.5</v>
      </c>
      <c r="H756" s="38">
        <v>128347.5</v>
      </c>
      <c r="I756" s="39">
        <f t="shared" si="21"/>
        <v>100</v>
      </c>
      <c r="J756" s="86">
        <f>SUM('[1]ведомствен.'!G674)</f>
        <v>128347.5</v>
      </c>
      <c r="K756" s="86">
        <f>SUM('[1]ведомствен.'!H674)</f>
        <v>128347.5</v>
      </c>
    </row>
    <row r="757" spans="1:11" s="55" customFormat="1" ht="42.75">
      <c r="A757" s="40" t="s">
        <v>375</v>
      </c>
      <c r="B757" s="35"/>
      <c r="C757" s="53" t="s">
        <v>910</v>
      </c>
      <c r="D757" s="53" t="s">
        <v>688</v>
      </c>
      <c r="E757" s="53" t="s">
        <v>376</v>
      </c>
      <c r="F757" s="41"/>
      <c r="G757" s="38">
        <f>SUM(G758)</f>
        <v>77445.7</v>
      </c>
      <c r="H757" s="38">
        <f>SUM(H758)</f>
        <v>71628</v>
      </c>
      <c r="I757" s="39">
        <f t="shared" si="21"/>
        <v>92.4880270951131</v>
      </c>
      <c r="J757" s="86"/>
      <c r="K757" s="86"/>
    </row>
    <row r="758" spans="1:11" s="55" customFormat="1" ht="15">
      <c r="A758" s="34" t="s">
        <v>879</v>
      </c>
      <c r="B758" s="35"/>
      <c r="C758" s="53" t="s">
        <v>910</v>
      </c>
      <c r="D758" s="53" t="s">
        <v>688</v>
      </c>
      <c r="E758" s="53" t="s">
        <v>376</v>
      </c>
      <c r="F758" s="41" t="s">
        <v>880</v>
      </c>
      <c r="G758" s="38">
        <v>77445.7</v>
      </c>
      <c r="H758" s="38">
        <v>71628</v>
      </c>
      <c r="I758" s="39">
        <f t="shared" si="21"/>
        <v>92.4880270951131</v>
      </c>
      <c r="J758" s="86">
        <f>SUM('[1]ведомствен.'!G676)</f>
        <v>77445.7</v>
      </c>
      <c r="K758" s="86">
        <f>SUM('[1]ведомствен.'!H676)</f>
        <v>71628</v>
      </c>
    </row>
    <row r="759" spans="1:11" s="55" customFormat="1" ht="28.5">
      <c r="A759" s="34" t="s">
        <v>377</v>
      </c>
      <c r="B759" s="35"/>
      <c r="C759" s="53" t="s">
        <v>910</v>
      </c>
      <c r="D759" s="53" t="s">
        <v>688</v>
      </c>
      <c r="E759" s="53" t="s">
        <v>378</v>
      </c>
      <c r="F759" s="41"/>
      <c r="G759" s="38">
        <f>SUM(G760+G764+G766+G776+G778+G774+G782)</f>
        <v>253864.20000000004</v>
      </c>
      <c r="H759" s="38">
        <f>SUM(H760+H764+H766+H776+H778+H774+H782)</f>
        <v>252689.19999999998</v>
      </c>
      <c r="I759" s="39">
        <f t="shared" si="21"/>
        <v>99.53715411625583</v>
      </c>
      <c r="J759" s="86"/>
      <c r="K759" s="86"/>
    </row>
    <row r="760" spans="1:11" s="55" customFormat="1" ht="28.5">
      <c r="A760" s="54" t="s">
        <v>379</v>
      </c>
      <c r="B760" s="35"/>
      <c r="C760" s="53" t="s">
        <v>910</v>
      </c>
      <c r="D760" s="53" t="s">
        <v>688</v>
      </c>
      <c r="E760" s="53" t="s">
        <v>380</v>
      </c>
      <c r="F760" s="41"/>
      <c r="G760" s="38">
        <f>SUM(G761)</f>
        <v>50153.1</v>
      </c>
      <c r="H760" s="38">
        <f>SUM(H761)</f>
        <v>49950.7</v>
      </c>
      <c r="I760" s="39">
        <f t="shared" si="21"/>
        <v>99.59643571384422</v>
      </c>
      <c r="J760" s="86"/>
      <c r="K760" s="86"/>
    </row>
    <row r="761" spans="1:11" s="55" customFormat="1" ht="15">
      <c r="A761" s="34" t="s">
        <v>879</v>
      </c>
      <c r="B761" s="35"/>
      <c r="C761" s="53" t="s">
        <v>910</v>
      </c>
      <c r="D761" s="53" t="s">
        <v>688</v>
      </c>
      <c r="E761" s="53" t="s">
        <v>380</v>
      </c>
      <c r="F761" s="41" t="s">
        <v>880</v>
      </c>
      <c r="G761" s="38">
        <v>50153.1</v>
      </c>
      <c r="H761" s="38">
        <v>49950.7</v>
      </c>
      <c r="I761" s="39">
        <f t="shared" si="21"/>
        <v>99.59643571384422</v>
      </c>
      <c r="J761" s="86">
        <f>SUM('[1]ведомствен.'!G679)</f>
        <v>50153.1</v>
      </c>
      <c r="K761" s="86">
        <f>SUM('[1]ведомствен.'!H679)</f>
        <v>49950.7</v>
      </c>
    </row>
    <row r="762" spans="1:11" s="55" customFormat="1" ht="57" customHeight="1" hidden="1">
      <c r="A762" s="34" t="s">
        <v>381</v>
      </c>
      <c r="B762" s="43"/>
      <c r="C762" s="53" t="s">
        <v>910</v>
      </c>
      <c r="D762" s="36" t="s">
        <v>688</v>
      </c>
      <c r="E762" s="53" t="s">
        <v>382</v>
      </c>
      <c r="F762" s="37"/>
      <c r="G762" s="38">
        <f>SUM(G763)</f>
        <v>0</v>
      </c>
      <c r="H762" s="38">
        <f>SUM(H763)</f>
        <v>0</v>
      </c>
      <c r="I762" s="39" t="e">
        <f t="shared" si="21"/>
        <v>#DIV/0!</v>
      </c>
      <c r="J762" s="86"/>
      <c r="K762" s="86"/>
    </row>
    <row r="763" spans="1:11" s="55" customFormat="1" ht="15" customHeight="1" hidden="1">
      <c r="A763" s="34" t="s">
        <v>879</v>
      </c>
      <c r="B763" s="43"/>
      <c r="C763" s="53" t="s">
        <v>910</v>
      </c>
      <c r="D763" s="36" t="s">
        <v>688</v>
      </c>
      <c r="E763" s="53" t="s">
        <v>382</v>
      </c>
      <c r="F763" s="37" t="s">
        <v>880</v>
      </c>
      <c r="G763" s="38"/>
      <c r="H763" s="38"/>
      <c r="I763" s="39" t="e">
        <f t="shared" si="21"/>
        <v>#DIV/0!</v>
      </c>
      <c r="J763" s="86"/>
      <c r="K763" s="86"/>
    </row>
    <row r="764" spans="1:11" s="55" customFormat="1" ht="72.75" customHeight="1">
      <c r="A764" s="146" t="s">
        <v>383</v>
      </c>
      <c r="B764" s="43"/>
      <c r="C764" s="53" t="s">
        <v>910</v>
      </c>
      <c r="D764" s="36" t="s">
        <v>688</v>
      </c>
      <c r="E764" s="53" t="s">
        <v>384</v>
      </c>
      <c r="F764" s="37"/>
      <c r="G764" s="38">
        <f>SUM(G765)</f>
        <v>39535.5</v>
      </c>
      <c r="H764" s="38">
        <f>SUM(H765)</f>
        <v>39219.6</v>
      </c>
      <c r="I764" s="39">
        <f t="shared" si="21"/>
        <v>99.20097127897712</v>
      </c>
      <c r="J764" s="86"/>
      <c r="K764" s="86"/>
    </row>
    <row r="765" spans="1:11" s="55" customFormat="1" ht="15">
      <c r="A765" s="34" t="s">
        <v>879</v>
      </c>
      <c r="B765" s="43"/>
      <c r="C765" s="53" t="s">
        <v>910</v>
      </c>
      <c r="D765" s="36" t="s">
        <v>688</v>
      </c>
      <c r="E765" s="53" t="s">
        <v>384</v>
      </c>
      <c r="F765" s="37" t="s">
        <v>880</v>
      </c>
      <c r="G765" s="38">
        <v>39535.5</v>
      </c>
      <c r="H765" s="38">
        <v>39219.6</v>
      </c>
      <c r="I765" s="39">
        <f t="shared" si="21"/>
        <v>99.20097127897712</v>
      </c>
      <c r="J765" s="86">
        <f>SUM('[1]ведомствен.'!G683)</f>
        <v>39535.5</v>
      </c>
      <c r="K765" s="86">
        <f>SUM('[1]ведомствен.'!H683)</f>
        <v>39219.6</v>
      </c>
    </row>
    <row r="766" spans="1:11" s="55" customFormat="1" ht="90.75" customHeight="1">
      <c r="A766" s="146" t="s">
        <v>385</v>
      </c>
      <c r="B766" s="43"/>
      <c r="C766" s="53" t="s">
        <v>910</v>
      </c>
      <c r="D766" s="36" t="s">
        <v>688</v>
      </c>
      <c r="E766" s="53" t="s">
        <v>386</v>
      </c>
      <c r="F766" s="37"/>
      <c r="G766" s="38">
        <f>SUM(G767)</f>
        <v>42198.8</v>
      </c>
      <c r="H766" s="38">
        <f>SUM(H767)</f>
        <v>42073.4</v>
      </c>
      <c r="I766" s="39">
        <f t="shared" si="21"/>
        <v>99.70283515171047</v>
      </c>
      <c r="J766" s="86"/>
      <c r="K766" s="86"/>
    </row>
    <row r="767" spans="1:11" s="55" customFormat="1" ht="15">
      <c r="A767" s="34" t="s">
        <v>879</v>
      </c>
      <c r="B767" s="43"/>
      <c r="C767" s="53" t="s">
        <v>910</v>
      </c>
      <c r="D767" s="36" t="s">
        <v>688</v>
      </c>
      <c r="E767" s="53" t="s">
        <v>386</v>
      </c>
      <c r="F767" s="37" t="s">
        <v>880</v>
      </c>
      <c r="G767" s="38">
        <f>109336-67137.2</f>
        <v>42198.8</v>
      </c>
      <c r="H767" s="38">
        <v>42073.4</v>
      </c>
      <c r="I767" s="39">
        <f t="shared" si="21"/>
        <v>99.70283515171047</v>
      </c>
      <c r="J767" s="86">
        <f>SUM('[1]ведомствен.'!G685)</f>
        <v>42198.8</v>
      </c>
      <c r="K767" s="86">
        <f>SUM('[1]ведомствен.'!H685)</f>
        <v>42073.4</v>
      </c>
    </row>
    <row r="768" spans="1:11" s="55" customFormat="1" ht="71.25" customHeight="1" hidden="1">
      <c r="A768" s="34" t="s">
        <v>387</v>
      </c>
      <c r="B768" s="43"/>
      <c r="C768" s="53" t="s">
        <v>910</v>
      </c>
      <c r="D768" s="36" t="s">
        <v>688</v>
      </c>
      <c r="E768" s="53" t="s">
        <v>384</v>
      </c>
      <c r="F768" s="37"/>
      <c r="G768" s="38">
        <f>SUM(G769)</f>
        <v>0</v>
      </c>
      <c r="H768" s="38">
        <f>SUM(H769)</f>
        <v>0</v>
      </c>
      <c r="I768" s="39" t="e">
        <f t="shared" si="21"/>
        <v>#DIV/0!</v>
      </c>
      <c r="J768" s="86"/>
      <c r="K768" s="86"/>
    </row>
    <row r="769" spans="1:11" s="55" customFormat="1" ht="15" customHeight="1" hidden="1">
      <c r="A769" s="34" t="s">
        <v>879</v>
      </c>
      <c r="B769" s="43"/>
      <c r="C769" s="53" t="s">
        <v>910</v>
      </c>
      <c r="D769" s="36" t="s">
        <v>688</v>
      </c>
      <c r="E769" s="53" t="s">
        <v>384</v>
      </c>
      <c r="F769" s="37" t="s">
        <v>880</v>
      </c>
      <c r="G769" s="38"/>
      <c r="H769" s="38"/>
      <c r="I769" s="39" t="e">
        <f t="shared" si="21"/>
        <v>#DIV/0!</v>
      </c>
      <c r="J769" s="86"/>
      <c r="K769" s="86"/>
    </row>
    <row r="770" spans="1:11" s="55" customFormat="1" ht="85.5" customHeight="1" hidden="1">
      <c r="A770" s="34" t="s">
        <v>388</v>
      </c>
      <c r="B770" s="43"/>
      <c r="C770" s="53" t="s">
        <v>910</v>
      </c>
      <c r="D770" s="36" t="s">
        <v>688</v>
      </c>
      <c r="E770" s="53" t="s">
        <v>386</v>
      </c>
      <c r="F770" s="37"/>
      <c r="G770" s="38">
        <f>SUM(G771)</f>
        <v>0</v>
      </c>
      <c r="H770" s="38">
        <f>SUM(H771)</f>
        <v>0</v>
      </c>
      <c r="I770" s="39" t="e">
        <f t="shared" si="21"/>
        <v>#DIV/0!</v>
      </c>
      <c r="J770" s="86"/>
      <c r="K770" s="86"/>
    </row>
    <row r="771" spans="1:11" s="55" customFormat="1" ht="15" customHeight="1" hidden="1">
      <c r="A771" s="34" t="s">
        <v>879</v>
      </c>
      <c r="B771" s="43"/>
      <c r="C771" s="53" t="s">
        <v>910</v>
      </c>
      <c r="D771" s="36" t="s">
        <v>688</v>
      </c>
      <c r="E771" s="53" t="s">
        <v>386</v>
      </c>
      <c r="F771" s="37" t="s">
        <v>880</v>
      </c>
      <c r="G771" s="38"/>
      <c r="H771" s="38"/>
      <c r="I771" s="39" t="e">
        <f t="shared" si="21"/>
        <v>#DIV/0!</v>
      </c>
      <c r="J771" s="86"/>
      <c r="K771" s="86"/>
    </row>
    <row r="772" spans="1:11" s="55" customFormat="1" ht="57" customHeight="1" hidden="1">
      <c r="A772" s="54" t="s">
        <v>389</v>
      </c>
      <c r="B772" s="35"/>
      <c r="C772" s="53" t="s">
        <v>910</v>
      </c>
      <c r="D772" s="53" t="s">
        <v>688</v>
      </c>
      <c r="E772" s="53" t="s">
        <v>390</v>
      </c>
      <c r="F772" s="41"/>
      <c r="G772" s="38">
        <f>SUM(G773)</f>
        <v>0</v>
      </c>
      <c r="H772" s="38">
        <f>SUM(H773)</f>
        <v>0</v>
      </c>
      <c r="I772" s="39" t="e">
        <f t="shared" si="21"/>
        <v>#DIV/0!</v>
      </c>
      <c r="J772" s="86"/>
      <c r="K772" s="86"/>
    </row>
    <row r="773" spans="1:11" s="55" customFormat="1" ht="15" customHeight="1" hidden="1">
      <c r="A773" s="34" t="s">
        <v>879</v>
      </c>
      <c r="B773" s="35"/>
      <c r="C773" s="53" t="s">
        <v>910</v>
      </c>
      <c r="D773" s="53" t="s">
        <v>688</v>
      </c>
      <c r="E773" s="53" t="s">
        <v>390</v>
      </c>
      <c r="F773" s="41" t="s">
        <v>880</v>
      </c>
      <c r="G773" s="38"/>
      <c r="H773" s="38"/>
      <c r="I773" s="39" t="e">
        <f t="shared" si="21"/>
        <v>#DIV/0!</v>
      </c>
      <c r="J773" s="86"/>
      <c r="K773" s="86"/>
    </row>
    <row r="774" spans="1:9" ht="99.75">
      <c r="A774" s="34" t="s">
        <v>391</v>
      </c>
      <c r="B774" s="35"/>
      <c r="C774" s="53" t="s">
        <v>910</v>
      </c>
      <c r="D774" s="53" t="s">
        <v>688</v>
      </c>
      <c r="E774" s="53" t="s">
        <v>392</v>
      </c>
      <c r="F774" s="41"/>
      <c r="G774" s="38">
        <f>SUM(G775)</f>
        <v>110177.7</v>
      </c>
      <c r="H774" s="38">
        <f>SUM(H775)</f>
        <v>110177.7</v>
      </c>
      <c r="I774" s="39">
        <f t="shared" si="21"/>
        <v>100</v>
      </c>
    </row>
    <row r="775" spans="1:11" ht="15">
      <c r="A775" s="34" t="s">
        <v>879</v>
      </c>
      <c r="B775" s="35"/>
      <c r="C775" s="53" t="s">
        <v>910</v>
      </c>
      <c r="D775" s="53" t="s">
        <v>688</v>
      </c>
      <c r="E775" s="53" t="s">
        <v>392</v>
      </c>
      <c r="F775" s="41" t="s">
        <v>880</v>
      </c>
      <c r="G775" s="38">
        <v>110177.7</v>
      </c>
      <c r="H775" s="38">
        <v>110177.7</v>
      </c>
      <c r="I775" s="39">
        <f t="shared" si="21"/>
        <v>100</v>
      </c>
      <c r="J775" s="86">
        <f>SUM('[1]ведомствен.'!G693)</f>
        <v>110177.7</v>
      </c>
      <c r="K775" s="86">
        <f>SUM('[1]ведомствен.'!H693)</f>
        <v>110177.7</v>
      </c>
    </row>
    <row r="776" spans="1:11" s="55" customFormat="1" ht="85.5">
      <c r="A776" s="54" t="s">
        <v>393</v>
      </c>
      <c r="B776" s="35"/>
      <c r="C776" s="53" t="s">
        <v>910</v>
      </c>
      <c r="D776" s="53" t="s">
        <v>688</v>
      </c>
      <c r="E776" s="53" t="s">
        <v>394</v>
      </c>
      <c r="F776" s="41"/>
      <c r="G776" s="38">
        <f>SUM(G777)</f>
        <v>2332.6</v>
      </c>
      <c r="H776" s="38">
        <f>SUM(H777)</f>
        <v>1814</v>
      </c>
      <c r="I776" s="39">
        <f t="shared" si="21"/>
        <v>77.76729829374946</v>
      </c>
      <c r="J776" s="86"/>
      <c r="K776" s="86"/>
    </row>
    <row r="777" spans="1:11" s="55" customFormat="1" ht="15">
      <c r="A777" s="34" t="s">
        <v>879</v>
      </c>
      <c r="B777" s="35"/>
      <c r="C777" s="53" t="s">
        <v>910</v>
      </c>
      <c r="D777" s="53" t="s">
        <v>688</v>
      </c>
      <c r="E777" s="53" t="s">
        <v>394</v>
      </c>
      <c r="F777" s="41" t="s">
        <v>880</v>
      </c>
      <c r="G777" s="38">
        <v>2332.6</v>
      </c>
      <c r="H777" s="38">
        <v>1814</v>
      </c>
      <c r="I777" s="39">
        <f t="shared" si="21"/>
        <v>77.76729829374946</v>
      </c>
      <c r="J777" s="86">
        <f>SUM('[1]ведомствен.'!G695)</f>
        <v>2332.6</v>
      </c>
      <c r="K777" s="86">
        <f>SUM('[1]ведомствен.'!H695)</f>
        <v>1814</v>
      </c>
    </row>
    <row r="778" spans="1:11" s="55" customFormat="1" ht="88.5" customHeight="1">
      <c r="A778" s="54" t="s">
        <v>393</v>
      </c>
      <c r="B778" s="35"/>
      <c r="C778" s="53" t="s">
        <v>910</v>
      </c>
      <c r="D778" s="53" t="s">
        <v>688</v>
      </c>
      <c r="E778" s="53" t="s">
        <v>395</v>
      </c>
      <c r="F778" s="41"/>
      <c r="G778" s="38">
        <f>SUM(G779)</f>
        <v>1503.5999999999995</v>
      </c>
      <c r="H778" s="38">
        <f>SUM(H779)</f>
        <v>1490.9</v>
      </c>
      <c r="I778" s="39">
        <f t="shared" si="21"/>
        <v>99.15536046820968</v>
      </c>
      <c r="J778" s="86"/>
      <c r="K778" s="86"/>
    </row>
    <row r="779" spans="1:11" s="55" customFormat="1" ht="14.25" customHeight="1">
      <c r="A779" s="34" t="s">
        <v>879</v>
      </c>
      <c r="B779" s="35"/>
      <c r="C779" s="53" t="s">
        <v>910</v>
      </c>
      <c r="D779" s="53" t="s">
        <v>688</v>
      </c>
      <c r="E779" s="53" t="s">
        <v>395</v>
      </c>
      <c r="F779" s="41" t="s">
        <v>880</v>
      </c>
      <c r="G779" s="38">
        <f>6058.9-4555.3</f>
        <v>1503.5999999999995</v>
      </c>
      <c r="H779" s="38">
        <v>1490.9</v>
      </c>
      <c r="I779" s="39">
        <f t="shared" si="21"/>
        <v>99.15536046820968</v>
      </c>
      <c r="J779" s="86">
        <f>SUM('[1]ведомствен.'!G697)</f>
        <v>1503.5999999999995</v>
      </c>
      <c r="K779" s="86">
        <f>SUM('[1]ведомствен.'!H697)</f>
        <v>1490.9</v>
      </c>
    </row>
    <row r="780" spans="1:11" s="55" customFormat="1" ht="28.5" customHeight="1" hidden="1">
      <c r="A780" s="51" t="s">
        <v>365</v>
      </c>
      <c r="B780" s="52"/>
      <c r="C780" s="53" t="s">
        <v>910</v>
      </c>
      <c r="D780" s="53" t="s">
        <v>688</v>
      </c>
      <c r="E780" s="53" t="s">
        <v>396</v>
      </c>
      <c r="F780" s="41"/>
      <c r="G780" s="38">
        <f>SUM(G781)</f>
        <v>0</v>
      </c>
      <c r="H780" s="38">
        <f>SUM(H781)</f>
        <v>0</v>
      </c>
      <c r="I780" s="39" t="e">
        <f t="shared" si="21"/>
        <v>#DIV/0!</v>
      </c>
      <c r="J780" s="86"/>
      <c r="K780" s="86"/>
    </row>
    <row r="781" spans="1:11" s="55" customFormat="1" ht="15" customHeight="1" hidden="1">
      <c r="A781" s="51" t="s">
        <v>879</v>
      </c>
      <c r="B781" s="52"/>
      <c r="C781" s="53" t="s">
        <v>910</v>
      </c>
      <c r="D781" s="53" t="s">
        <v>688</v>
      </c>
      <c r="E781" s="53" t="s">
        <v>396</v>
      </c>
      <c r="F781" s="41" t="s">
        <v>880</v>
      </c>
      <c r="G781" s="38"/>
      <c r="H781" s="38"/>
      <c r="I781" s="39" t="e">
        <f t="shared" si="21"/>
        <v>#DIV/0!</v>
      </c>
      <c r="J781" s="86"/>
      <c r="K781" s="86"/>
    </row>
    <row r="782" spans="1:9" ht="123" customHeight="1">
      <c r="A782" s="51" t="s">
        <v>397</v>
      </c>
      <c r="B782" s="52"/>
      <c r="C782" s="53" t="s">
        <v>910</v>
      </c>
      <c r="D782" s="53" t="s">
        <v>688</v>
      </c>
      <c r="E782" s="53" t="s">
        <v>398</v>
      </c>
      <c r="F782" s="41"/>
      <c r="G782" s="38">
        <f>SUM(G783)</f>
        <v>7962.9</v>
      </c>
      <c r="H782" s="38">
        <f>SUM(H783)</f>
        <v>7962.9</v>
      </c>
      <c r="I782" s="39">
        <f t="shared" si="21"/>
        <v>100</v>
      </c>
    </row>
    <row r="783" spans="1:11" ht="18" customHeight="1">
      <c r="A783" s="34" t="s">
        <v>879</v>
      </c>
      <c r="B783" s="52"/>
      <c r="C783" s="53" t="s">
        <v>910</v>
      </c>
      <c r="D783" s="53" t="s">
        <v>688</v>
      </c>
      <c r="E783" s="53" t="s">
        <v>398</v>
      </c>
      <c r="F783" s="41" t="s">
        <v>880</v>
      </c>
      <c r="G783" s="38">
        <v>7962.9</v>
      </c>
      <c r="H783" s="38">
        <v>7962.9</v>
      </c>
      <c r="I783" s="39">
        <f aca="true" t="shared" si="22" ref="I783:I839">SUM(H783/G783*100)</f>
        <v>100</v>
      </c>
      <c r="J783" s="86">
        <f>SUM('[1]ведомствен.'!G701)</f>
        <v>7962.9</v>
      </c>
      <c r="K783" s="86">
        <f>SUM('[1]ведомствен.'!H701)</f>
        <v>7962.9</v>
      </c>
    </row>
    <row r="784" spans="1:9" ht="18" customHeight="1">
      <c r="A784" s="34" t="s">
        <v>399</v>
      </c>
      <c r="B784" s="35"/>
      <c r="C784" s="53" t="s">
        <v>910</v>
      </c>
      <c r="D784" s="53" t="s">
        <v>688</v>
      </c>
      <c r="E784" s="53" t="s">
        <v>400</v>
      </c>
      <c r="F784" s="41"/>
      <c r="G784" s="38">
        <f>SUM(G785)</f>
        <v>3335.6</v>
      </c>
      <c r="H784" s="38">
        <f>SUM(H785)</f>
        <v>3130</v>
      </c>
      <c r="I784" s="39">
        <f t="shared" si="22"/>
        <v>93.8361913898549</v>
      </c>
    </row>
    <row r="785" spans="1:11" ht="18" customHeight="1">
      <c r="A785" s="34" t="s">
        <v>879</v>
      </c>
      <c r="B785" s="35"/>
      <c r="C785" s="53" t="s">
        <v>910</v>
      </c>
      <c r="D785" s="53" t="s">
        <v>688</v>
      </c>
      <c r="E785" s="53" t="s">
        <v>400</v>
      </c>
      <c r="F785" s="41" t="s">
        <v>880</v>
      </c>
      <c r="G785" s="38">
        <f>3155.5+180.1</f>
        <v>3335.6</v>
      </c>
      <c r="H785" s="38">
        <v>3130</v>
      </c>
      <c r="I785" s="39">
        <f t="shared" si="22"/>
        <v>93.8361913898549</v>
      </c>
      <c r="J785" s="86">
        <f>SUM('[1]ведомствен.'!G1023)</f>
        <v>3335.6</v>
      </c>
      <c r="K785" s="86">
        <f>SUM('[1]ведомствен.'!H1023)</f>
        <v>3130</v>
      </c>
    </row>
    <row r="786" spans="1:9" ht="30.75" customHeight="1">
      <c r="A786" s="34" t="s">
        <v>401</v>
      </c>
      <c r="B786" s="35"/>
      <c r="C786" s="53" t="s">
        <v>910</v>
      </c>
      <c r="D786" s="36" t="s">
        <v>688</v>
      </c>
      <c r="E786" s="36" t="s">
        <v>402</v>
      </c>
      <c r="F786" s="41"/>
      <c r="G786" s="38">
        <f>SUM(G787)</f>
        <v>1544.3000000000002</v>
      </c>
      <c r="H786" s="38">
        <f>SUM(H787)</f>
        <v>1438.6</v>
      </c>
      <c r="I786" s="39">
        <f t="shared" si="22"/>
        <v>93.15547497247942</v>
      </c>
    </row>
    <row r="787" spans="1:9" ht="15">
      <c r="A787" s="51" t="s">
        <v>403</v>
      </c>
      <c r="B787" s="35"/>
      <c r="C787" s="53" t="s">
        <v>910</v>
      </c>
      <c r="D787" s="36" t="s">
        <v>688</v>
      </c>
      <c r="E787" s="36" t="s">
        <v>404</v>
      </c>
      <c r="F787" s="41"/>
      <c r="G787" s="38">
        <f>SUM(G788:G788)</f>
        <v>1544.3000000000002</v>
      </c>
      <c r="H787" s="38">
        <f>SUM(H788:H788)</f>
        <v>1438.6</v>
      </c>
      <c r="I787" s="39">
        <f t="shared" si="22"/>
        <v>93.15547497247942</v>
      </c>
    </row>
    <row r="788" spans="1:11" ht="14.25" customHeight="1">
      <c r="A788" s="34" t="s">
        <v>879</v>
      </c>
      <c r="B788" s="35"/>
      <c r="C788" s="53" t="s">
        <v>910</v>
      </c>
      <c r="D788" s="36" t="s">
        <v>688</v>
      </c>
      <c r="E788" s="36" t="s">
        <v>404</v>
      </c>
      <c r="F788" s="41" t="s">
        <v>880</v>
      </c>
      <c r="G788" s="38">
        <f>5288.3-3744</f>
        <v>1544.3000000000002</v>
      </c>
      <c r="H788" s="38">
        <v>1438.6</v>
      </c>
      <c r="I788" s="39">
        <f t="shared" si="22"/>
        <v>93.15547497247942</v>
      </c>
      <c r="J788" s="86">
        <f>SUM('[1]ведомствен.'!G703)</f>
        <v>1544.3</v>
      </c>
      <c r="K788" s="86">
        <f>SUM('[1]ведомствен.'!H703)</f>
        <v>1438.6</v>
      </c>
    </row>
    <row r="789" spans="1:11" s="116" customFormat="1" ht="15">
      <c r="A789" s="40" t="s">
        <v>906</v>
      </c>
      <c r="B789" s="72"/>
      <c r="C789" s="53" t="s">
        <v>910</v>
      </c>
      <c r="D789" s="53" t="s">
        <v>688</v>
      </c>
      <c r="E789" s="53" t="s">
        <v>907</v>
      </c>
      <c r="F789" s="133"/>
      <c r="G789" s="71">
        <f>SUM(G790)</f>
        <v>5197.7</v>
      </c>
      <c r="H789" s="71">
        <f>SUM(H790)</f>
        <v>5197.7</v>
      </c>
      <c r="I789" s="39">
        <f t="shared" si="22"/>
        <v>100</v>
      </c>
      <c r="J789" s="115"/>
      <c r="K789" s="115"/>
    </row>
    <row r="790" spans="1:11" s="116" customFormat="1" ht="57">
      <c r="A790" s="34" t="s">
        <v>405</v>
      </c>
      <c r="B790" s="123"/>
      <c r="C790" s="53" t="s">
        <v>910</v>
      </c>
      <c r="D790" s="53" t="s">
        <v>688</v>
      </c>
      <c r="E790" s="53" t="s">
        <v>966</v>
      </c>
      <c r="F790" s="133"/>
      <c r="G790" s="71">
        <f>SUM(G791)+G794</f>
        <v>5197.7</v>
      </c>
      <c r="H790" s="71">
        <f>SUM(H791)+H794</f>
        <v>5197.7</v>
      </c>
      <c r="I790" s="39">
        <f t="shared" si="22"/>
        <v>100</v>
      </c>
      <c r="J790" s="115"/>
      <c r="K790" s="115"/>
    </row>
    <row r="791" spans="1:11" s="116" customFormat="1" ht="27.75" customHeight="1">
      <c r="A791" s="34" t="s">
        <v>406</v>
      </c>
      <c r="B791" s="123"/>
      <c r="C791" s="53" t="s">
        <v>910</v>
      </c>
      <c r="D791" s="53" t="s">
        <v>688</v>
      </c>
      <c r="E791" s="53" t="s">
        <v>407</v>
      </c>
      <c r="F791" s="133"/>
      <c r="G791" s="71">
        <f>SUM(G792:G793)</f>
        <v>3240.5</v>
      </c>
      <c r="H791" s="71">
        <f>SUM(H792:H793)</f>
        <v>3240.5</v>
      </c>
      <c r="I791" s="39">
        <f t="shared" si="22"/>
        <v>100</v>
      </c>
      <c r="J791" s="115"/>
      <c r="K791" s="115"/>
    </row>
    <row r="792" spans="1:11" s="116" customFormat="1" ht="28.5" customHeight="1" hidden="1">
      <c r="A792" s="46" t="s">
        <v>685</v>
      </c>
      <c r="B792" s="123"/>
      <c r="C792" s="53" t="s">
        <v>910</v>
      </c>
      <c r="D792" s="53" t="s">
        <v>688</v>
      </c>
      <c r="E792" s="53" t="s">
        <v>407</v>
      </c>
      <c r="F792" s="133" t="s">
        <v>686</v>
      </c>
      <c r="G792" s="71"/>
      <c r="H792" s="71"/>
      <c r="I792" s="39" t="e">
        <f t="shared" si="22"/>
        <v>#DIV/0!</v>
      </c>
      <c r="J792" s="115"/>
      <c r="K792" s="115"/>
    </row>
    <row r="793" spans="1:11" s="116" customFormat="1" ht="25.5" customHeight="1">
      <c r="A793" s="34" t="s">
        <v>1324</v>
      </c>
      <c r="B793" s="123"/>
      <c r="C793" s="53" t="s">
        <v>910</v>
      </c>
      <c r="D793" s="53" t="s">
        <v>688</v>
      </c>
      <c r="E793" s="53" t="s">
        <v>407</v>
      </c>
      <c r="F793" s="133" t="s">
        <v>1325</v>
      </c>
      <c r="G793" s="71">
        <v>3240.5</v>
      </c>
      <c r="H793" s="71">
        <v>3240.5</v>
      </c>
      <c r="I793" s="39">
        <f t="shared" si="22"/>
        <v>100</v>
      </c>
      <c r="J793" s="115">
        <f>SUM('[1]ведомствен.'!G427+'[1]ведомствен.'!G797)</f>
        <v>3240.5</v>
      </c>
      <c r="K793" s="115">
        <f>SUM('[1]ведомствен.'!H427+'[1]ведомствен.'!H797)</f>
        <v>3240.5</v>
      </c>
    </row>
    <row r="794" spans="1:11" s="116" customFormat="1" ht="42.75">
      <c r="A794" s="34" t="s">
        <v>1348</v>
      </c>
      <c r="B794" s="123"/>
      <c r="C794" s="53" t="s">
        <v>910</v>
      </c>
      <c r="D794" s="53" t="s">
        <v>688</v>
      </c>
      <c r="E794" s="53" t="s">
        <v>1349</v>
      </c>
      <c r="F794" s="133"/>
      <c r="G794" s="71">
        <f>SUM(G795)</f>
        <v>1957.2</v>
      </c>
      <c r="H794" s="71">
        <f>SUM(H795)</f>
        <v>1957.2</v>
      </c>
      <c r="I794" s="39">
        <f t="shared" si="22"/>
        <v>100</v>
      </c>
      <c r="J794" s="115"/>
      <c r="K794" s="115"/>
    </row>
    <row r="795" spans="1:11" s="116" customFormat="1" ht="15">
      <c r="A795" s="34" t="s">
        <v>1324</v>
      </c>
      <c r="B795" s="123"/>
      <c r="C795" s="53" t="s">
        <v>910</v>
      </c>
      <c r="D795" s="53" t="s">
        <v>688</v>
      </c>
      <c r="E795" s="53" t="s">
        <v>1349</v>
      </c>
      <c r="F795" s="133" t="s">
        <v>1325</v>
      </c>
      <c r="G795" s="71">
        <v>1957.2</v>
      </c>
      <c r="H795" s="71">
        <v>1957.2</v>
      </c>
      <c r="I795" s="39">
        <f t="shared" si="22"/>
        <v>100</v>
      </c>
      <c r="J795" s="147">
        <f>SUM('[1]ведомствен.'!G429)</f>
        <v>1957.2</v>
      </c>
      <c r="K795" s="147">
        <f>SUM('[1]ведомствен.'!H429)</f>
        <v>1957.2</v>
      </c>
    </row>
    <row r="796" spans="1:9" ht="18" customHeight="1">
      <c r="A796" s="74" t="s">
        <v>742</v>
      </c>
      <c r="B796" s="35"/>
      <c r="C796" s="53" t="s">
        <v>910</v>
      </c>
      <c r="D796" s="53" t="s">
        <v>688</v>
      </c>
      <c r="E796" s="53" t="s">
        <v>743</v>
      </c>
      <c r="F796" s="41"/>
      <c r="G796" s="38">
        <f>SUM(G799+G797)</f>
        <v>7489.2</v>
      </c>
      <c r="H796" s="38">
        <f>SUM(H799+H797)</f>
        <v>7446.3</v>
      </c>
      <c r="I796" s="39">
        <f t="shared" si="22"/>
        <v>99.42717513219036</v>
      </c>
    </row>
    <row r="797" spans="1:9" ht="62.25" customHeight="1">
      <c r="A797" s="74" t="s">
        <v>1350</v>
      </c>
      <c r="B797" s="35"/>
      <c r="C797" s="53" t="s">
        <v>910</v>
      </c>
      <c r="D797" s="53" t="s">
        <v>688</v>
      </c>
      <c r="E797" s="53" t="s">
        <v>1351</v>
      </c>
      <c r="F797" s="41"/>
      <c r="G797" s="38">
        <f>SUM(G798)</f>
        <v>4460</v>
      </c>
      <c r="H797" s="38">
        <f>SUM(H798)</f>
        <v>4417.1</v>
      </c>
      <c r="I797" s="39">
        <f t="shared" si="22"/>
        <v>99.03811659192826</v>
      </c>
    </row>
    <row r="798" spans="1:11" ht="19.5" customHeight="1">
      <c r="A798" s="40" t="s">
        <v>403</v>
      </c>
      <c r="B798" s="72"/>
      <c r="C798" s="53" t="s">
        <v>910</v>
      </c>
      <c r="D798" s="53" t="s">
        <v>688</v>
      </c>
      <c r="E798" s="53" t="s">
        <v>1351</v>
      </c>
      <c r="F798" s="42" t="s">
        <v>1352</v>
      </c>
      <c r="G798" s="38">
        <v>4460</v>
      </c>
      <c r="H798" s="38">
        <v>4417.1</v>
      </c>
      <c r="I798" s="39">
        <f t="shared" si="22"/>
        <v>99.03811659192826</v>
      </c>
      <c r="J798" s="6">
        <f>SUM('[1]ведомствен.'!G707)</f>
        <v>4460</v>
      </c>
      <c r="K798" s="6">
        <f>SUM('[1]ведомствен.'!H707)</f>
        <v>4417.1</v>
      </c>
    </row>
    <row r="799" spans="1:9" ht="17.25" customHeight="1">
      <c r="A799" s="46" t="s">
        <v>685</v>
      </c>
      <c r="B799" s="35"/>
      <c r="C799" s="53" t="s">
        <v>910</v>
      </c>
      <c r="D799" s="53" t="s">
        <v>688</v>
      </c>
      <c r="E799" s="53" t="s">
        <v>743</v>
      </c>
      <c r="F799" s="41" t="s">
        <v>686</v>
      </c>
      <c r="G799" s="38">
        <f>SUM(G800:G800)</f>
        <v>3029.2</v>
      </c>
      <c r="H799" s="38">
        <f>SUM(H800:H800)</f>
        <v>3029.2</v>
      </c>
      <c r="I799" s="39">
        <f t="shared" si="22"/>
        <v>100</v>
      </c>
    </row>
    <row r="800" spans="1:9" ht="30" customHeight="1">
      <c r="A800" s="46" t="s">
        <v>1013</v>
      </c>
      <c r="B800" s="35"/>
      <c r="C800" s="53" t="s">
        <v>910</v>
      </c>
      <c r="D800" s="53" t="s">
        <v>688</v>
      </c>
      <c r="E800" s="48" t="s">
        <v>1014</v>
      </c>
      <c r="F800" s="37" t="s">
        <v>686</v>
      </c>
      <c r="G800" s="38">
        <f>SUM(G801:G802)</f>
        <v>3029.2</v>
      </c>
      <c r="H800" s="38">
        <f>SUM(H801:H802)</f>
        <v>3029.2</v>
      </c>
      <c r="I800" s="39">
        <f t="shared" si="22"/>
        <v>100</v>
      </c>
    </row>
    <row r="801" spans="1:11" s="98" customFormat="1" ht="27.75" customHeight="1">
      <c r="A801" s="34" t="s">
        <v>406</v>
      </c>
      <c r="B801" s="52"/>
      <c r="C801" s="53" t="s">
        <v>910</v>
      </c>
      <c r="D801" s="53" t="s">
        <v>688</v>
      </c>
      <c r="E801" s="48" t="s">
        <v>1353</v>
      </c>
      <c r="F801" s="37" t="s">
        <v>686</v>
      </c>
      <c r="G801" s="71">
        <v>2050.6</v>
      </c>
      <c r="H801" s="71">
        <v>2050.6</v>
      </c>
      <c r="I801" s="39">
        <f t="shared" si="22"/>
        <v>100</v>
      </c>
      <c r="J801" s="130">
        <f>SUM('[1]ведомствен.'!G435+'[1]ведомствен.'!G803)</f>
        <v>2050.6</v>
      </c>
      <c r="K801" s="130">
        <f>SUM('[1]ведомствен.'!H435+'[1]ведомствен.'!H803)</f>
        <v>2050.6</v>
      </c>
    </row>
    <row r="802" spans="1:11" s="98" customFormat="1" ht="45" customHeight="1">
      <c r="A802" s="34" t="s">
        <v>1354</v>
      </c>
      <c r="B802" s="52"/>
      <c r="C802" s="53" t="s">
        <v>910</v>
      </c>
      <c r="D802" s="53" t="s">
        <v>688</v>
      </c>
      <c r="E802" s="48" t="s">
        <v>1355</v>
      </c>
      <c r="F802" s="37" t="s">
        <v>686</v>
      </c>
      <c r="G802" s="71">
        <f>1059.3-80.7</f>
        <v>978.5999999999999</v>
      </c>
      <c r="H802" s="71">
        <f>1059.3-80.7</f>
        <v>978.5999999999999</v>
      </c>
      <c r="I802" s="39">
        <f t="shared" si="22"/>
        <v>100</v>
      </c>
      <c r="J802" s="130">
        <f>SUM('[1]ведомствен.'!G436+'[1]ведомствен.'!G804)</f>
        <v>978.5999999999999</v>
      </c>
      <c r="K802" s="130">
        <f>SUM('[1]ведомствен.'!H436+'[1]ведомствен.'!H804)</f>
        <v>978.6</v>
      </c>
    </row>
    <row r="803" spans="1:9" ht="18.75" customHeight="1">
      <c r="A803" s="54" t="s">
        <v>1356</v>
      </c>
      <c r="B803" s="35"/>
      <c r="C803" s="48" t="s">
        <v>910</v>
      </c>
      <c r="D803" s="81" t="s">
        <v>712</v>
      </c>
      <c r="E803" s="81"/>
      <c r="F803" s="68"/>
      <c r="G803" s="71">
        <f>SUM(G804+G807)</f>
        <v>41598.7</v>
      </c>
      <c r="H803" s="71">
        <f>SUM(H804+H807)</f>
        <v>38644</v>
      </c>
      <c r="I803" s="39">
        <f t="shared" si="22"/>
        <v>92.89713380466218</v>
      </c>
    </row>
    <row r="804" spans="1:9" ht="15" customHeight="1" hidden="1">
      <c r="A804" s="54" t="s">
        <v>1326</v>
      </c>
      <c r="B804" s="35"/>
      <c r="C804" s="48" t="s">
        <v>910</v>
      </c>
      <c r="D804" s="81" t="s">
        <v>712</v>
      </c>
      <c r="E804" s="81" t="s">
        <v>1327</v>
      </c>
      <c r="F804" s="68"/>
      <c r="G804" s="38">
        <f>SUM(G805)</f>
        <v>0</v>
      </c>
      <c r="H804" s="38">
        <f>SUM(H805)</f>
        <v>0</v>
      </c>
      <c r="I804" s="39" t="e">
        <f t="shared" si="22"/>
        <v>#DIV/0!</v>
      </c>
    </row>
    <row r="805" spans="1:9" ht="42.75" customHeight="1" hidden="1">
      <c r="A805" s="74" t="s">
        <v>1357</v>
      </c>
      <c r="B805" s="35"/>
      <c r="C805" s="48" t="s">
        <v>910</v>
      </c>
      <c r="D805" s="81" t="s">
        <v>712</v>
      </c>
      <c r="E805" s="81" t="s">
        <v>1358</v>
      </c>
      <c r="F805" s="68"/>
      <c r="G805" s="38">
        <f>SUM(G806)</f>
        <v>0</v>
      </c>
      <c r="H805" s="38">
        <f>SUM(H806)</f>
        <v>0</v>
      </c>
      <c r="I805" s="39" t="e">
        <f t="shared" si="22"/>
        <v>#DIV/0!</v>
      </c>
    </row>
    <row r="806" spans="1:9" ht="15" customHeight="1" hidden="1">
      <c r="A806" s="74" t="s">
        <v>879</v>
      </c>
      <c r="B806" s="35"/>
      <c r="C806" s="48" t="s">
        <v>910</v>
      </c>
      <c r="D806" s="81" t="s">
        <v>712</v>
      </c>
      <c r="E806" s="81" t="s">
        <v>1358</v>
      </c>
      <c r="F806" s="41" t="s">
        <v>880</v>
      </c>
      <c r="G806" s="38"/>
      <c r="H806" s="38"/>
      <c r="I806" s="39" t="e">
        <f t="shared" si="22"/>
        <v>#DIV/0!</v>
      </c>
    </row>
    <row r="807" spans="1:9" ht="21" customHeight="1">
      <c r="A807" s="74" t="s">
        <v>1359</v>
      </c>
      <c r="B807" s="35"/>
      <c r="C807" s="48" t="s">
        <v>910</v>
      </c>
      <c r="D807" s="81" t="s">
        <v>712</v>
      </c>
      <c r="E807" s="81" t="s">
        <v>1156</v>
      </c>
      <c r="F807" s="41"/>
      <c r="G807" s="38">
        <f>SUM(G811+G808)</f>
        <v>41598.7</v>
      </c>
      <c r="H807" s="38">
        <f>SUM(H811+H808)</f>
        <v>38644</v>
      </c>
      <c r="I807" s="39">
        <f t="shared" si="22"/>
        <v>92.89713380466218</v>
      </c>
    </row>
    <row r="808" spans="1:9" ht="55.5" customHeight="1">
      <c r="A808" s="93" t="s">
        <v>1360</v>
      </c>
      <c r="B808" s="35"/>
      <c r="C808" s="48" t="s">
        <v>910</v>
      </c>
      <c r="D808" s="81" t="s">
        <v>712</v>
      </c>
      <c r="E808" s="53" t="s">
        <v>1361</v>
      </c>
      <c r="F808" s="42"/>
      <c r="G808" s="71">
        <f>SUM(G810)</f>
        <v>17383.6</v>
      </c>
      <c r="H808" s="71">
        <f>SUM(H810)</f>
        <v>15863.9</v>
      </c>
      <c r="I808" s="39">
        <f t="shared" si="22"/>
        <v>91.25785222853725</v>
      </c>
    </row>
    <row r="809" spans="1:9" ht="73.5" customHeight="1">
      <c r="A809" s="93" t="s">
        <v>1362</v>
      </c>
      <c r="B809" s="35"/>
      <c r="C809" s="48" t="s">
        <v>910</v>
      </c>
      <c r="D809" s="81" t="s">
        <v>712</v>
      </c>
      <c r="E809" s="53" t="s">
        <v>1363</v>
      </c>
      <c r="F809" s="42"/>
      <c r="G809" s="71">
        <f>SUM(G810)</f>
        <v>17383.6</v>
      </c>
      <c r="H809" s="71">
        <f>SUM(H810)</f>
        <v>15863.9</v>
      </c>
      <c r="I809" s="39">
        <f t="shared" si="22"/>
        <v>91.25785222853725</v>
      </c>
    </row>
    <row r="810" spans="1:11" ht="21" customHeight="1">
      <c r="A810" s="93" t="s">
        <v>879</v>
      </c>
      <c r="B810" s="35"/>
      <c r="C810" s="48" t="s">
        <v>910</v>
      </c>
      <c r="D810" s="81" t="s">
        <v>712</v>
      </c>
      <c r="E810" s="53" t="s">
        <v>1363</v>
      </c>
      <c r="F810" s="42" t="s">
        <v>880</v>
      </c>
      <c r="G810" s="71">
        <v>17383.6</v>
      </c>
      <c r="H810" s="71">
        <v>15863.9</v>
      </c>
      <c r="I810" s="39">
        <f t="shared" si="22"/>
        <v>91.25785222853725</v>
      </c>
      <c r="J810" s="6">
        <f>SUM('[1]ведомствен.'!G1028)</f>
        <v>17383.6</v>
      </c>
      <c r="K810" s="6">
        <f>SUM('[1]ведомствен.'!H1028)</f>
        <v>15863.9</v>
      </c>
    </row>
    <row r="811" spans="1:9" ht="28.5">
      <c r="A811" s="74" t="s">
        <v>1364</v>
      </c>
      <c r="B811" s="35"/>
      <c r="C811" s="48" t="s">
        <v>910</v>
      </c>
      <c r="D811" s="81" t="s">
        <v>712</v>
      </c>
      <c r="E811" s="81" t="s">
        <v>1365</v>
      </c>
      <c r="F811" s="68"/>
      <c r="G811" s="38">
        <f>SUM(G812)</f>
        <v>24215.100000000002</v>
      </c>
      <c r="H811" s="38">
        <f>SUM(H812)</f>
        <v>22780.1</v>
      </c>
      <c r="I811" s="39">
        <f t="shared" si="22"/>
        <v>94.0739455959298</v>
      </c>
    </row>
    <row r="812" spans="1:9" ht="70.5" customHeight="1">
      <c r="A812" s="51" t="s">
        <v>1366</v>
      </c>
      <c r="B812" s="35"/>
      <c r="C812" s="48" t="s">
        <v>910</v>
      </c>
      <c r="D812" s="48" t="s">
        <v>712</v>
      </c>
      <c r="E812" s="81" t="s">
        <v>1365</v>
      </c>
      <c r="F812" s="133"/>
      <c r="G812" s="38">
        <f>SUM(G817+G819+G813+G815)</f>
        <v>24215.100000000002</v>
      </c>
      <c r="H812" s="38">
        <f>SUM(H817+H819+H813+H815)</f>
        <v>22780.1</v>
      </c>
      <c r="I812" s="39">
        <f t="shared" si="22"/>
        <v>94.0739455959298</v>
      </c>
    </row>
    <row r="813" spans="1:9" ht="26.25" customHeight="1">
      <c r="A813" s="51" t="s">
        <v>1367</v>
      </c>
      <c r="B813" s="35"/>
      <c r="C813" s="48" t="s">
        <v>910</v>
      </c>
      <c r="D813" s="48" t="s">
        <v>712</v>
      </c>
      <c r="E813" s="81" t="s">
        <v>1368</v>
      </c>
      <c r="F813" s="133"/>
      <c r="G813" s="38">
        <f>SUM(G814)</f>
        <v>518</v>
      </c>
      <c r="H813" s="38">
        <f>SUM(H814)</f>
        <v>307.2</v>
      </c>
      <c r="I813" s="39">
        <f t="shared" si="22"/>
        <v>59.3050193050193</v>
      </c>
    </row>
    <row r="814" spans="1:11" ht="30" customHeight="1">
      <c r="A814" s="51" t="s">
        <v>1369</v>
      </c>
      <c r="B814" s="35"/>
      <c r="C814" s="48" t="s">
        <v>910</v>
      </c>
      <c r="D814" s="48" t="s">
        <v>712</v>
      </c>
      <c r="E814" s="81" t="s">
        <v>1368</v>
      </c>
      <c r="F814" s="133" t="s">
        <v>1370</v>
      </c>
      <c r="G814" s="38">
        <v>518</v>
      </c>
      <c r="H814" s="38">
        <v>307.2</v>
      </c>
      <c r="I814" s="39">
        <f t="shared" si="22"/>
        <v>59.3050193050193</v>
      </c>
      <c r="J814" s="6">
        <f>SUM('[1]ведомствен.'!G715)</f>
        <v>518</v>
      </c>
      <c r="K814" s="6">
        <f>SUM('[1]ведомствен.'!H715)</f>
        <v>307.2</v>
      </c>
    </row>
    <row r="815" spans="1:9" ht="26.25" customHeight="1">
      <c r="A815" s="51" t="s">
        <v>1371</v>
      </c>
      <c r="B815" s="35"/>
      <c r="C815" s="48" t="s">
        <v>910</v>
      </c>
      <c r="D815" s="48" t="s">
        <v>712</v>
      </c>
      <c r="E815" s="81" t="s">
        <v>1372</v>
      </c>
      <c r="F815" s="133"/>
      <c r="G815" s="38">
        <f>SUM(G816)</f>
        <v>692.6999999999999</v>
      </c>
      <c r="H815" s="38">
        <f>SUM(H816)</f>
        <v>330.6</v>
      </c>
      <c r="I815" s="39">
        <f t="shared" si="22"/>
        <v>47.72628843655263</v>
      </c>
    </row>
    <row r="816" spans="1:11" ht="36.75" customHeight="1">
      <c r="A816" s="51" t="s">
        <v>1369</v>
      </c>
      <c r="B816" s="35"/>
      <c r="C816" s="48" t="s">
        <v>910</v>
      </c>
      <c r="D816" s="48" t="s">
        <v>712</v>
      </c>
      <c r="E816" s="81" t="s">
        <v>1372</v>
      </c>
      <c r="F816" s="133" t="s">
        <v>1370</v>
      </c>
      <c r="G816" s="38">
        <f>670.4+22.3</f>
        <v>692.6999999999999</v>
      </c>
      <c r="H816" s="38">
        <v>330.6</v>
      </c>
      <c r="I816" s="39">
        <f t="shared" si="22"/>
        <v>47.72628843655263</v>
      </c>
      <c r="J816" s="6">
        <f>SUM('[1]ведомствен.'!G717)</f>
        <v>692.6999999999999</v>
      </c>
      <c r="K816" s="6">
        <f>SUM('[1]ведомствен.'!H717)</f>
        <v>330.6</v>
      </c>
    </row>
    <row r="817" spans="1:9" ht="32.25" customHeight="1" hidden="1">
      <c r="A817" s="51" t="s">
        <v>1373</v>
      </c>
      <c r="B817" s="35"/>
      <c r="C817" s="48" t="s">
        <v>910</v>
      </c>
      <c r="D817" s="48" t="s">
        <v>712</v>
      </c>
      <c r="E817" s="81" t="s">
        <v>1374</v>
      </c>
      <c r="F817" s="133"/>
      <c r="G817" s="38">
        <f>SUM(G818)</f>
        <v>0</v>
      </c>
      <c r="H817" s="38">
        <f>SUM(H818)</f>
        <v>0</v>
      </c>
      <c r="I817" s="39" t="e">
        <f t="shared" si="22"/>
        <v>#DIV/0!</v>
      </c>
    </row>
    <row r="818" spans="1:9" ht="28.5" customHeight="1" hidden="1">
      <c r="A818" s="51" t="s">
        <v>1369</v>
      </c>
      <c r="B818" s="35"/>
      <c r="C818" s="48" t="s">
        <v>910</v>
      </c>
      <c r="D818" s="48" t="s">
        <v>712</v>
      </c>
      <c r="E818" s="81" t="s">
        <v>1374</v>
      </c>
      <c r="F818" s="133" t="s">
        <v>1370</v>
      </c>
      <c r="G818" s="38"/>
      <c r="H818" s="38"/>
      <c r="I818" s="39" t="e">
        <f t="shared" si="22"/>
        <v>#DIV/0!</v>
      </c>
    </row>
    <row r="819" spans="1:9" ht="28.5" customHeight="1">
      <c r="A819" s="51" t="s">
        <v>1369</v>
      </c>
      <c r="B819" s="35"/>
      <c r="C819" s="48" t="s">
        <v>910</v>
      </c>
      <c r="D819" s="48" t="s">
        <v>712</v>
      </c>
      <c r="E819" s="81" t="s">
        <v>1375</v>
      </c>
      <c r="F819" s="133"/>
      <c r="G819" s="38">
        <f>SUM(G820)</f>
        <v>23004.4</v>
      </c>
      <c r="H819" s="38">
        <f>SUM(H820)</f>
        <v>22142.3</v>
      </c>
      <c r="I819" s="39">
        <f t="shared" si="22"/>
        <v>96.25245605188572</v>
      </c>
    </row>
    <row r="820" spans="1:11" ht="63" customHeight="1">
      <c r="A820" s="51" t="s">
        <v>1376</v>
      </c>
      <c r="B820" s="35"/>
      <c r="C820" s="48" t="s">
        <v>910</v>
      </c>
      <c r="D820" s="48" t="s">
        <v>712</v>
      </c>
      <c r="E820" s="81" t="s">
        <v>1375</v>
      </c>
      <c r="F820" s="133" t="s">
        <v>1370</v>
      </c>
      <c r="G820" s="38">
        <f>25613.5-2609.1</f>
        <v>23004.4</v>
      </c>
      <c r="H820" s="38">
        <v>22142.3</v>
      </c>
      <c r="I820" s="39">
        <f t="shared" si="22"/>
        <v>96.25245605188572</v>
      </c>
      <c r="J820" s="6">
        <f>SUM('[1]ведомствен.'!G723)</f>
        <v>23004.4</v>
      </c>
      <c r="K820" s="6">
        <f>SUM('[1]ведомствен.'!H723)</f>
        <v>22142.3</v>
      </c>
    </row>
    <row r="821" spans="1:9" ht="19.5" customHeight="1">
      <c r="A821" s="46" t="s">
        <v>1377</v>
      </c>
      <c r="B821" s="35"/>
      <c r="C821" s="81" t="s">
        <v>910</v>
      </c>
      <c r="D821" s="81" t="s">
        <v>751</v>
      </c>
      <c r="E821" s="81"/>
      <c r="F821" s="68"/>
      <c r="G821" s="71">
        <f>SUM(G822+G835)</f>
        <v>21149.6</v>
      </c>
      <c r="H821" s="71">
        <f>SUM(H822+H835)</f>
        <v>21149.5</v>
      </c>
      <c r="I821" s="39">
        <f t="shared" si="22"/>
        <v>99.99952717781898</v>
      </c>
    </row>
    <row r="822" spans="1:9" ht="42.75">
      <c r="A822" s="40" t="s">
        <v>681</v>
      </c>
      <c r="B822" s="35"/>
      <c r="C822" s="36" t="s">
        <v>910</v>
      </c>
      <c r="D822" s="36" t="s">
        <v>751</v>
      </c>
      <c r="E822" s="36" t="s">
        <v>682</v>
      </c>
      <c r="F822" s="41"/>
      <c r="G822" s="38">
        <f>SUM(G823)</f>
        <v>21149.6</v>
      </c>
      <c r="H822" s="38">
        <f>SUM(H823)</f>
        <v>21149.5</v>
      </c>
      <c r="I822" s="39">
        <f t="shared" si="22"/>
        <v>99.99952717781898</v>
      </c>
    </row>
    <row r="823" spans="1:9" ht="15">
      <c r="A823" s="40" t="s">
        <v>689</v>
      </c>
      <c r="B823" s="35"/>
      <c r="C823" s="36" t="s">
        <v>910</v>
      </c>
      <c r="D823" s="36" t="s">
        <v>751</v>
      </c>
      <c r="E823" s="36" t="s">
        <v>691</v>
      </c>
      <c r="F823" s="41"/>
      <c r="G823" s="38">
        <f>SUM(G824+G827+G833+G831)</f>
        <v>21149.6</v>
      </c>
      <c r="H823" s="38">
        <f>SUM(H824+H827+H833+H831)</f>
        <v>21149.5</v>
      </c>
      <c r="I823" s="39">
        <f t="shared" si="22"/>
        <v>99.99952717781898</v>
      </c>
    </row>
    <row r="824" spans="1:11" ht="14.25" customHeight="1">
      <c r="A824" s="46" t="s">
        <v>685</v>
      </c>
      <c r="B824" s="35"/>
      <c r="C824" s="36" t="s">
        <v>910</v>
      </c>
      <c r="D824" s="36" t="s">
        <v>751</v>
      </c>
      <c r="E824" s="36" t="s">
        <v>691</v>
      </c>
      <c r="F824" s="148" t="s">
        <v>686</v>
      </c>
      <c r="G824" s="38">
        <v>324.2</v>
      </c>
      <c r="H824" s="38">
        <v>324.1</v>
      </c>
      <c r="I824" s="39">
        <f t="shared" si="22"/>
        <v>99.9691548426897</v>
      </c>
      <c r="J824" s="6">
        <f>SUM('[1]ведомствен.'!G727)</f>
        <v>324.2</v>
      </c>
      <c r="K824" s="6">
        <f>SUM('[1]ведомствен.'!H727)</f>
        <v>324.1</v>
      </c>
    </row>
    <row r="825" spans="1:9" ht="28.5" customHeight="1" hidden="1">
      <c r="A825" s="46" t="s">
        <v>1378</v>
      </c>
      <c r="B825" s="35"/>
      <c r="C825" s="36" t="s">
        <v>910</v>
      </c>
      <c r="D825" s="36" t="s">
        <v>751</v>
      </c>
      <c r="E825" s="36" t="s">
        <v>1379</v>
      </c>
      <c r="F825" s="148"/>
      <c r="G825" s="38">
        <f>SUM(G826)</f>
        <v>0</v>
      </c>
      <c r="H825" s="38">
        <f>SUM(H826)</f>
        <v>0</v>
      </c>
      <c r="I825" s="39" t="e">
        <f t="shared" si="22"/>
        <v>#DIV/0!</v>
      </c>
    </row>
    <row r="826" spans="1:9" ht="14.25" customHeight="1" hidden="1">
      <c r="A826" s="46" t="s">
        <v>685</v>
      </c>
      <c r="B826" s="35"/>
      <c r="C826" s="36" t="s">
        <v>910</v>
      </c>
      <c r="D826" s="36" t="s">
        <v>751</v>
      </c>
      <c r="E826" s="36" t="s">
        <v>1379</v>
      </c>
      <c r="F826" s="148" t="s">
        <v>686</v>
      </c>
      <c r="G826" s="38"/>
      <c r="H826" s="38"/>
      <c r="I826" s="39" t="e">
        <f t="shared" si="22"/>
        <v>#DIV/0!</v>
      </c>
    </row>
    <row r="827" spans="1:9" ht="27" customHeight="1">
      <c r="A827" s="46" t="s">
        <v>1380</v>
      </c>
      <c r="B827" s="35"/>
      <c r="C827" s="36" t="s">
        <v>910</v>
      </c>
      <c r="D827" s="36" t="s">
        <v>751</v>
      </c>
      <c r="E827" s="36" t="s">
        <v>1381</v>
      </c>
      <c r="F827" s="148"/>
      <c r="G827" s="38">
        <f>SUM(G828)</f>
        <v>3496.7</v>
      </c>
      <c r="H827" s="38">
        <f>SUM(H828)</f>
        <v>3496.7</v>
      </c>
      <c r="I827" s="39">
        <f t="shared" si="22"/>
        <v>100</v>
      </c>
    </row>
    <row r="828" spans="1:11" ht="24" customHeight="1">
      <c r="A828" s="46" t="s">
        <v>685</v>
      </c>
      <c r="B828" s="70"/>
      <c r="C828" s="36" t="s">
        <v>910</v>
      </c>
      <c r="D828" s="36" t="s">
        <v>751</v>
      </c>
      <c r="E828" s="36" t="s">
        <v>1381</v>
      </c>
      <c r="F828" s="148" t="s">
        <v>686</v>
      </c>
      <c r="G828" s="38">
        <f>3403+93.7</f>
        <v>3496.7</v>
      </c>
      <c r="H828" s="38">
        <f>3403+93.7</f>
        <v>3496.7</v>
      </c>
      <c r="I828" s="39">
        <f t="shared" si="22"/>
        <v>100</v>
      </c>
      <c r="J828" s="6">
        <f>SUM('[1]ведомствен.'!G731)</f>
        <v>3496.7</v>
      </c>
      <c r="K828" s="6">
        <f>SUM('[1]ведомствен.'!H731)</f>
        <v>3496.7</v>
      </c>
    </row>
    <row r="829" spans="1:9" ht="42.75" customHeight="1" hidden="1">
      <c r="A829" s="46" t="s">
        <v>1382</v>
      </c>
      <c r="B829" s="70"/>
      <c r="C829" s="36" t="s">
        <v>910</v>
      </c>
      <c r="D829" s="36" t="s">
        <v>751</v>
      </c>
      <c r="E829" s="36" t="s">
        <v>1383</v>
      </c>
      <c r="F829" s="148"/>
      <c r="G829" s="38"/>
      <c r="H829" s="38"/>
      <c r="I829" s="39" t="e">
        <f t="shared" si="22"/>
        <v>#DIV/0!</v>
      </c>
    </row>
    <row r="830" spans="1:11" s="155" customFormat="1" ht="18.75" customHeight="1" hidden="1">
      <c r="A830" s="149" t="s">
        <v>685</v>
      </c>
      <c r="B830" s="150"/>
      <c r="C830" s="151" t="s">
        <v>910</v>
      </c>
      <c r="D830" s="151" t="s">
        <v>751</v>
      </c>
      <c r="E830" s="151" t="s">
        <v>1383</v>
      </c>
      <c r="F830" s="152" t="s">
        <v>686</v>
      </c>
      <c r="G830" s="153"/>
      <c r="H830" s="153"/>
      <c r="I830" s="39" t="e">
        <f t="shared" si="22"/>
        <v>#DIV/0!</v>
      </c>
      <c r="J830" s="154"/>
      <c r="K830" s="154"/>
    </row>
    <row r="831" spans="1:9" ht="28.5">
      <c r="A831" s="46" t="s">
        <v>1378</v>
      </c>
      <c r="B831" s="35"/>
      <c r="C831" s="36" t="s">
        <v>910</v>
      </c>
      <c r="D831" s="36" t="s">
        <v>751</v>
      </c>
      <c r="E831" s="36" t="s">
        <v>1379</v>
      </c>
      <c r="F831" s="148"/>
      <c r="G831" s="38">
        <f>SUM(G832)</f>
        <v>14349</v>
      </c>
      <c r="H831" s="38">
        <f>SUM(H832)</f>
        <v>14349</v>
      </c>
      <c r="I831" s="39">
        <f t="shared" si="22"/>
        <v>100</v>
      </c>
    </row>
    <row r="832" spans="1:11" ht="14.25" customHeight="1">
      <c r="A832" s="46" t="s">
        <v>685</v>
      </c>
      <c r="B832" s="35"/>
      <c r="C832" s="36" t="s">
        <v>910</v>
      </c>
      <c r="D832" s="36" t="s">
        <v>751</v>
      </c>
      <c r="E832" s="36" t="s">
        <v>1379</v>
      </c>
      <c r="F832" s="148" t="s">
        <v>686</v>
      </c>
      <c r="G832" s="38">
        <v>14349</v>
      </c>
      <c r="H832" s="38">
        <v>14349</v>
      </c>
      <c r="I832" s="39">
        <f t="shared" si="22"/>
        <v>100</v>
      </c>
      <c r="J832" s="6">
        <f>SUM('[1]ведомствен.'!G735)</f>
        <v>14349</v>
      </c>
      <c r="K832" s="6">
        <f>SUM('[1]ведомствен.'!H735)</f>
        <v>14349</v>
      </c>
    </row>
    <row r="833" spans="1:9" ht="42.75">
      <c r="A833" s="46" t="s">
        <v>1382</v>
      </c>
      <c r="B833" s="70"/>
      <c r="C833" s="36" t="s">
        <v>910</v>
      </c>
      <c r="D833" s="36" t="s">
        <v>751</v>
      </c>
      <c r="E833" s="36" t="s">
        <v>1384</v>
      </c>
      <c r="F833" s="148"/>
      <c r="G833" s="38">
        <f>SUM(G834)</f>
        <v>2979.7000000000003</v>
      </c>
      <c r="H833" s="38">
        <f>SUM(H834)</f>
        <v>2979.7000000000003</v>
      </c>
      <c r="I833" s="39">
        <f t="shared" si="22"/>
        <v>100</v>
      </c>
    </row>
    <row r="834" spans="1:11" s="155" customFormat="1" ht="18" customHeight="1" thickBot="1">
      <c r="A834" s="149" t="s">
        <v>685</v>
      </c>
      <c r="B834" s="150"/>
      <c r="C834" s="151" t="s">
        <v>910</v>
      </c>
      <c r="D834" s="151" t="s">
        <v>751</v>
      </c>
      <c r="E834" s="36" t="s">
        <v>1384</v>
      </c>
      <c r="F834" s="152" t="s">
        <v>686</v>
      </c>
      <c r="G834" s="153">
        <f>2895.9+83.8</f>
        <v>2979.7000000000003</v>
      </c>
      <c r="H834" s="153">
        <f>2895.9+83.8</f>
        <v>2979.7000000000003</v>
      </c>
      <c r="I834" s="39">
        <f t="shared" si="22"/>
        <v>100</v>
      </c>
      <c r="J834" s="6">
        <f>SUM('[1]ведомствен.'!G737)</f>
        <v>2979.7000000000003</v>
      </c>
      <c r="K834" s="6">
        <f>SUM('[1]ведомствен.'!H737)</f>
        <v>2979.7000000000003</v>
      </c>
    </row>
    <row r="835" spans="1:11" s="155" customFormat="1" ht="18.75" customHeight="1" hidden="1">
      <c r="A835" s="156" t="s">
        <v>1385</v>
      </c>
      <c r="B835" s="157"/>
      <c r="C835" s="158" t="s">
        <v>910</v>
      </c>
      <c r="D835" s="158" t="s">
        <v>751</v>
      </c>
      <c r="E835" s="159" t="s">
        <v>1386</v>
      </c>
      <c r="F835" s="160"/>
      <c r="G835" s="161">
        <f aca="true" t="shared" si="23" ref="G835:H837">SUM(G836)</f>
        <v>0</v>
      </c>
      <c r="H835" s="161">
        <f t="shared" si="23"/>
        <v>0</v>
      </c>
      <c r="I835" s="39" t="e">
        <f t="shared" si="22"/>
        <v>#DIV/0!</v>
      </c>
      <c r="J835" s="154"/>
      <c r="K835" s="154"/>
    </row>
    <row r="836" spans="1:11" s="155" customFormat="1" ht="18.75" customHeight="1" hidden="1">
      <c r="A836" s="156" t="s">
        <v>1387</v>
      </c>
      <c r="B836" s="157"/>
      <c r="C836" s="158" t="s">
        <v>910</v>
      </c>
      <c r="D836" s="158" t="s">
        <v>751</v>
      </c>
      <c r="E836" s="159" t="s">
        <v>1388</v>
      </c>
      <c r="F836" s="160"/>
      <c r="G836" s="161">
        <f t="shared" si="23"/>
        <v>0</v>
      </c>
      <c r="H836" s="161">
        <f t="shared" si="23"/>
        <v>0</v>
      </c>
      <c r="I836" s="39" t="e">
        <f t="shared" si="22"/>
        <v>#DIV/0!</v>
      </c>
      <c r="J836" s="154"/>
      <c r="K836" s="154"/>
    </row>
    <row r="837" spans="1:11" s="155" customFormat="1" ht="57" customHeight="1" hidden="1">
      <c r="A837" s="156" t="s">
        <v>1389</v>
      </c>
      <c r="B837" s="157"/>
      <c r="C837" s="158" t="s">
        <v>910</v>
      </c>
      <c r="D837" s="158" t="s">
        <v>751</v>
      </c>
      <c r="E837" s="159" t="s">
        <v>1390</v>
      </c>
      <c r="F837" s="160"/>
      <c r="G837" s="161">
        <f t="shared" si="23"/>
        <v>0</v>
      </c>
      <c r="H837" s="161">
        <f t="shared" si="23"/>
        <v>0</v>
      </c>
      <c r="I837" s="39" t="e">
        <f t="shared" si="22"/>
        <v>#DIV/0!</v>
      </c>
      <c r="J837" s="154"/>
      <c r="K837" s="154"/>
    </row>
    <row r="838" spans="1:11" s="155" customFormat="1" ht="18.75" customHeight="1" hidden="1">
      <c r="A838" s="156" t="s">
        <v>782</v>
      </c>
      <c r="B838" s="157"/>
      <c r="C838" s="158" t="s">
        <v>910</v>
      </c>
      <c r="D838" s="158" t="s">
        <v>751</v>
      </c>
      <c r="E838" s="159" t="s">
        <v>1390</v>
      </c>
      <c r="F838" s="160" t="s">
        <v>783</v>
      </c>
      <c r="G838" s="161"/>
      <c r="H838" s="161"/>
      <c r="I838" s="162" t="e">
        <f t="shared" si="22"/>
        <v>#DIV/0!</v>
      </c>
      <c r="J838" s="154"/>
      <c r="K838" s="154"/>
    </row>
    <row r="839" spans="1:11" s="106" customFormat="1" ht="21.75" customHeight="1" thickBot="1">
      <c r="A839" s="163" t="s">
        <v>1391</v>
      </c>
      <c r="B839" s="164"/>
      <c r="C839" s="165"/>
      <c r="D839" s="165"/>
      <c r="E839" s="165"/>
      <c r="F839" s="166"/>
      <c r="G839" s="167">
        <f>SUM(G13+G123+G173+G206+G357+G398+G547+G595+G690)</f>
        <v>2946954.1999999997</v>
      </c>
      <c r="H839" s="167">
        <f>SUM(H13+H123+H173+H206+H357+H398+H547+H595+H690)</f>
        <v>2907138.8999999994</v>
      </c>
      <c r="I839" s="168">
        <f t="shared" si="22"/>
        <v>98.64893387213142</v>
      </c>
      <c r="J839" s="129">
        <f>SUM(J13:J834)</f>
        <v>2946954.200000002</v>
      </c>
      <c r="K839" s="129">
        <f>SUM(K13:K834)</f>
        <v>2907138.9000000013</v>
      </c>
    </row>
    <row r="840" spans="1:9" ht="28.5" customHeight="1" hidden="1">
      <c r="A840" s="169" t="s">
        <v>1392</v>
      </c>
      <c r="B840" s="170"/>
      <c r="C840" s="171"/>
      <c r="D840" s="170"/>
      <c r="E840" s="170"/>
      <c r="F840" s="172"/>
      <c r="G840" s="173">
        <f>-76000-174.5-350</f>
        <v>-76524.5</v>
      </c>
      <c r="H840" s="173">
        <f>-76000-174.5-350</f>
        <v>-76524.5</v>
      </c>
      <c r="I840" s="174">
        <f>-76000-174.5-350</f>
        <v>-76524.5</v>
      </c>
    </row>
    <row r="841" spans="1:9" ht="15" customHeight="1" hidden="1">
      <c r="A841" s="175" t="s">
        <v>1393</v>
      </c>
      <c r="B841" s="176"/>
      <c r="C841" s="177"/>
      <c r="D841" s="176"/>
      <c r="E841" s="176"/>
      <c r="F841" s="178"/>
      <c r="G841" s="179"/>
      <c r="H841" s="179"/>
      <c r="I841" s="180"/>
    </row>
    <row r="842" spans="1:9" ht="17.25" customHeight="1" hidden="1">
      <c r="A842" s="181" t="s">
        <v>1393</v>
      </c>
      <c r="B842" s="171" t="s">
        <v>1394</v>
      </c>
      <c r="C842" s="171" t="s">
        <v>1303</v>
      </c>
      <c r="D842" s="171" t="s">
        <v>1303</v>
      </c>
      <c r="E842" s="171" t="s">
        <v>1395</v>
      </c>
      <c r="F842" s="182" t="s">
        <v>1394</v>
      </c>
      <c r="G842" s="183"/>
      <c r="H842" s="183"/>
      <c r="I842" s="184"/>
    </row>
    <row r="843" spans="1:9" ht="30" customHeight="1" hidden="1">
      <c r="A843" s="185" t="s">
        <v>1396</v>
      </c>
      <c r="B843" s="186" t="s">
        <v>1394</v>
      </c>
      <c r="C843" s="186" t="s">
        <v>678</v>
      </c>
      <c r="D843" s="186" t="s">
        <v>688</v>
      </c>
      <c r="E843" s="186" t="s">
        <v>1395</v>
      </c>
      <c r="F843" s="187"/>
      <c r="G843" s="188">
        <v>0</v>
      </c>
      <c r="H843" s="188">
        <v>0</v>
      </c>
      <c r="I843" s="189">
        <v>0</v>
      </c>
    </row>
    <row r="844" spans="1:9" ht="42" customHeight="1" hidden="1">
      <c r="A844" s="190" t="s">
        <v>1397</v>
      </c>
      <c r="B844" s="191" t="s">
        <v>1394</v>
      </c>
      <c r="C844" s="191" t="s">
        <v>678</v>
      </c>
      <c r="D844" s="191" t="s">
        <v>688</v>
      </c>
      <c r="E844" s="191" t="s">
        <v>1398</v>
      </c>
      <c r="F844" s="192" t="s">
        <v>1399</v>
      </c>
      <c r="G844" s="188">
        <v>62000</v>
      </c>
      <c r="H844" s="188">
        <v>62000</v>
      </c>
      <c r="I844" s="189">
        <v>62000</v>
      </c>
    </row>
    <row r="845" spans="1:9" ht="30.75" customHeight="1" hidden="1">
      <c r="A845" s="193" t="s">
        <v>1400</v>
      </c>
      <c r="B845" s="191" t="s">
        <v>1394</v>
      </c>
      <c r="C845" s="191" t="s">
        <v>678</v>
      </c>
      <c r="D845" s="191" t="s">
        <v>688</v>
      </c>
      <c r="E845" s="191" t="s">
        <v>1398</v>
      </c>
      <c r="F845" s="192" t="s">
        <v>1401</v>
      </c>
      <c r="G845" s="194">
        <v>62000</v>
      </c>
      <c r="H845" s="194">
        <v>62000</v>
      </c>
      <c r="I845" s="195">
        <v>62000</v>
      </c>
    </row>
    <row r="846" spans="1:9" ht="29.25" customHeight="1" hidden="1">
      <c r="A846" s="196" t="s">
        <v>1402</v>
      </c>
      <c r="B846" s="191" t="s">
        <v>1394</v>
      </c>
      <c r="C846" s="191" t="s">
        <v>751</v>
      </c>
      <c r="D846" s="191" t="s">
        <v>1303</v>
      </c>
      <c r="E846" s="191" t="s">
        <v>1395</v>
      </c>
      <c r="F846" s="192" t="s">
        <v>1394</v>
      </c>
      <c r="G846" s="197"/>
      <c r="H846" s="197"/>
      <c r="I846" s="198"/>
    </row>
    <row r="847" spans="1:9" ht="18" customHeight="1" hidden="1">
      <c r="A847" s="199" t="s">
        <v>1403</v>
      </c>
      <c r="B847" s="200" t="s">
        <v>1394</v>
      </c>
      <c r="C847" s="200" t="s">
        <v>678</v>
      </c>
      <c r="D847" s="200" t="s">
        <v>747</v>
      </c>
      <c r="E847" s="200" t="s">
        <v>1404</v>
      </c>
      <c r="F847" s="201" t="s">
        <v>1394</v>
      </c>
      <c r="G847" s="202">
        <f>67475+1681.5+1571.6</f>
        <v>70728.1</v>
      </c>
      <c r="H847" s="202">
        <f>67475+1681.5+1571.6</f>
        <v>70728.1</v>
      </c>
      <c r="I847" s="203">
        <f>67475+1681.5+1571.6</f>
        <v>70728.1</v>
      </c>
    </row>
    <row r="848" spans="1:9" ht="28.5" customHeight="1" hidden="1">
      <c r="A848" s="204" t="s">
        <v>1405</v>
      </c>
      <c r="B848" s="191" t="s">
        <v>1394</v>
      </c>
      <c r="C848" s="200" t="s">
        <v>678</v>
      </c>
      <c r="D848" s="200" t="s">
        <v>751</v>
      </c>
      <c r="E848" s="200" t="s">
        <v>1395</v>
      </c>
      <c r="F848" s="201" t="s">
        <v>1394</v>
      </c>
      <c r="G848" s="161">
        <f>SUM(G849-G850)</f>
        <v>0</v>
      </c>
      <c r="H848" s="161">
        <f>SUM(H849-H850)</f>
        <v>0</v>
      </c>
      <c r="I848" s="82">
        <f>SUM(I849-I850)</f>
        <v>0</v>
      </c>
    </row>
    <row r="849" spans="1:9" ht="85.5" customHeight="1" hidden="1">
      <c r="A849" s="205" t="s">
        <v>1406</v>
      </c>
      <c r="B849" s="191"/>
      <c r="C849" s="200" t="s">
        <v>678</v>
      </c>
      <c r="D849" s="200" t="s">
        <v>751</v>
      </c>
      <c r="E849" s="206" t="s">
        <v>1407</v>
      </c>
      <c r="F849" s="207">
        <v>810</v>
      </c>
      <c r="G849" s="161">
        <v>10000</v>
      </c>
      <c r="H849" s="161">
        <v>10000</v>
      </c>
      <c r="I849" s="82">
        <v>10000</v>
      </c>
    </row>
    <row r="850" spans="1:9" ht="45" customHeight="1" hidden="1">
      <c r="A850" s="208" t="s">
        <v>1408</v>
      </c>
      <c r="B850" s="209"/>
      <c r="C850" s="209" t="s">
        <v>678</v>
      </c>
      <c r="D850" s="209" t="s">
        <v>751</v>
      </c>
      <c r="E850" s="210" t="s">
        <v>1409</v>
      </c>
      <c r="F850" s="211">
        <v>640</v>
      </c>
      <c r="G850" s="212">
        <v>10000</v>
      </c>
      <c r="H850" s="212">
        <v>10000</v>
      </c>
      <c r="I850" s="213">
        <v>10000</v>
      </c>
    </row>
  </sheetData>
  <mergeCells count="1">
    <mergeCell ref="F5:G5"/>
  </mergeCells>
  <printOptions/>
  <pageMargins left="0.984251968503937" right="0.1968503937007874" top="0.3937007874015748" bottom="0.1968503937007874" header="0.5118110236220472" footer="0.5118110236220472"/>
  <pageSetup fitToHeight="26" horizontalDpi="600" verticalDpi="600" orientation="portrait" paperSize="9" scale="68" r:id="rId1"/>
  <rowBreaks count="1" manualBreakCount="1">
    <brk id="8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166"/>
  <sheetViews>
    <sheetView view="pageBreakPreview" zoomScale="60" workbookViewId="0" topLeftCell="A1">
      <selection activeCell="K51" sqref="A1:K51"/>
    </sheetView>
  </sheetViews>
  <sheetFormatPr defaultColWidth="9.00390625" defaultRowHeight="12.75"/>
  <cols>
    <col min="1" max="1" width="53.25390625" style="0" customWidth="1"/>
    <col min="2" max="2" width="6.875" style="1" customWidth="1"/>
    <col min="3" max="3" width="7.75390625" style="0" customWidth="1"/>
    <col min="4" max="4" width="6.875" style="0" customWidth="1"/>
    <col min="5" max="5" width="12.75390625" style="0" customWidth="1"/>
    <col min="6" max="6" width="10.125" style="0" customWidth="1"/>
    <col min="7" max="7" width="16.625" style="8" customWidth="1"/>
    <col min="8" max="8" width="13.625" style="8" customWidth="1"/>
    <col min="9" max="9" width="13.25390625" style="8" hidden="1" customWidth="1"/>
    <col min="17" max="17" width="14.375" style="0" customWidth="1"/>
    <col min="18" max="18" width="6.375" style="0" customWidth="1"/>
    <col min="19" max="19" width="5.375" style="0" customWidth="1"/>
    <col min="20" max="20" width="5.875" style="0" customWidth="1"/>
    <col min="21" max="21" width="6.125" style="0" customWidth="1"/>
  </cols>
  <sheetData>
    <row r="1" spans="7:9" ht="12.75">
      <c r="G1" s="2" t="s">
        <v>1410</v>
      </c>
      <c r="H1" s="3"/>
      <c r="I1" s="4"/>
    </row>
    <row r="2" spans="1:9" ht="12.75">
      <c r="A2" t="s">
        <v>1411</v>
      </c>
      <c r="G2" s="7" t="s">
        <v>657</v>
      </c>
      <c r="H2" s="3"/>
      <c r="I2" s="4"/>
    </row>
    <row r="3" spans="7:9" ht="12.75">
      <c r="G3" s="7" t="s">
        <v>658</v>
      </c>
      <c r="H3" s="3"/>
      <c r="I3" s="4"/>
    </row>
    <row r="4" spans="6:9" ht="12.75">
      <c r="F4" s="7"/>
      <c r="G4" s="7" t="s">
        <v>659</v>
      </c>
      <c r="H4" s="3"/>
      <c r="I4" s="4"/>
    </row>
    <row r="5" spans="2:8" ht="12.75" customHeight="1">
      <c r="B5" s="10" t="s">
        <v>1412</v>
      </c>
      <c r="F5" s="331" t="s">
        <v>1347</v>
      </c>
      <c r="G5" s="332"/>
      <c r="H5" s="332"/>
    </row>
    <row r="6" ht="12.75">
      <c r="B6" s="10" t="s">
        <v>1413</v>
      </c>
    </row>
    <row r="7" ht="12.75">
      <c r="B7" s="10" t="s">
        <v>1414</v>
      </c>
    </row>
    <row r="8" ht="24" customHeight="1" thickBot="1">
      <c r="B8" s="13"/>
    </row>
    <row r="9" spans="1:9" ht="14.25">
      <c r="A9" s="14" t="s">
        <v>1415</v>
      </c>
      <c r="B9" s="215" t="s">
        <v>665</v>
      </c>
      <c r="C9" s="216"/>
      <c r="D9" s="217"/>
      <c r="E9" s="217"/>
      <c r="F9" s="217"/>
      <c r="G9" s="18" t="s">
        <v>666</v>
      </c>
      <c r="H9" s="18" t="s">
        <v>667</v>
      </c>
      <c r="I9" s="18" t="s">
        <v>668</v>
      </c>
    </row>
    <row r="10" spans="1:9" ht="24.75" customHeight="1" thickBot="1">
      <c r="A10" s="218"/>
      <c r="B10" s="219" t="s">
        <v>669</v>
      </c>
      <c r="C10" s="220" t="s">
        <v>670</v>
      </c>
      <c r="D10" s="220" t="s">
        <v>671</v>
      </c>
      <c r="E10" s="220" t="s">
        <v>672</v>
      </c>
      <c r="F10" s="221" t="s">
        <v>673</v>
      </c>
      <c r="G10" s="24" t="s">
        <v>1416</v>
      </c>
      <c r="H10" s="24" t="s">
        <v>1417</v>
      </c>
      <c r="I10" s="24" t="s">
        <v>676</v>
      </c>
    </row>
    <row r="11" spans="1:9" ht="30">
      <c r="A11" s="222" t="s">
        <v>1418</v>
      </c>
      <c r="B11" s="223" t="s">
        <v>1419</v>
      </c>
      <c r="C11" s="224"/>
      <c r="D11" s="224"/>
      <c r="E11" s="224"/>
      <c r="F11" s="225"/>
      <c r="G11" s="226">
        <f>SUM(G12)+G27+G32</f>
        <v>15386.3</v>
      </c>
      <c r="H11" s="227">
        <f>SUM(H12)+H27+H32</f>
        <v>14923.800000000001</v>
      </c>
      <c r="I11" s="227">
        <f>SUM(H11/G11*100)</f>
        <v>96.99407914833327</v>
      </c>
    </row>
    <row r="12" spans="1:9" ht="15">
      <c r="A12" s="34" t="s">
        <v>677</v>
      </c>
      <c r="B12" s="35"/>
      <c r="C12" s="36" t="s">
        <v>678</v>
      </c>
      <c r="D12" s="36"/>
      <c r="E12" s="36"/>
      <c r="F12" s="37"/>
      <c r="G12" s="38">
        <f>SUM(G13+G17+G23)</f>
        <v>15007.9</v>
      </c>
      <c r="H12" s="39">
        <f>SUM(H13+H17+H23)</f>
        <v>14545.6</v>
      </c>
      <c r="I12" s="39">
        <f>SUM(H12/G12*100)</f>
        <v>96.91962233223836</v>
      </c>
    </row>
    <row r="13" spans="1:9" ht="28.5">
      <c r="A13" s="34" t="s">
        <v>679</v>
      </c>
      <c r="B13" s="35"/>
      <c r="C13" s="36" t="s">
        <v>678</v>
      </c>
      <c r="D13" s="36" t="s">
        <v>680</v>
      </c>
      <c r="E13" s="36"/>
      <c r="F13" s="37"/>
      <c r="G13" s="38">
        <f>SUM(G14)</f>
        <v>1266.4999999999998</v>
      </c>
      <c r="H13" s="39">
        <f>SUM(H14)</f>
        <v>1261.5</v>
      </c>
      <c r="I13" s="39">
        <f aca="true" t="shared" si="0" ref="I13:I76">SUM(H13/G13*100)</f>
        <v>99.60521121200159</v>
      </c>
    </row>
    <row r="14" spans="1:9" ht="41.25" customHeight="1">
      <c r="A14" s="40" t="s">
        <v>681</v>
      </c>
      <c r="B14" s="35"/>
      <c r="C14" s="36" t="s">
        <v>678</v>
      </c>
      <c r="D14" s="36" t="s">
        <v>680</v>
      </c>
      <c r="E14" s="36" t="s">
        <v>682</v>
      </c>
      <c r="F14" s="37"/>
      <c r="G14" s="38">
        <f>SUM(G16:G16)</f>
        <v>1266.4999999999998</v>
      </c>
      <c r="H14" s="39">
        <f>SUM(H16:H16)</f>
        <v>1261.5</v>
      </c>
      <c r="I14" s="39">
        <f t="shared" si="0"/>
        <v>99.60521121200159</v>
      </c>
    </row>
    <row r="15" spans="1:9" ht="16.5" customHeight="1">
      <c r="A15" s="40" t="s">
        <v>683</v>
      </c>
      <c r="B15" s="35"/>
      <c r="C15" s="36" t="s">
        <v>678</v>
      </c>
      <c r="D15" s="36" t="s">
        <v>680</v>
      </c>
      <c r="E15" s="36" t="s">
        <v>684</v>
      </c>
      <c r="F15" s="37"/>
      <c r="G15" s="38">
        <f>SUM(G16)</f>
        <v>1266.4999999999998</v>
      </c>
      <c r="H15" s="39">
        <f>SUM(H16)</f>
        <v>1261.5</v>
      </c>
      <c r="I15" s="39">
        <f t="shared" si="0"/>
        <v>99.60521121200159</v>
      </c>
    </row>
    <row r="16" spans="1:9" ht="29.25" customHeight="1">
      <c r="A16" s="40" t="s">
        <v>685</v>
      </c>
      <c r="B16" s="35"/>
      <c r="C16" s="36" t="s">
        <v>678</v>
      </c>
      <c r="D16" s="36" t="s">
        <v>680</v>
      </c>
      <c r="E16" s="36" t="s">
        <v>684</v>
      </c>
      <c r="F16" s="37" t="s">
        <v>686</v>
      </c>
      <c r="G16" s="38">
        <f>1040.1+131.8+0.5+94.1</f>
        <v>1266.4999999999998</v>
      </c>
      <c r="H16" s="39">
        <v>1261.5</v>
      </c>
      <c r="I16" s="39">
        <f t="shared" si="0"/>
        <v>99.60521121200159</v>
      </c>
    </row>
    <row r="17" spans="1:9" ht="59.25" customHeight="1">
      <c r="A17" s="40" t="s">
        <v>687</v>
      </c>
      <c r="B17" s="35"/>
      <c r="C17" s="36" t="s">
        <v>678</v>
      </c>
      <c r="D17" s="36" t="s">
        <v>688</v>
      </c>
      <c r="E17" s="36"/>
      <c r="F17" s="37"/>
      <c r="G17" s="38">
        <f>SUM(G18)</f>
        <v>13063.6</v>
      </c>
      <c r="H17" s="39">
        <f>SUM(H18)</f>
        <v>12631.4</v>
      </c>
      <c r="I17" s="39">
        <f t="shared" si="0"/>
        <v>96.69157047062065</v>
      </c>
    </row>
    <row r="18" spans="1:9" ht="42.75" customHeight="1">
      <c r="A18" s="40" t="s">
        <v>681</v>
      </c>
      <c r="B18" s="35"/>
      <c r="C18" s="36" t="s">
        <v>678</v>
      </c>
      <c r="D18" s="36" t="s">
        <v>688</v>
      </c>
      <c r="E18" s="36" t="s">
        <v>682</v>
      </c>
      <c r="F18" s="41"/>
      <c r="G18" s="38">
        <f>SUM(G19+G21)</f>
        <v>13063.6</v>
      </c>
      <c r="H18" s="39">
        <f>SUM(H19+H21)</f>
        <v>12631.4</v>
      </c>
      <c r="I18" s="39">
        <f t="shared" si="0"/>
        <v>96.69157047062065</v>
      </c>
    </row>
    <row r="19" spans="1:9" ht="15">
      <c r="A19" s="40" t="s">
        <v>689</v>
      </c>
      <c r="B19" s="35"/>
      <c r="C19" s="36" t="s">
        <v>690</v>
      </c>
      <c r="D19" s="36" t="s">
        <v>688</v>
      </c>
      <c r="E19" s="36" t="s">
        <v>691</v>
      </c>
      <c r="F19" s="41"/>
      <c r="G19" s="38">
        <f>SUM(G20)</f>
        <v>12900.5</v>
      </c>
      <c r="H19" s="39">
        <f>SUM(H20)</f>
        <v>12468.3</v>
      </c>
      <c r="I19" s="39">
        <f t="shared" si="0"/>
        <v>96.649742258052</v>
      </c>
    </row>
    <row r="20" spans="1:9" ht="28.5" customHeight="1">
      <c r="A20" s="40" t="s">
        <v>685</v>
      </c>
      <c r="B20" s="35"/>
      <c r="C20" s="36" t="s">
        <v>678</v>
      </c>
      <c r="D20" s="36" t="s">
        <v>688</v>
      </c>
      <c r="E20" s="36" t="s">
        <v>691</v>
      </c>
      <c r="F20" s="37" t="s">
        <v>686</v>
      </c>
      <c r="G20" s="38">
        <f>7579.9+750.4+650+1379.5+300+33.7+367.2+1157.8+106.9-0.5+690.1-114.5</f>
        <v>12900.5</v>
      </c>
      <c r="H20" s="39">
        <v>12468.3</v>
      </c>
      <c r="I20" s="39">
        <f t="shared" si="0"/>
        <v>96.649742258052</v>
      </c>
    </row>
    <row r="21" spans="1:9" ht="28.5" customHeight="1">
      <c r="A21" s="40" t="s">
        <v>692</v>
      </c>
      <c r="B21" s="35"/>
      <c r="C21" s="36" t="s">
        <v>690</v>
      </c>
      <c r="D21" s="36" t="s">
        <v>688</v>
      </c>
      <c r="E21" s="36" t="s">
        <v>693</v>
      </c>
      <c r="F21" s="37"/>
      <c r="G21" s="38">
        <f>SUM(G22)</f>
        <v>163.1</v>
      </c>
      <c r="H21" s="39">
        <f>SUM(H22)</f>
        <v>163.1</v>
      </c>
      <c r="I21" s="39">
        <f t="shared" si="0"/>
        <v>100</v>
      </c>
    </row>
    <row r="22" spans="1:9" ht="29.25" customHeight="1">
      <c r="A22" s="40" t="s">
        <v>685</v>
      </c>
      <c r="B22" s="35"/>
      <c r="C22" s="36" t="s">
        <v>690</v>
      </c>
      <c r="D22" s="36" t="s">
        <v>688</v>
      </c>
      <c r="E22" s="36" t="s">
        <v>693</v>
      </c>
      <c r="F22" s="37" t="s">
        <v>686</v>
      </c>
      <c r="G22" s="38">
        <v>163.1</v>
      </c>
      <c r="H22" s="39">
        <v>163.1</v>
      </c>
      <c r="I22" s="39">
        <f t="shared" si="0"/>
        <v>100</v>
      </c>
    </row>
    <row r="23" spans="1:9" ht="15">
      <c r="A23" s="40" t="s">
        <v>694</v>
      </c>
      <c r="B23" s="35"/>
      <c r="C23" s="36" t="s">
        <v>678</v>
      </c>
      <c r="D23" s="36" t="s">
        <v>773</v>
      </c>
      <c r="E23" s="36"/>
      <c r="F23" s="41"/>
      <c r="G23" s="38">
        <f>SUM(G24)</f>
        <v>677.8000000000001</v>
      </c>
      <c r="H23" s="39">
        <f>SUM(H24)</f>
        <v>652.7</v>
      </c>
      <c r="I23" s="39">
        <f t="shared" si="0"/>
        <v>96.29684272646799</v>
      </c>
    </row>
    <row r="24" spans="1:9" ht="28.5">
      <c r="A24" s="54" t="s">
        <v>696</v>
      </c>
      <c r="B24" s="35"/>
      <c r="C24" s="36" t="s">
        <v>678</v>
      </c>
      <c r="D24" s="36" t="s">
        <v>773</v>
      </c>
      <c r="E24" s="36" t="s">
        <v>697</v>
      </c>
      <c r="F24" s="42"/>
      <c r="G24" s="38">
        <f>SUM(G26)</f>
        <v>677.8000000000001</v>
      </c>
      <c r="H24" s="39">
        <f>SUM(H26)</f>
        <v>652.7</v>
      </c>
      <c r="I24" s="39">
        <f t="shared" si="0"/>
        <v>96.29684272646799</v>
      </c>
    </row>
    <row r="25" spans="1:9" ht="15">
      <c r="A25" s="54" t="s">
        <v>698</v>
      </c>
      <c r="B25" s="35"/>
      <c r="C25" s="36" t="s">
        <v>678</v>
      </c>
      <c r="D25" s="36" t="s">
        <v>773</v>
      </c>
      <c r="E25" s="36" t="s">
        <v>786</v>
      </c>
      <c r="F25" s="42"/>
      <c r="G25" s="38">
        <f>SUM(G26)</f>
        <v>677.8000000000001</v>
      </c>
      <c r="H25" s="39">
        <f>SUM(H26)</f>
        <v>652.7</v>
      </c>
      <c r="I25" s="39">
        <f t="shared" si="0"/>
        <v>96.29684272646799</v>
      </c>
    </row>
    <row r="26" spans="1:9" ht="27" customHeight="1">
      <c r="A26" s="40" t="s">
        <v>685</v>
      </c>
      <c r="B26" s="35"/>
      <c r="C26" s="36" t="s">
        <v>678</v>
      </c>
      <c r="D26" s="36" t="s">
        <v>773</v>
      </c>
      <c r="E26" s="36" t="s">
        <v>786</v>
      </c>
      <c r="F26" s="42" t="s">
        <v>686</v>
      </c>
      <c r="G26" s="38">
        <f>595.2+82.6</f>
        <v>677.8000000000001</v>
      </c>
      <c r="H26" s="39">
        <v>652.7</v>
      </c>
      <c r="I26" s="39">
        <f t="shared" si="0"/>
        <v>96.29684272646799</v>
      </c>
    </row>
    <row r="27" spans="1:9" ht="15" hidden="1">
      <c r="A27" s="34" t="s">
        <v>700</v>
      </c>
      <c r="B27" s="35"/>
      <c r="C27" s="53" t="s">
        <v>701</v>
      </c>
      <c r="D27" s="36"/>
      <c r="E27" s="36"/>
      <c r="F27" s="42"/>
      <c r="G27" s="38">
        <f aca="true" t="shared" si="1" ref="G27:H30">SUM(G28)</f>
        <v>0</v>
      </c>
      <c r="H27" s="39">
        <f t="shared" si="1"/>
        <v>0</v>
      </c>
      <c r="I27" s="39" t="e">
        <f t="shared" si="0"/>
        <v>#DIV/0!</v>
      </c>
    </row>
    <row r="28" spans="1:9" ht="15" hidden="1">
      <c r="A28" s="40" t="s">
        <v>702</v>
      </c>
      <c r="B28" s="43"/>
      <c r="C28" s="36" t="s">
        <v>701</v>
      </c>
      <c r="D28" s="36" t="s">
        <v>701</v>
      </c>
      <c r="E28" s="36"/>
      <c r="F28" s="42"/>
      <c r="G28" s="38">
        <f t="shared" si="1"/>
        <v>0</v>
      </c>
      <c r="H28" s="39">
        <f t="shared" si="1"/>
        <v>0</v>
      </c>
      <c r="I28" s="39" t="e">
        <f t="shared" si="0"/>
        <v>#DIV/0!</v>
      </c>
    </row>
    <row r="29" spans="1:9" ht="28.5" hidden="1">
      <c r="A29" s="54" t="s">
        <v>1174</v>
      </c>
      <c r="B29" s="43"/>
      <c r="C29" s="36" t="s">
        <v>701</v>
      </c>
      <c r="D29" s="36" t="s">
        <v>701</v>
      </c>
      <c r="E29" s="36" t="s">
        <v>704</v>
      </c>
      <c r="F29" s="37"/>
      <c r="G29" s="38">
        <f t="shared" si="1"/>
        <v>0</v>
      </c>
      <c r="H29" s="39">
        <f t="shared" si="1"/>
        <v>0</v>
      </c>
      <c r="I29" s="39" t="e">
        <f t="shared" si="0"/>
        <v>#DIV/0!</v>
      </c>
    </row>
    <row r="30" spans="1:9" ht="19.5" customHeight="1" hidden="1">
      <c r="A30" s="54" t="s">
        <v>1175</v>
      </c>
      <c r="B30" s="43"/>
      <c r="C30" s="36" t="s">
        <v>701</v>
      </c>
      <c r="D30" s="36" t="s">
        <v>701</v>
      </c>
      <c r="E30" s="36" t="s">
        <v>1176</v>
      </c>
      <c r="F30" s="37"/>
      <c r="G30" s="38">
        <f t="shared" si="1"/>
        <v>0</v>
      </c>
      <c r="H30" s="39">
        <f t="shared" si="1"/>
        <v>0</v>
      </c>
      <c r="I30" s="39" t="e">
        <f t="shared" si="0"/>
        <v>#DIV/0!</v>
      </c>
    </row>
    <row r="31" spans="1:9" ht="18" customHeight="1" hidden="1">
      <c r="A31" s="57" t="s">
        <v>782</v>
      </c>
      <c r="B31" s="43"/>
      <c r="C31" s="36" t="s">
        <v>701</v>
      </c>
      <c r="D31" s="36" t="s">
        <v>701</v>
      </c>
      <c r="E31" s="36" t="s">
        <v>1176</v>
      </c>
      <c r="F31" s="37" t="s">
        <v>783</v>
      </c>
      <c r="G31" s="38"/>
      <c r="H31" s="39"/>
      <c r="I31" s="39" t="e">
        <f t="shared" si="0"/>
        <v>#DIV/0!</v>
      </c>
    </row>
    <row r="32" spans="1:9" ht="18" customHeight="1">
      <c r="A32" s="34" t="s">
        <v>1302</v>
      </c>
      <c r="B32" s="35"/>
      <c r="C32" s="36" t="s">
        <v>910</v>
      </c>
      <c r="D32" s="36"/>
      <c r="E32" s="36"/>
      <c r="F32" s="37"/>
      <c r="G32" s="38">
        <f>SUM(G36)</f>
        <v>378.4</v>
      </c>
      <c r="H32" s="39">
        <f>SUM(H36)</f>
        <v>378.2</v>
      </c>
      <c r="I32" s="39">
        <f t="shared" si="0"/>
        <v>99.94714587737845</v>
      </c>
    </row>
    <row r="33" spans="1:9" ht="18" customHeight="1">
      <c r="A33" s="54" t="s">
        <v>1320</v>
      </c>
      <c r="B33" s="35"/>
      <c r="C33" s="36" t="s">
        <v>910</v>
      </c>
      <c r="D33" s="53" t="s">
        <v>688</v>
      </c>
      <c r="E33" s="36"/>
      <c r="F33" s="37"/>
      <c r="G33" s="38">
        <f aca="true" t="shared" si="2" ref="G33:H35">SUM(G34)</f>
        <v>378.4</v>
      </c>
      <c r="H33" s="39">
        <f t="shared" si="2"/>
        <v>378.2</v>
      </c>
      <c r="I33" s="39">
        <f t="shared" si="0"/>
        <v>99.94714587737845</v>
      </c>
    </row>
    <row r="34" spans="1:9" ht="24" customHeight="1">
      <c r="A34" s="34" t="s">
        <v>1326</v>
      </c>
      <c r="B34" s="35"/>
      <c r="C34" s="36" t="s">
        <v>910</v>
      </c>
      <c r="D34" s="53" t="s">
        <v>688</v>
      </c>
      <c r="E34" s="36" t="s">
        <v>1327</v>
      </c>
      <c r="F34" s="37"/>
      <c r="G34" s="38">
        <f t="shared" si="2"/>
        <v>378.4</v>
      </c>
      <c r="H34" s="39">
        <f t="shared" si="2"/>
        <v>378.2</v>
      </c>
      <c r="I34" s="39">
        <f t="shared" si="0"/>
        <v>99.94714587737845</v>
      </c>
    </row>
    <row r="35" spans="1:9" ht="58.5" customHeight="1">
      <c r="A35" s="57" t="s">
        <v>1334</v>
      </c>
      <c r="B35" s="43"/>
      <c r="C35" s="36" t="s">
        <v>910</v>
      </c>
      <c r="D35" s="53" t="s">
        <v>688</v>
      </c>
      <c r="E35" s="36" t="s">
        <v>1335</v>
      </c>
      <c r="F35" s="37"/>
      <c r="G35" s="38">
        <f t="shared" si="2"/>
        <v>378.4</v>
      </c>
      <c r="H35" s="39">
        <f t="shared" si="2"/>
        <v>378.2</v>
      </c>
      <c r="I35" s="39">
        <f t="shared" si="0"/>
        <v>99.94714587737845</v>
      </c>
    </row>
    <row r="36" spans="1:9" ht="18" customHeight="1">
      <c r="A36" s="34" t="s">
        <v>879</v>
      </c>
      <c r="B36" s="123"/>
      <c r="C36" s="53" t="s">
        <v>910</v>
      </c>
      <c r="D36" s="53" t="s">
        <v>688</v>
      </c>
      <c r="E36" s="36" t="s">
        <v>1335</v>
      </c>
      <c r="F36" s="133" t="s">
        <v>880</v>
      </c>
      <c r="G36" s="38">
        <v>378.4</v>
      </c>
      <c r="H36" s="39">
        <v>378.2</v>
      </c>
      <c r="I36" s="39">
        <f t="shared" si="0"/>
        <v>99.94714587737845</v>
      </c>
    </row>
    <row r="37" spans="1:9" ht="30" customHeight="1">
      <c r="A37" s="228" t="s">
        <v>1420</v>
      </c>
      <c r="B37" s="229" t="s">
        <v>1421</v>
      </c>
      <c r="C37" s="53"/>
      <c r="D37" s="53"/>
      <c r="E37" s="53"/>
      <c r="F37" s="41"/>
      <c r="G37" s="230">
        <f aca="true" t="shared" si="3" ref="G37:H39">SUM(G38)</f>
        <v>3888.4999999999995</v>
      </c>
      <c r="H37" s="231">
        <f t="shared" si="3"/>
        <v>3885.6000000000004</v>
      </c>
      <c r="I37" s="63">
        <f t="shared" si="0"/>
        <v>99.92542111353995</v>
      </c>
    </row>
    <row r="38" spans="1:9" ht="15">
      <c r="A38" s="34" t="s">
        <v>677</v>
      </c>
      <c r="B38" s="35"/>
      <c r="C38" s="36" t="s">
        <v>678</v>
      </c>
      <c r="D38" s="36"/>
      <c r="E38" s="36"/>
      <c r="F38" s="37"/>
      <c r="G38" s="38">
        <f t="shared" si="3"/>
        <v>3888.4999999999995</v>
      </c>
      <c r="H38" s="39">
        <f t="shared" si="3"/>
        <v>3885.6000000000004</v>
      </c>
      <c r="I38" s="39">
        <f t="shared" si="0"/>
        <v>99.92542111353995</v>
      </c>
    </row>
    <row r="39" spans="1:9" ht="42.75">
      <c r="A39" s="54" t="s">
        <v>750</v>
      </c>
      <c r="B39" s="35"/>
      <c r="C39" s="36" t="s">
        <v>678</v>
      </c>
      <c r="D39" s="36" t="s">
        <v>751</v>
      </c>
      <c r="E39" s="36"/>
      <c r="F39" s="37"/>
      <c r="G39" s="38">
        <f t="shared" si="3"/>
        <v>3888.4999999999995</v>
      </c>
      <c r="H39" s="39">
        <f t="shared" si="3"/>
        <v>3885.6000000000004</v>
      </c>
      <c r="I39" s="39">
        <f t="shared" si="0"/>
        <v>99.92542111353995</v>
      </c>
    </row>
    <row r="40" spans="1:9" ht="42.75" customHeight="1">
      <c r="A40" s="40" t="s">
        <v>681</v>
      </c>
      <c r="B40" s="35"/>
      <c r="C40" s="36" t="s">
        <v>678</v>
      </c>
      <c r="D40" s="36" t="s">
        <v>751</v>
      </c>
      <c r="E40" s="36" t="s">
        <v>682</v>
      </c>
      <c r="F40" s="41"/>
      <c r="G40" s="38">
        <f>SUM(G41+G43)</f>
        <v>3888.4999999999995</v>
      </c>
      <c r="H40" s="39">
        <f>SUM(H41+H43)</f>
        <v>3885.6000000000004</v>
      </c>
      <c r="I40" s="39">
        <f t="shared" si="0"/>
        <v>99.92542111353995</v>
      </c>
    </row>
    <row r="41" spans="1:9" ht="19.5" customHeight="1">
      <c r="A41" s="40" t="s">
        <v>689</v>
      </c>
      <c r="B41" s="35"/>
      <c r="C41" s="36" t="s">
        <v>678</v>
      </c>
      <c r="D41" s="36" t="s">
        <v>751</v>
      </c>
      <c r="E41" s="36" t="s">
        <v>691</v>
      </c>
      <c r="F41" s="41"/>
      <c r="G41" s="38">
        <f>SUM(G42)</f>
        <v>3170.0999999999995</v>
      </c>
      <c r="H41" s="39">
        <f>SUM(H42)</f>
        <v>3169.9</v>
      </c>
      <c r="I41" s="39">
        <f t="shared" si="0"/>
        <v>99.99369105075552</v>
      </c>
    </row>
    <row r="42" spans="1:9" ht="28.5">
      <c r="A42" s="40" t="s">
        <v>685</v>
      </c>
      <c r="B42" s="35"/>
      <c r="C42" s="36" t="s">
        <v>678</v>
      </c>
      <c r="D42" s="36" t="s">
        <v>751</v>
      </c>
      <c r="E42" s="36" t="s">
        <v>691</v>
      </c>
      <c r="F42" s="37" t="s">
        <v>686</v>
      </c>
      <c r="G42" s="38">
        <f>2090+252.2+353+103.6+6+10-165.1+165.1+37.2+318.1</f>
        <v>3170.0999999999995</v>
      </c>
      <c r="H42" s="39">
        <v>3169.9</v>
      </c>
      <c r="I42" s="39">
        <f t="shared" si="0"/>
        <v>99.99369105075552</v>
      </c>
    </row>
    <row r="43" spans="1:9" s="45" customFormat="1" ht="28.5">
      <c r="A43" s="34" t="s">
        <v>754</v>
      </c>
      <c r="B43" s="35"/>
      <c r="C43" s="36" t="s">
        <v>690</v>
      </c>
      <c r="D43" s="36" t="s">
        <v>751</v>
      </c>
      <c r="E43" s="36" t="s">
        <v>755</v>
      </c>
      <c r="F43" s="42"/>
      <c r="G43" s="38">
        <f>SUM(G44)</f>
        <v>718.4</v>
      </c>
      <c r="H43" s="39">
        <f>SUM(H44)</f>
        <v>715.7</v>
      </c>
      <c r="I43" s="39">
        <f t="shared" si="0"/>
        <v>99.62416481069043</v>
      </c>
    </row>
    <row r="44" spans="1:9" s="45" customFormat="1" ht="32.25" customHeight="1">
      <c r="A44" s="40" t="s">
        <v>685</v>
      </c>
      <c r="B44" s="35"/>
      <c r="C44" s="36" t="s">
        <v>690</v>
      </c>
      <c r="D44" s="36" t="s">
        <v>751</v>
      </c>
      <c r="E44" s="36" t="s">
        <v>755</v>
      </c>
      <c r="F44" s="37" t="s">
        <v>686</v>
      </c>
      <c r="G44" s="38">
        <f>461.8+164+11.9+80.7</f>
        <v>718.4</v>
      </c>
      <c r="H44" s="39">
        <v>715.7</v>
      </c>
      <c r="I44" s="39">
        <f t="shared" si="0"/>
        <v>99.62416481069043</v>
      </c>
    </row>
    <row r="45" spans="1:9" ht="21" customHeight="1">
      <c r="A45" s="232" t="s">
        <v>1422</v>
      </c>
      <c r="B45" s="128" t="s">
        <v>1423</v>
      </c>
      <c r="C45" s="64"/>
      <c r="D45" s="64"/>
      <c r="E45" s="64"/>
      <c r="F45" s="233"/>
      <c r="G45" s="230">
        <f>SUM(G46+G104+G130+G155+G300+G320+G367+G406+G351+G346)</f>
        <v>798939.6999999998</v>
      </c>
      <c r="H45" s="230">
        <f>SUM(H46+H104+H130+H155+H300+H320+H367+H406+H351+H346)</f>
        <v>780389.8999999998</v>
      </c>
      <c r="I45" s="63">
        <f t="shared" si="0"/>
        <v>97.6781977413314</v>
      </c>
    </row>
    <row r="46" spans="1:9" ht="15">
      <c r="A46" s="34" t="s">
        <v>677</v>
      </c>
      <c r="B46" s="35"/>
      <c r="C46" s="36" t="s">
        <v>678</v>
      </c>
      <c r="D46" s="36"/>
      <c r="E46" s="36"/>
      <c r="F46" s="37"/>
      <c r="G46" s="38">
        <f>SUM(G47+G70+G76+G63+G66)</f>
        <v>94748.20000000001</v>
      </c>
      <c r="H46" s="39">
        <f>SUM(H47+H70+H76+H63+H66)</f>
        <v>94147.70000000001</v>
      </c>
      <c r="I46" s="39">
        <f t="shared" si="0"/>
        <v>99.3662148726836</v>
      </c>
    </row>
    <row r="47" spans="1:9" ht="42.75">
      <c r="A47" s="40" t="s">
        <v>729</v>
      </c>
      <c r="B47" s="35"/>
      <c r="C47" s="36" t="s">
        <v>678</v>
      </c>
      <c r="D47" s="36" t="s">
        <v>712</v>
      </c>
      <c r="E47" s="36"/>
      <c r="F47" s="37"/>
      <c r="G47" s="38">
        <f>SUM(G48)+G60+G58</f>
        <v>74398.3</v>
      </c>
      <c r="H47" s="39">
        <f>SUM(H48)+H60+H58</f>
        <v>73924.3</v>
      </c>
      <c r="I47" s="39">
        <f t="shared" si="0"/>
        <v>99.36288866815505</v>
      </c>
    </row>
    <row r="48" spans="1:9" ht="43.5" customHeight="1">
      <c r="A48" s="40" t="s">
        <v>681</v>
      </c>
      <c r="B48" s="35"/>
      <c r="C48" s="36" t="s">
        <v>678</v>
      </c>
      <c r="D48" s="36" t="s">
        <v>712</v>
      </c>
      <c r="E48" s="36" t="s">
        <v>682</v>
      </c>
      <c r="F48" s="41"/>
      <c r="G48" s="38">
        <f>SUM(G49+G56)</f>
        <v>73867.5</v>
      </c>
      <c r="H48" s="39">
        <f>SUM(H49+H56)</f>
        <v>73395.1</v>
      </c>
      <c r="I48" s="39">
        <f t="shared" si="0"/>
        <v>99.36047652892003</v>
      </c>
    </row>
    <row r="49" spans="1:9" ht="14.25" customHeight="1">
      <c r="A49" s="40" t="s">
        <v>689</v>
      </c>
      <c r="B49" s="35"/>
      <c r="C49" s="36" t="s">
        <v>678</v>
      </c>
      <c r="D49" s="36" t="s">
        <v>712</v>
      </c>
      <c r="E49" s="36" t="s">
        <v>691</v>
      </c>
      <c r="F49" s="41"/>
      <c r="G49" s="38">
        <f>SUM(G50:G50+G51+G53+G54)+G52+G55</f>
        <v>72800.7</v>
      </c>
      <c r="H49" s="39">
        <f>SUM(H50:H50+H51+H53+H54)+H52+H55</f>
        <v>72279.3</v>
      </c>
      <c r="I49" s="39">
        <f t="shared" si="0"/>
        <v>99.283798095348</v>
      </c>
    </row>
    <row r="50" spans="1:9" ht="29.25" customHeight="1">
      <c r="A50" s="40" t="s">
        <v>685</v>
      </c>
      <c r="B50" s="35"/>
      <c r="C50" s="36" t="s">
        <v>678</v>
      </c>
      <c r="D50" s="36" t="s">
        <v>712</v>
      </c>
      <c r="E50" s="36" t="s">
        <v>691</v>
      </c>
      <c r="F50" s="37" t="s">
        <v>686</v>
      </c>
      <c r="G50" s="38">
        <f>73378-1434.1</f>
        <v>71943.9</v>
      </c>
      <c r="H50" s="39">
        <v>71422.5</v>
      </c>
      <c r="I50" s="39">
        <f t="shared" si="0"/>
        <v>99.27526864682066</v>
      </c>
    </row>
    <row r="51" spans="1:9" ht="42" customHeight="1">
      <c r="A51" s="40" t="s">
        <v>730</v>
      </c>
      <c r="B51" s="35"/>
      <c r="C51" s="36" t="s">
        <v>678</v>
      </c>
      <c r="D51" s="36" t="s">
        <v>712</v>
      </c>
      <c r="E51" s="36" t="s">
        <v>731</v>
      </c>
      <c r="F51" s="37" t="s">
        <v>686</v>
      </c>
      <c r="G51" s="38">
        <f>717.9+21.1</f>
        <v>739</v>
      </c>
      <c r="H51" s="39">
        <v>739</v>
      </c>
      <c r="I51" s="39">
        <f t="shared" si="0"/>
        <v>100</v>
      </c>
    </row>
    <row r="52" spans="1:9" ht="57" hidden="1">
      <c r="A52" s="40" t="s">
        <v>732</v>
      </c>
      <c r="B52" s="35"/>
      <c r="C52" s="36" t="s">
        <v>678</v>
      </c>
      <c r="D52" s="36" t="s">
        <v>712</v>
      </c>
      <c r="E52" s="36" t="s">
        <v>733</v>
      </c>
      <c r="F52" s="37" t="s">
        <v>686</v>
      </c>
      <c r="G52" s="38"/>
      <c r="H52" s="39"/>
      <c r="I52" s="39" t="e">
        <f t="shared" si="0"/>
        <v>#DIV/0!</v>
      </c>
    </row>
    <row r="53" spans="1:9" ht="72" customHeight="1">
      <c r="A53" s="40" t="s">
        <v>734</v>
      </c>
      <c r="B53" s="35"/>
      <c r="C53" s="36" t="s">
        <v>678</v>
      </c>
      <c r="D53" s="36" t="s">
        <v>712</v>
      </c>
      <c r="E53" s="36" t="s">
        <v>735</v>
      </c>
      <c r="F53" s="37" t="s">
        <v>686</v>
      </c>
      <c r="G53" s="38">
        <v>42</v>
      </c>
      <c r="H53" s="39">
        <v>42</v>
      </c>
      <c r="I53" s="39">
        <f t="shared" si="0"/>
        <v>100</v>
      </c>
    </row>
    <row r="54" spans="1:9" ht="42.75" customHeight="1" hidden="1">
      <c r="A54" s="40" t="s">
        <v>1424</v>
      </c>
      <c r="B54" s="35"/>
      <c r="C54" s="36" t="s">
        <v>678</v>
      </c>
      <c r="D54" s="36" t="s">
        <v>712</v>
      </c>
      <c r="E54" s="36" t="s">
        <v>1425</v>
      </c>
      <c r="F54" s="37" t="s">
        <v>686</v>
      </c>
      <c r="G54" s="38">
        <v>0</v>
      </c>
      <c r="H54" s="39">
        <v>0</v>
      </c>
      <c r="I54" s="39" t="e">
        <f t="shared" si="0"/>
        <v>#DIV/0!</v>
      </c>
    </row>
    <row r="55" spans="1:9" ht="59.25" customHeight="1">
      <c r="A55" s="40" t="s">
        <v>736</v>
      </c>
      <c r="B55" s="35"/>
      <c r="C55" s="36" t="s">
        <v>678</v>
      </c>
      <c r="D55" s="36" t="s">
        <v>712</v>
      </c>
      <c r="E55" s="36" t="s">
        <v>737</v>
      </c>
      <c r="F55" s="37" t="s">
        <v>686</v>
      </c>
      <c r="G55" s="38">
        <v>75.8</v>
      </c>
      <c r="H55" s="39">
        <v>75.8</v>
      </c>
      <c r="I55" s="39">
        <f t="shared" si="0"/>
        <v>100</v>
      </c>
    </row>
    <row r="56" spans="1:9" s="45" customFormat="1" ht="27" customHeight="1">
      <c r="A56" s="40" t="s">
        <v>738</v>
      </c>
      <c r="B56" s="35"/>
      <c r="C56" s="36" t="s">
        <v>690</v>
      </c>
      <c r="D56" s="36" t="s">
        <v>712</v>
      </c>
      <c r="E56" s="36" t="s">
        <v>739</v>
      </c>
      <c r="F56" s="41"/>
      <c r="G56" s="38">
        <f>SUM(G57)</f>
        <v>1066.8</v>
      </c>
      <c r="H56" s="39">
        <f>SUM(H57)</f>
        <v>1115.8</v>
      </c>
      <c r="I56" s="39">
        <f t="shared" si="0"/>
        <v>104.59317585301837</v>
      </c>
    </row>
    <row r="57" spans="1:9" s="45" customFormat="1" ht="27" customHeight="1">
      <c r="A57" s="40" t="s">
        <v>685</v>
      </c>
      <c r="B57" s="35"/>
      <c r="C57" s="36" t="s">
        <v>678</v>
      </c>
      <c r="D57" s="36" t="s">
        <v>712</v>
      </c>
      <c r="E57" s="36" t="s">
        <v>739</v>
      </c>
      <c r="F57" s="37" t="s">
        <v>686</v>
      </c>
      <c r="G57" s="38">
        <f>842.7+224.1+220.8-220.8</f>
        <v>1066.8</v>
      </c>
      <c r="H57" s="39">
        <v>1115.8</v>
      </c>
      <c r="I57" s="39">
        <f t="shared" si="0"/>
        <v>104.59317585301837</v>
      </c>
    </row>
    <row r="58" spans="1:9" s="45" customFormat="1" ht="27" customHeight="1">
      <c r="A58" s="40" t="s">
        <v>740</v>
      </c>
      <c r="B58" s="35"/>
      <c r="C58" s="36" t="s">
        <v>678</v>
      </c>
      <c r="D58" s="36" t="s">
        <v>712</v>
      </c>
      <c r="E58" s="36" t="s">
        <v>741</v>
      </c>
      <c r="F58" s="37"/>
      <c r="G58" s="38">
        <f>SUM(G59)</f>
        <v>264.8</v>
      </c>
      <c r="H58" s="39">
        <f>SUM(H59)</f>
        <v>264.8</v>
      </c>
      <c r="I58" s="39">
        <f t="shared" si="0"/>
        <v>100</v>
      </c>
    </row>
    <row r="59" spans="1:9" s="45" customFormat="1" ht="27" customHeight="1">
      <c r="A59" s="40" t="s">
        <v>685</v>
      </c>
      <c r="B59" s="35"/>
      <c r="C59" s="36" t="s">
        <v>678</v>
      </c>
      <c r="D59" s="36" t="s">
        <v>712</v>
      </c>
      <c r="E59" s="36" t="s">
        <v>741</v>
      </c>
      <c r="F59" s="37" t="s">
        <v>686</v>
      </c>
      <c r="G59" s="38">
        <v>264.8</v>
      </c>
      <c r="H59" s="39">
        <v>264.8</v>
      </c>
      <c r="I59" s="39">
        <f t="shared" si="0"/>
        <v>100</v>
      </c>
    </row>
    <row r="60" spans="1:9" s="45" customFormat="1" ht="19.5" customHeight="1">
      <c r="A60" s="34" t="s">
        <v>742</v>
      </c>
      <c r="B60" s="35"/>
      <c r="C60" s="36" t="s">
        <v>678</v>
      </c>
      <c r="D60" s="36" t="s">
        <v>712</v>
      </c>
      <c r="E60" s="36" t="s">
        <v>743</v>
      </c>
      <c r="F60" s="41"/>
      <c r="G60" s="38">
        <f>SUM(G61)</f>
        <v>266</v>
      </c>
      <c r="H60" s="39">
        <f>SUM(H61)</f>
        <v>264.4</v>
      </c>
      <c r="I60" s="39">
        <f t="shared" si="0"/>
        <v>99.3984962406015</v>
      </c>
    </row>
    <row r="61" spans="1:9" s="45" customFormat="1" ht="27" customHeight="1">
      <c r="A61" s="40" t="s">
        <v>685</v>
      </c>
      <c r="B61" s="35"/>
      <c r="C61" s="36" t="s">
        <v>678</v>
      </c>
      <c r="D61" s="36" t="s">
        <v>712</v>
      </c>
      <c r="E61" s="36" t="s">
        <v>743</v>
      </c>
      <c r="F61" s="41" t="s">
        <v>686</v>
      </c>
      <c r="G61" s="38">
        <f>SUM(G62:G63)</f>
        <v>266</v>
      </c>
      <c r="H61" s="39">
        <f>SUM(H62:H63)</f>
        <v>264.4</v>
      </c>
      <c r="I61" s="39">
        <f t="shared" si="0"/>
        <v>99.3984962406015</v>
      </c>
    </row>
    <row r="62" spans="1:9" s="45" customFormat="1" ht="15" customHeight="1">
      <c r="A62" s="34" t="s">
        <v>744</v>
      </c>
      <c r="B62" s="35"/>
      <c r="C62" s="36" t="s">
        <v>678</v>
      </c>
      <c r="D62" s="36" t="s">
        <v>712</v>
      </c>
      <c r="E62" s="36" t="s">
        <v>745</v>
      </c>
      <c r="F62" s="41" t="s">
        <v>686</v>
      </c>
      <c r="G62" s="38">
        <f>255.9+10.1</f>
        <v>266</v>
      </c>
      <c r="H62" s="39">
        <v>264.4</v>
      </c>
      <c r="I62" s="39">
        <f t="shared" si="0"/>
        <v>99.3984962406015</v>
      </c>
    </row>
    <row r="63" spans="1:9" s="45" customFormat="1" ht="15.75" customHeight="1" hidden="1">
      <c r="A63" s="40" t="s">
        <v>746</v>
      </c>
      <c r="B63" s="35"/>
      <c r="C63" s="36" t="s">
        <v>678</v>
      </c>
      <c r="D63" s="36" t="s">
        <v>747</v>
      </c>
      <c r="E63" s="36"/>
      <c r="F63" s="41"/>
      <c r="G63" s="38">
        <f>SUM(G64)</f>
        <v>0</v>
      </c>
      <c r="H63" s="39">
        <f>SUM(H64)</f>
        <v>0</v>
      </c>
      <c r="I63" s="39" t="e">
        <f t="shared" si="0"/>
        <v>#DIV/0!</v>
      </c>
    </row>
    <row r="64" spans="1:9" ht="42" customHeight="1" hidden="1">
      <c r="A64" s="54" t="s">
        <v>748</v>
      </c>
      <c r="B64" s="35"/>
      <c r="C64" s="36" t="s">
        <v>678</v>
      </c>
      <c r="D64" s="36" t="s">
        <v>747</v>
      </c>
      <c r="E64" s="36" t="s">
        <v>749</v>
      </c>
      <c r="F64" s="41"/>
      <c r="G64" s="38">
        <f>SUM(G65)</f>
        <v>0</v>
      </c>
      <c r="H64" s="39">
        <f>SUM(H65)</f>
        <v>0</v>
      </c>
      <c r="I64" s="39" t="e">
        <f t="shared" si="0"/>
        <v>#DIV/0!</v>
      </c>
    </row>
    <row r="65" spans="1:9" ht="33" customHeight="1" hidden="1">
      <c r="A65" s="40" t="s">
        <v>685</v>
      </c>
      <c r="B65" s="35"/>
      <c r="C65" s="36" t="s">
        <v>678</v>
      </c>
      <c r="D65" s="36" t="s">
        <v>747</v>
      </c>
      <c r="E65" s="36" t="s">
        <v>749</v>
      </c>
      <c r="F65" s="37" t="s">
        <v>686</v>
      </c>
      <c r="G65" s="38"/>
      <c r="H65" s="39"/>
      <c r="I65" s="39" t="e">
        <f t="shared" si="0"/>
        <v>#DIV/0!</v>
      </c>
    </row>
    <row r="66" spans="1:9" ht="18.75" customHeight="1" hidden="1">
      <c r="A66" s="34" t="s">
        <v>1426</v>
      </c>
      <c r="B66" s="35"/>
      <c r="C66" s="36" t="s">
        <v>678</v>
      </c>
      <c r="D66" s="36" t="s">
        <v>751</v>
      </c>
      <c r="E66" s="36"/>
      <c r="F66" s="37"/>
      <c r="G66" s="38">
        <f aca="true" t="shared" si="4" ref="G66:H68">SUM(G67)</f>
        <v>0</v>
      </c>
      <c r="H66" s="39">
        <f t="shared" si="4"/>
        <v>0</v>
      </c>
      <c r="I66" s="39" t="e">
        <f t="shared" si="0"/>
        <v>#DIV/0!</v>
      </c>
    </row>
    <row r="67" spans="1:9" ht="14.25" customHeight="1" hidden="1">
      <c r="A67" s="34" t="s">
        <v>681</v>
      </c>
      <c r="B67" s="35"/>
      <c r="C67" s="36" t="s">
        <v>678</v>
      </c>
      <c r="D67" s="36" t="s">
        <v>751</v>
      </c>
      <c r="E67" s="36" t="s">
        <v>682</v>
      </c>
      <c r="F67" s="37"/>
      <c r="G67" s="38">
        <f t="shared" si="4"/>
        <v>0</v>
      </c>
      <c r="H67" s="39">
        <f t="shared" si="4"/>
        <v>0</v>
      </c>
      <c r="I67" s="39" t="e">
        <f t="shared" si="0"/>
        <v>#DIV/0!</v>
      </c>
    </row>
    <row r="68" spans="1:9" ht="19.5" customHeight="1" hidden="1">
      <c r="A68" s="34" t="s">
        <v>689</v>
      </c>
      <c r="B68" s="35"/>
      <c r="C68" s="36" t="s">
        <v>678</v>
      </c>
      <c r="D68" s="36" t="s">
        <v>751</v>
      </c>
      <c r="E68" s="36" t="s">
        <v>691</v>
      </c>
      <c r="F68" s="37"/>
      <c r="G68" s="38">
        <f t="shared" si="4"/>
        <v>0</v>
      </c>
      <c r="H68" s="39">
        <f t="shared" si="4"/>
        <v>0</v>
      </c>
      <c r="I68" s="39" t="e">
        <f t="shared" si="0"/>
        <v>#DIV/0!</v>
      </c>
    </row>
    <row r="69" spans="1:9" ht="20.25" customHeight="1" hidden="1">
      <c r="A69" s="40" t="s">
        <v>685</v>
      </c>
      <c r="B69" s="35"/>
      <c r="C69" s="36" t="s">
        <v>690</v>
      </c>
      <c r="D69" s="36" t="s">
        <v>751</v>
      </c>
      <c r="E69" s="36" t="s">
        <v>691</v>
      </c>
      <c r="F69" s="42" t="s">
        <v>686</v>
      </c>
      <c r="G69" s="38"/>
      <c r="H69" s="39"/>
      <c r="I69" s="39" t="e">
        <f t="shared" si="0"/>
        <v>#DIV/0!</v>
      </c>
    </row>
    <row r="70" spans="1:9" ht="20.25" customHeight="1">
      <c r="A70" s="56" t="s">
        <v>756</v>
      </c>
      <c r="B70" s="52"/>
      <c r="C70" s="53" t="s">
        <v>678</v>
      </c>
      <c r="D70" s="53" t="s">
        <v>701</v>
      </c>
      <c r="E70" s="53"/>
      <c r="F70" s="41"/>
      <c r="G70" s="38">
        <f>SUM(G71)</f>
        <v>4219.8</v>
      </c>
      <c r="H70" s="39">
        <f>SUM(H71)</f>
        <v>4219.8</v>
      </c>
      <c r="I70" s="39">
        <f t="shared" si="0"/>
        <v>100</v>
      </c>
    </row>
    <row r="71" spans="1:9" ht="18.75" customHeight="1">
      <c r="A71" s="56" t="s">
        <v>756</v>
      </c>
      <c r="B71" s="52"/>
      <c r="C71" s="53" t="s">
        <v>678</v>
      </c>
      <c r="D71" s="53" t="s">
        <v>701</v>
      </c>
      <c r="E71" s="53" t="s">
        <v>757</v>
      </c>
      <c r="F71" s="41"/>
      <c r="G71" s="38">
        <f>SUM(G72+G74)</f>
        <v>4219.8</v>
      </c>
      <c r="H71" s="39">
        <f>SUM(H72+H74)</f>
        <v>4219.8</v>
      </c>
      <c r="I71" s="39">
        <f t="shared" si="0"/>
        <v>100</v>
      </c>
    </row>
    <row r="72" spans="1:9" ht="28.5">
      <c r="A72" s="34" t="s">
        <v>758</v>
      </c>
      <c r="B72" s="52"/>
      <c r="C72" s="53" t="s">
        <v>678</v>
      </c>
      <c r="D72" s="53" t="s">
        <v>701</v>
      </c>
      <c r="E72" s="53" t="s">
        <v>759</v>
      </c>
      <c r="F72" s="41"/>
      <c r="G72" s="38">
        <f>SUM(G73:G73)</f>
        <v>2142.4</v>
      </c>
      <c r="H72" s="39">
        <f>SUM(H73:H73)</f>
        <v>2142.4</v>
      </c>
      <c r="I72" s="39">
        <f t="shared" si="0"/>
        <v>100</v>
      </c>
    </row>
    <row r="73" spans="1:9" ht="28.5">
      <c r="A73" s="40" t="s">
        <v>685</v>
      </c>
      <c r="B73" s="52"/>
      <c r="C73" s="53" t="s">
        <v>678</v>
      </c>
      <c r="D73" s="53" t="s">
        <v>701</v>
      </c>
      <c r="E73" s="53" t="s">
        <v>759</v>
      </c>
      <c r="F73" s="41" t="s">
        <v>686</v>
      </c>
      <c r="G73" s="38">
        <v>2142.4</v>
      </c>
      <c r="H73" s="39">
        <v>2142.4</v>
      </c>
      <c r="I73" s="39">
        <f t="shared" si="0"/>
        <v>100</v>
      </c>
    </row>
    <row r="74" spans="1:9" ht="28.5">
      <c r="A74" s="40" t="s">
        <v>760</v>
      </c>
      <c r="B74" s="52"/>
      <c r="C74" s="53" t="s">
        <v>678</v>
      </c>
      <c r="D74" s="53" t="s">
        <v>701</v>
      </c>
      <c r="E74" s="53" t="s">
        <v>761</v>
      </c>
      <c r="F74" s="41"/>
      <c r="G74" s="38">
        <f>SUM(G75)</f>
        <v>2077.4</v>
      </c>
      <c r="H74" s="39">
        <f>SUM(H75)</f>
        <v>2077.4</v>
      </c>
      <c r="I74" s="39">
        <f t="shared" si="0"/>
        <v>100</v>
      </c>
    </row>
    <row r="75" spans="1:9" ht="28.5">
      <c r="A75" s="40" t="s">
        <v>685</v>
      </c>
      <c r="B75" s="52"/>
      <c r="C75" s="53" t="s">
        <v>678</v>
      </c>
      <c r="D75" s="53" t="s">
        <v>701</v>
      </c>
      <c r="E75" s="53" t="s">
        <v>761</v>
      </c>
      <c r="F75" s="41" t="s">
        <v>686</v>
      </c>
      <c r="G75" s="38">
        <v>2077.4</v>
      </c>
      <c r="H75" s="39">
        <v>2077.4</v>
      </c>
      <c r="I75" s="39">
        <f t="shared" si="0"/>
        <v>100</v>
      </c>
    </row>
    <row r="76" spans="1:9" ht="18.75" customHeight="1">
      <c r="A76" s="40" t="s">
        <v>694</v>
      </c>
      <c r="B76" s="35"/>
      <c r="C76" s="36" t="s">
        <v>678</v>
      </c>
      <c r="D76" s="36" t="s">
        <v>773</v>
      </c>
      <c r="E76" s="36"/>
      <c r="F76" s="41"/>
      <c r="G76" s="38">
        <f>SUM(G77+G88+G91+G94+G97+G100+G85)+G82+G80</f>
        <v>16130.1</v>
      </c>
      <c r="H76" s="39">
        <f>SUM(H77+H88+H91+H94+H97+H100+H85)+H82+H80</f>
        <v>16003.599999999999</v>
      </c>
      <c r="I76" s="39">
        <f t="shared" si="0"/>
        <v>99.21575191722307</v>
      </c>
    </row>
    <row r="77" spans="1:9" ht="28.5">
      <c r="A77" s="34" t="s">
        <v>774</v>
      </c>
      <c r="B77" s="35"/>
      <c r="C77" s="36" t="s">
        <v>678</v>
      </c>
      <c r="D77" s="36" t="s">
        <v>773</v>
      </c>
      <c r="E77" s="36" t="s">
        <v>775</v>
      </c>
      <c r="F77" s="37"/>
      <c r="G77" s="38">
        <f>SUM(G78)</f>
        <v>6776.3</v>
      </c>
      <c r="H77" s="39">
        <f>SUM(H78)</f>
        <v>6776.3</v>
      </c>
      <c r="I77" s="39">
        <f aca="true" t="shared" si="5" ref="I77:I140">SUM(H77/G77*100)</f>
        <v>100</v>
      </c>
    </row>
    <row r="78" spans="1:9" ht="28.5">
      <c r="A78" s="34" t="s">
        <v>776</v>
      </c>
      <c r="B78" s="35"/>
      <c r="C78" s="36" t="s">
        <v>678</v>
      </c>
      <c r="D78" s="36" t="s">
        <v>773</v>
      </c>
      <c r="E78" s="36" t="s">
        <v>777</v>
      </c>
      <c r="F78" s="37"/>
      <c r="G78" s="38">
        <f>SUM(G79)</f>
        <v>6776.3</v>
      </c>
      <c r="H78" s="39">
        <f>SUM(H79)</f>
        <v>6776.3</v>
      </c>
      <c r="I78" s="39">
        <f t="shared" si="5"/>
        <v>100</v>
      </c>
    </row>
    <row r="79" spans="1:9" ht="27" customHeight="1">
      <c r="A79" s="40" t="s">
        <v>685</v>
      </c>
      <c r="B79" s="35"/>
      <c r="C79" s="36" t="s">
        <v>678</v>
      </c>
      <c r="D79" s="36" t="s">
        <v>773</v>
      </c>
      <c r="E79" s="36" t="s">
        <v>777</v>
      </c>
      <c r="F79" s="37" t="s">
        <v>686</v>
      </c>
      <c r="G79" s="38">
        <f>6752.8+23.5</f>
        <v>6776.3</v>
      </c>
      <c r="H79" s="39">
        <v>6776.3</v>
      </c>
      <c r="I79" s="39">
        <f t="shared" si="5"/>
        <v>100</v>
      </c>
    </row>
    <row r="80" spans="1:9" ht="27" customHeight="1">
      <c r="A80" s="40" t="s">
        <v>778</v>
      </c>
      <c r="B80" s="35"/>
      <c r="C80" s="36" t="s">
        <v>678</v>
      </c>
      <c r="D80" s="36" t="s">
        <v>773</v>
      </c>
      <c r="E80" s="36" t="s">
        <v>779</v>
      </c>
      <c r="F80" s="37"/>
      <c r="G80" s="38">
        <f>SUM(G81)</f>
        <v>759.4</v>
      </c>
      <c r="H80" s="39">
        <f>SUM(H81)</f>
        <v>759.4</v>
      </c>
      <c r="I80" s="39">
        <f t="shared" si="5"/>
        <v>100</v>
      </c>
    </row>
    <row r="81" spans="1:9" ht="27" customHeight="1">
      <c r="A81" s="40" t="s">
        <v>685</v>
      </c>
      <c r="B81" s="35"/>
      <c r="C81" s="36" t="s">
        <v>678</v>
      </c>
      <c r="D81" s="36" t="s">
        <v>773</v>
      </c>
      <c r="E81" s="36" t="s">
        <v>779</v>
      </c>
      <c r="F81" s="37" t="s">
        <v>686</v>
      </c>
      <c r="G81" s="38">
        <v>759.4</v>
      </c>
      <c r="H81" s="39">
        <v>759.4</v>
      </c>
      <c r="I81" s="39">
        <f t="shared" si="5"/>
        <v>100</v>
      </c>
    </row>
    <row r="82" spans="1:9" ht="27" customHeight="1">
      <c r="A82" s="40" t="s">
        <v>774</v>
      </c>
      <c r="B82" s="35"/>
      <c r="C82" s="36" t="s">
        <v>678</v>
      </c>
      <c r="D82" s="36" t="s">
        <v>773</v>
      </c>
      <c r="E82" s="36" t="s">
        <v>682</v>
      </c>
      <c r="F82" s="41"/>
      <c r="G82" s="38">
        <f>SUM(G83)</f>
        <v>1094.7000000000003</v>
      </c>
      <c r="H82" s="39">
        <f>SUM(H83)</f>
        <v>981.4</v>
      </c>
      <c r="I82" s="39">
        <f t="shared" si="5"/>
        <v>89.65013245638072</v>
      </c>
    </row>
    <row r="83" spans="1:9" ht="27" customHeight="1">
      <c r="A83" s="40" t="s">
        <v>780</v>
      </c>
      <c r="B83" s="35"/>
      <c r="C83" s="36" t="s">
        <v>678</v>
      </c>
      <c r="D83" s="36" t="s">
        <v>773</v>
      </c>
      <c r="E83" s="36" t="s">
        <v>781</v>
      </c>
      <c r="F83" s="41"/>
      <c r="G83" s="38">
        <f>SUM(G84)</f>
        <v>1094.7000000000003</v>
      </c>
      <c r="H83" s="39">
        <f>SUM(H84)</f>
        <v>981.4</v>
      </c>
      <c r="I83" s="39">
        <f t="shared" si="5"/>
        <v>89.65013245638072</v>
      </c>
    </row>
    <row r="84" spans="1:9" ht="27" customHeight="1">
      <c r="A84" s="57" t="s">
        <v>782</v>
      </c>
      <c r="B84" s="35"/>
      <c r="C84" s="36" t="s">
        <v>678</v>
      </c>
      <c r="D84" s="36" t="s">
        <v>773</v>
      </c>
      <c r="E84" s="36" t="s">
        <v>781</v>
      </c>
      <c r="F84" s="41" t="s">
        <v>783</v>
      </c>
      <c r="G84" s="38">
        <f>734.2+60.6+294.6+5.4-0.1</f>
        <v>1094.7000000000003</v>
      </c>
      <c r="H84" s="39">
        <v>981.4</v>
      </c>
      <c r="I84" s="39">
        <f t="shared" si="5"/>
        <v>89.65013245638072</v>
      </c>
    </row>
    <row r="85" spans="1:9" ht="20.25" customHeight="1">
      <c r="A85" s="34" t="s">
        <v>769</v>
      </c>
      <c r="B85" s="35"/>
      <c r="C85" s="36" t="s">
        <v>678</v>
      </c>
      <c r="D85" s="36" t="s">
        <v>773</v>
      </c>
      <c r="E85" s="36" t="s">
        <v>771</v>
      </c>
      <c r="F85" s="37"/>
      <c r="G85" s="38">
        <f>SUM(G87)</f>
        <v>730.8000000000001</v>
      </c>
      <c r="H85" s="39">
        <f>SUM(H87)</f>
        <v>730.8</v>
      </c>
      <c r="I85" s="39">
        <f t="shared" si="5"/>
        <v>99.99999999999999</v>
      </c>
    </row>
    <row r="86" spans="1:9" ht="19.5" customHeight="1">
      <c r="A86" s="34" t="s">
        <v>740</v>
      </c>
      <c r="B86" s="35"/>
      <c r="C86" s="36" t="s">
        <v>678</v>
      </c>
      <c r="D86" s="36" t="s">
        <v>773</v>
      </c>
      <c r="E86" s="36" t="s">
        <v>741</v>
      </c>
      <c r="F86" s="37"/>
      <c r="G86" s="38">
        <f>SUM(G87)</f>
        <v>730.8000000000001</v>
      </c>
      <c r="H86" s="39">
        <f>SUM(H87)</f>
        <v>730.8</v>
      </c>
      <c r="I86" s="39">
        <f t="shared" si="5"/>
        <v>99.99999999999999</v>
      </c>
    </row>
    <row r="87" spans="1:9" ht="32.25" customHeight="1">
      <c r="A87" s="40" t="s">
        <v>685</v>
      </c>
      <c r="B87" s="35"/>
      <c r="C87" s="36" t="s">
        <v>678</v>
      </c>
      <c r="D87" s="36" t="s">
        <v>773</v>
      </c>
      <c r="E87" s="36" t="s">
        <v>741</v>
      </c>
      <c r="F87" s="37" t="s">
        <v>686</v>
      </c>
      <c r="G87" s="38">
        <f>423.2+113.7+193.8+0.1</f>
        <v>730.8000000000001</v>
      </c>
      <c r="H87" s="39">
        <v>730.8</v>
      </c>
      <c r="I87" s="39">
        <f t="shared" si="5"/>
        <v>99.99999999999999</v>
      </c>
    </row>
    <row r="88" spans="1:9" ht="46.5" customHeight="1">
      <c r="A88" s="54" t="s">
        <v>784</v>
      </c>
      <c r="B88" s="35"/>
      <c r="C88" s="36" t="s">
        <v>678</v>
      </c>
      <c r="D88" s="36" t="s">
        <v>773</v>
      </c>
      <c r="E88" s="36" t="s">
        <v>708</v>
      </c>
      <c r="F88" s="37"/>
      <c r="G88" s="38">
        <f>SUM(G89)</f>
        <v>1156</v>
      </c>
      <c r="H88" s="39">
        <f>SUM(H89)</f>
        <v>1155</v>
      </c>
      <c r="I88" s="39">
        <f t="shared" si="5"/>
        <v>99.91349480968859</v>
      </c>
    </row>
    <row r="89" spans="1:9" ht="28.5" customHeight="1">
      <c r="A89" s="54" t="s">
        <v>709</v>
      </c>
      <c r="B89" s="35"/>
      <c r="C89" s="36" t="s">
        <v>678</v>
      </c>
      <c r="D89" s="36" t="s">
        <v>773</v>
      </c>
      <c r="E89" s="36" t="s">
        <v>785</v>
      </c>
      <c r="F89" s="37"/>
      <c r="G89" s="38">
        <f>SUM(G90)</f>
        <v>1156</v>
      </c>
      <c r="H89" s="39">
        <f>SUM(H90)</f>
        <v>1155</v>
      </c>
      <c r="I89" s="39">
        <f t="shared" si="5"/>
        <v>99.91349480968859</v>
      </c>
    </row>
    <row r="90" spans="1:9" ht="26.25" customHeight="1">
      <c r="A90" s="40" t="s">
        <v>685</v>
      </c>
      <c r="B90" s="35"/>
      <c r="C90" s="36" t="s">
        <v>678</v>
      </c>
      <c r="D90" s="36" t="s">
        <v>773</v>
      </c>
      <c r="E90" s="36" t="s">
        <v>785</v>
      </c>
      <c r="F90" s="37" t="s">
        <v>686</v>
      </c>
      <c r="G90" s="38">
        <f>1514+654.4-5.4-1135+128</f>
        <v>1156</v>
      </c>
      <c r="H90" s="39">
        <v>1155</v>
      </c>
      <c r="I90" s="39">
        <f t="shared" si="5"/>
        <v>99.91349480968859</v>
      </c>
    </row>
    <row r="91" spans="1:9" ht="33" customHeight="1">
      <c r="A91" s="40" t="s">
        <v>696</v>
      </c>
      <c r="B91" s="35"/>
      <c r="C91" s="36" t="s">
        <v>678</v>
      </c>
      <c r="D91" s="36" t="s">
        <v>773</v>
      </c>
      <c r="E91" s="36" t="s">
        <v>697</v>
      </c>
      <c r="F91" s="42"/>
      <c r="G91" s="38">
        <f>SUM(G92)</f>
        <v>1738.6999999999998</v>
      </c>
      <c r="H91" s="39">
        <f>SUM(H92)</f>
        <v>1731</v>
      </c>
      <c r="I91" s="39">
        <f t="shared" si="5"/>
        <v>99.55714039224709</v>
      </c>
    </row>
    <row r="92" spans="1:9" ht="16.5" customHeight="1">
      <c r="A92" s="40" t="s">
        <v>698</v>
      </c>
      <c r="B92" s="35"/>
      <c r="C92" s="36" t="s">
        <v>678</v>
      </c>
      <c r="D92" s="36" t="s">
        <v>773</v>
      </c>
      <c r="E92" s="36" t="s">
        <v>786</v>
      </c>
      <c r="F92" s="42"/>
      <c r="G92" s="38">
        <f>SUM(G93)</f>
        <v>1738.6999999999998</v>
      </c>
      <c r="H92" s="39">
        <f>SUM(H93)</f>
        <v>1731</v>
      </c>
      <c r="I92" s="39">
        <f t="shared" si="5"/>
        <v>99.55714039224709</v>
      </c>
    </row>
    <row r="93" spans="1:9" ht="27" customHeight="1">
      <c r="A93" s="40" t="s">
        <v>685</v>
      </c>
      <c r="B93" s="35"/>
      <c r="C93" s="36" t="s">
        <v>678</v>
      </c>
      <c r="D93" s="36" t="s">
        <v>773</v>
      </c>
      <c r="E93" s="36" t="s">
        <v>786</v>
      </c>
      <c r="F93" s="42" t="s">
        <v>686</v>
      </c>
      <c r="G93" s="38">
        <f>916.4+812.7+0.6-264.6+15+357.1-276.8+57.5+71.5+49.3</f>
        <v>1738.6999999999998</v>
      </c>
      <c r="H93" s="39">
        <v>1731</v>
      </c>
      <c r="I93" s="39">
        <f t="shared" si="5"/>
        <v>99.55714039224709</v>
      </c>
    </row>
    <row r="94" spans="1:9" ht="42.75" hidden="1">
      <c r="A94" s="51" t="s">
        <v>787</v>
      </c>
      <c r="B94" s="35"/>
      <c r="C94" s="36" t="s">
        <v>678</v>
      </c>
      <c r="D94" s="36" t="s">
        <v>773</v>
      </c>
      <c r="E94" s="36" t="s">
        <v>726</v>
      </c>
      <c r="F94" s="37"/>
      <c r="G94" s="38">
        <f>SUM(G96)</f>
        <v>0</v>
      </c>
      <c r="H94" s="39">
        <f>SUM(H96)</f>
        <v>0</v>
      </c>
      <c r="I94" s="39" t="e">
        <f t="shared" si="5"/>
        <v>#DIV/0!</v>
      </c>
    </row>
    <row r="95" spans="1:9" ht="42.75" hidden="1">
      <c r="A95" s="51" t="s">
        <v>788</v>
      </c>
      <c r="B95" s="35"/>
      <c r="C95" s="36" t="s">
        <v>678</v>
      </c>
      <c r="D95" s="36" t="s">
        <v>773</v>
      </c>
      <c r="E95" s="36" t="s">
        <v>789</v>
      </c>
      <c r="F95" s="37"/>
      <c r="G95" s="38">
        <f>SUM(G96)</f>
        <v>0</v>
      </c>
      <c r="H95" s="39">
        <f>SUM(H96)</f>
        <v>0</v>
      </c>
      <c r="I95" s="39" t="e">
        <f t="shared" si="5"/>
        <v>#DIV/0!</v>
      </c>
    </row>
    <row r="96" spans="1:9" ht="15" hidden="1">
      <c r="A96" s="51" t="s">
        <v>790</v>
      </c>
      <c r="B96" s="35"/>
      <c r="C96" s="36" t="s">
        <v>678</v>
      </c>
      <c r="D96" s="36" t="s">
        <v>773</v>
      </c>
      <c r="E96" s="36" t="s">
        <v>789</v>
      </c>
      <c r="F96" s="37" t="s">
        <v>791</v>
      </c>
      <c r="G96" s="38"/>
      <c r="H96" s="39"/>
      <c r="I96" s="39" t="e">
        <f t="shared" si="5"/>
        <v>#DIV/0!</v>
      </c>
    </row>
    <row r="97" spans="1:9" ht="28.5">
      <c r="A97" s="34" t="s">
        <v>792</v>
      </c>
      <c r="B97" s="35"/>
      <c r="C97" s="36" t="s">
        <v>678</v>
      </c>
      <c r="D97" s="36" t="s">
        <v>773</v>
      </c>
      <c r="E97" s="53" t="s">
        <v>793</v>
      </c>
      <c r="F97" s="41"/>
      <c r="G97" s="38">
        <f>SUM(G98)</f>
        <v>1874.2</v>
      </c>
      <c r="H97" s="39">
        <f>SUM(H98)</f>
        <v>1869.7</v>
      </c>
      <c r="I97" s="39">
        <f t="shared" si="5"/>
        <v>99.7598975562907</v>
      </c>
    </row>
    <row r="98" spans="1:9" ht="28.5">
      <c r="A98" s="40" t="s">
        <v>780</v>
      </c>
      <c r="B98" s="35"/>
      <c r="C98" s="36" t="s">
        <v>678</v>
      </c>
      <c r="D98" s="36" t="s">
        <v>773</v>
      </c>
      <c r="E98" s="53" t="s">
        <v>794</v>
      </c>
      <c r="F98" s="41"/>
      <c r="G98" s="38">
        <f>SUM(G99)</f>
        <v>1874.2</v>
      </c>
      <c r="H98" s="39">
        <f>SUM(H99)</f>
        <v>1869.7</v>
      </c>
      <c r="I98" s="39">
        <f t="shared" si="5"/>
        <v>99.7598975562907</v>
      </c>
    </row>
    <row r="99" spans="1:9" ht="19.5" customHeight="1">
      <c r="A99" s="57" t="s">
        <v>782</v>
      </c>
      <c r="B99" s="35"/>
      <c r="C99" s="36" t="s">
        <v>678</v>
      </c>
      <c r="D99" s="36" t="s">
        <v>773</v>
      </c>
      <c r="E99" s="53" t="s">
        <v>794</v>
      </c>
      <c r="F99" s="41" t="s">
        <v>783</v>
      </c>
      <c r="G99" s="38">
        <f>1676.2+26.3+127.2+44.5</f>
        <v>1874.2</v>
      </c>
      <c r="H99" s="39">
        <v>1869.7</v>
      </c>
      <c r="I99" s="39">
        <f t="shared" si="5"/>
        <v>99.7598975562907</v>
      </c>
    </row>
    <row r="100" spans="1:9" ht="21.75" customHeight="1">
      <c r="A100" s="34" t="s">
        <v>742</v>
      </c>
      <c r="B100" s="35"/>
      <c r="C100" s="36" t="s">
        <v>678</v>
      </c>
      <c r="D100" s="36" t="s">
        <v>773</v>
      </c>
      <c r="E100" s="36" t="s">
        <v>743</v>
      </c>
      <c r="F100" s="42"/>
      <c r="G100" s="38">
        <f>SUM(G101)</f>
        <v>2000</v>
      </c>
      <c r="H100" s="39">
        <f>SUM(H101)</f>
        <v>2000</v>
      </c>
      <c r="I100" s="39">
        <f t="shared" si="5"/>
        <v>100</v>
      </c>
    </row>
    <row r="101" spans="1:9" ht="30" customHeight="1">
      <c r="A101" s="40" t="s">
        <v>685</v>
      </c>
      <c r="B101" s="35"/>
      <c r="C101" s="36" t="s">
        <v>678</v>
      </c>
      <c r="D101" s="36" t="s">
        <v>773</v>
      </c>
      <c r="E101" s="36" t="s">
        <v>743</v>
      </c>
      <c r="F101" s="42" t="s">
        <v>686</v>
      </c>
      <c r="G101" s="38">
        <f>SUM(G102:G103)</f>
        <v>2000</v>
      </c>
      <c r="H101" s="39">
        <f>SUM(H102:H103)</f>
        <v>2000</v>
      </c>
      <c r="I101" s="39">
        <f t="shared" si="5"/>
        <v>100</v>
      </c>
    </row>
    <row r="102" spans="1:9" ht="22.5" customHeight="1">
      <c r="A102" s="40" t="s">
        <v>795</v>
      </c>
      <c r="B102" s="35"/>
      <c r="C102" s="36" t="s">
        <v>678</v>
      </c>
      <c r="D102" s="36" t="s">
        <v>773</v>
      </c>
      <c r="E102" s="36" t="s">
        <v>796</v>
      </c>
      <c r="F102" s="42" t="s">
        <v>686</v>
      </c>
      <c r="G102" s="38">
        <v>2000</v>
      </c>
      <c r="H102" s="39">
        <v>2000</v>
      </c>
      <c r="I102" s="39">
        <f t="shared" si="5"/>
        <v>100</v>
      </c>
    </row>
    <row r="103" spans="1:9" ht="29.25" customHeight="1" hidden="1">
      <c r="A103" s="40" t="s">
        <v>797</v>
      </c>
      <c r="B103" s="35"/>
      <c r="C103" s="36" t="s">
        <v>678</v>
      </c>
      <c r="D103" s="36" t="s">
        <v>773</v>
      </c>
      <c r="E103" s="36" t="s">
        <v>798</v>
      </c>
      <c r="F103" s="42" t="s">
        <v>686</v>
      </c>
      <c r="G103" s="38"/>
      <c r="H103" s="39"/>
      <c r="I103" s="39" t="e">
        <f t="shared" si="5"/>
        <v>#DIV/0!</v>
      </c>
    </row>
    <row r="104" spans="1:9" ht="33" customHeight="1">
      <c r="A104" s="34" t="s">
        <v>799</v>
      </c>
      <c r="B104" s="35"/>
      <c r="C104" s="53" t="s">
        <v>688</v>
      </c>
      <c r="D104" s="53"/>
      <c r="E104" s="53"/>
      <c r="F104" s="41"/>
      <c r="G104" s="38">
        <f>SUM(G108)+G105+G126</f>
        <v>25726.499999999996</v>
      </c>
      <c r="H104" s="39">
        <f>SUM(H108)+H105+H126</f>
        <v>25725.4</v>
      </c>
      <c r="I104" s="39">
        <f t="shared" si="5"/>
        <v>99.99572425320197</v>
      </c>
    </row>
    <row r="105" spans="1:9" ht="18.75" customHeight="1" hidden="1">
      <c r="A105" s="34" t="s">
        <v>800</v>
      </c>
      <c r="B105" s="35"/>
      <c r="C105" s="36" t="s">
        <v>688</v>
      </c>
      <c r="D105" s="36" t="s">
        <v>680</v>
      </c>
      <c r="E105" s="36"/>
      <c r="F105" s="41"/>
      <c r="G105" s="38">
        <f>SUM(G106)</f>
        <v>0</v>
      </c>
      <c r="H105" s="39">
        <f>SUM(H106)</f>
        <v>0</v>
      </c>
      <c r="I105" s="39" t="e">
        <f t="shared" si="5"/>
        <v>#DIV/0!</v>
      </c>
    </row>
    <row r="106" spans="1:9" ht="15" hidden="1">
      <c r="A106" s="34" t="s">
        <v>1427</v>
      </c>
      <c r="B106" s="35"/>
      <c r="C106" s="36" t="s">
        <v>688</v>
      </c>
      <c r="D106" s="36" t="s">
        <v>680</v>
      </c>
      <c r="E106" s="64" t="s">
        <v>802</v>
      </c>
      <c r="F106" s="41"/>
      <c r="G106" s="38">
        <f>SUM(G107)</f>
        <v>0</v>
      </c>
      <c r="H106" s="39">
        <f>SUM(H107)</f>
        <v>0</v>
      </c>
      <c r="I106" s="39" t="e">
        <f t="shared" si="5"/>
        <v>#DIV/0!</v>
      </c>
    </row>
    <row r="107" spans="1:9" ht="42.75" hidden="1">
      <c r="A107" s="34" t="s">
        <v>1428</v>
      </c>
      <c r="B107" s="35"/>
      <c r="C107" s="53" t="s">
        <v>688</v>
      </c>
      <c r="D107" s="53" t="s">
        <v>680</v>
      </c>
      <c r="E107" s="53" t="s">
        <v>1429</v>
      </c>
      <c r="F107" s="41" t="s">
        <v>1430</v>
      </c>
      <c r="G107" s="38"/>
      <c r="H107" s="39"/>
      <c r="I107" s="39" t="e">
        <f t="shared" si="5"/>
        <v>#DIV/0!</v>
      </c>
    </row>
    <row r="108" spans="1:9" ht="45.75" customHeight="1">
      <c r="A108" s="54" t="s">
        <v>886</v>
      </c>
      <c r="B108" s="35"/>
      <c r="C108" s="53" t="s">
        <v>688</v>
      </c>
      <c r="D108" s="53" t="s">
        <v>887</v>
      </c>
      <c r="E108" s="53"/>
      <c r="F108" s="41"/>
      <c r="G108" s="38">
        <f>SUM(G112+G117+G120+G123)+G110</f>
        <v>25726.499999999996</v>
      </c>
      <c r="H108" s="39">
        <f>SUM(H112+H117+H120+H123)+H110</f>
        <v>25725.4</v>
      </c>
      <c r="I108" s="39">
        <f t="shared" si="5"/>
        <v>99.99572425320197</v>
      </c>
    </row>
    <row r="109" spans="1:9" s="100" customFormat="1" ht="16.5" customHeight="1" hidden="1">
      <c r="A109" s="34" t="s">
        <v>769</v>
      </c>
      <c r="B109" s="35"/>
      <c r="C109" s="53" t="s">
        <v>688</v>
      </c>
      <c r="D109" s="53" t="s">
        <v>887</v>
      </c>
      <c r="E109" s="53" t="s">
        <v>771</v>
      </c>
      <c r="F109" s="41"/>
      <c r="G109" s="38">
        <f>SUM(G110)</f>
        <v>0</v>
      </c>
      <c r="H109" s="39">
        <f>SUM(H110)</f>
        <v>0</v>
      </c>
      <c r="I109" s="39" t="e">
        <f t="shared" si="5"/>
        <v>#DIV/0!</v>
      </c>
    </row>
    <row r="110" spans="1:9" ht="21.75" customHeight="1" hidden="1">
      <c r="A110" s="34" t="s">
        <v>740</v>
      </c>
      <c r="B110" s="35"/>
      <c r="C110" s="53" t="s">
        <v>688</v>
      </c>
      <c r="D110" s="53" t="s">
        <v>887</v>
      </c>
      <c r="E110" s="53" t="s">
        <v>741</v>
      </c>
      <c r="F110" s="41"/>
      <c r="G110" s="38">
        <f>SUM(G111)</f>
        <v>0</v>
      </c>
      <c r="H110" s="39">
        <f>SUM(H111)</f>
        <v>0</v>
      </c>
      <c r="I110" s="39" t="e">
        <f t="shared" si="5"/>
        <v>#DIV/0!</v>
      </c>
    </row>
    <row r="111" spans="1:9" ht="28.5" hidden="1">
      <c r="A111" s="40" t="s">
        <v>685</v>
      </c>
      <c r="B111" s="35"/>
      <c r="C111" s="53" t="s">
        <v>688</v>
      </c>
      <c r="D111" s="53" t="s">
        <v>887</v>
      </c>
      <c r="E111" s="53" t="s">
        <v>741</v>
      </c>
      <c r="F111" s="41" t="s">
        <v>686</v>
      </c>
      <c r="G111" s="38"/>
      <c r="H111" s="39"/>
      <c r="I111" s="39" t="e">
        <f t="shared" si="5"/>
        <v>#DIV/0!</v>
      </c>
    </row>
    <row r="112" spans="1:9" ht="14.25" customHeight="1">
      <c r="A112" s="54" t="s">
        <v>888</v>
      </c>
      <c r="B112" s="35"/>
      <c r="C112" s="53" t="s">
        <v>688</v>
      </c>
      <c r="D112" s="53" t="s">
        <v>887</v>
      </c>
      <c r="E112" s="53" t="s">
        <v>889</v>
      </c>
      <c r="F112" s="41"/>
      <c r="G112" s="38">
        <f>SUM(G113+G115)</f>
        <v>16372.699999999999</v>
      </c>
      <c r="H112" s="39">
        <f>SUM(H113+H115)</f>
        <v>16372.7</v>
      </c>
      <c r="I112" s="39">
        <f t="shared" si="5"/>
        <v>100.00000000000003</v>
      </c>
    </row>
    <row r="113" spans="1:9" ht="42.75">
      <c r="A113" s="54" t="s">
        <v>890</v>
      </c>
      <c r="B113" s="35"/>
      <c r="C113" s="53" t="s">
        <v>688</v>
      </c>
      <c r="D113" s="53" t="s">
        <v>887</v>
      </c>
      <c r="E113" s="53" t="s">
        <v>891</v>
      </c>
      <c r="F113" s="41"/>
      <c r="G113" s="38">
        <f>SUM(G114)</f>
        <v>687</v>
      </c>
      <c r="H113" s="39">
        <f>SUM(H114)</f>
        <v>687</v>
      </c>
      <c r="I113" s="39">
        <f t="shared" si="5"/>
        <v>100</v>
      </c>
    </row>
    <row r="114" spans="1:9" ht="28.5">
      <c r="A114" s="40" t="s">
        <v>685</v>
      </c>
      <c r="B114" s="35"/>
      <c r="C114" s="53" t="s">
        <v>688</v>
      </c>
      <c r="D114" s="53" t="s">
        <v>887</v>
      </c>
      <c r="E114" s="53" t="s">
        <v>891</v>
      </c>
      <c r="F114" s="41" t="s">
        <v>686</v>
      </c>
      <c r="G114" s="38">
        <v>687</v>
      </c>
      <c r="H114" s="39">
        <v>687</v>
      </c>
      <c r="I114" s="39">
        <f t="shared" si="5"/>
        <v>100</v>
      </c>
    </row>
    <row r="115" spans="1:9" ht="28.5">
      <c r="A115" s="40" t="s">
        <v>892</v>
      </c>
      <c r="B115" s="35"/>
      <c r="C115" s="53" t="s">
        <v>688</v>
      </c>
      <c r="D115" s="53" t="s">
        <v>887</v>
      </c>
      <c r="E115" s="53" t="s">
        <v>893</v>
      </c>
      <c r="F115" s="53"/>
      <c r="G115" s="38">
        <f>SUM(G116)</f>
        <v>15685.699999999999</v>
      </c>
      <c r="H115" s="39">
        <f>SUM(H116)</f>
        <v>15685.7</v>
      </c>
      <c r="I115" s="39">
        <f t="shared" si="5"/>
        <v>100.00000000000003</v>
      </c>
    </row>
    <row r="116" spans="1:9" ht="15">
      <c r="A116" s="40" t="s">
        <v>767</v>
      </c>
      <c r="B116" s="35"/>
      <c r="C116" s="53" t="s">
        <v>688</v>
      </c>
      <c r="D116" s="53" t="s">
        <v>887</v>
      </c>
      <c r="E116" s="53" t="s">
        <v>893</v>
      </c>
      <c r="F116" s="53" t="s">
        <v>768</v>
      </c>
      <c r="G116" s="38">
        <f>14469.8+1215.9</f>
        <v>15685.699999999999</v>
      </c>
      <c r="H116" s="39">
        <v>15685.7</v>
      </c>
      <c r="I116" s="39">
        <f t="shared" si="5"/>
        <v>100.00000000000003</v>
      </c>
    </row>
    <row r="117" spans="1:9" ht="15">
      <c r="A117" s="54" t="s">
        <v>894</v>
      </c>
      <c r="B117" s="66"/>
      <c r="C117" s="66" t="s">
        <v>688</v>
      </c>
      <c r="D117" s="66" t="s">
        <v>887</v>
      </c>
      <c r="E117" s="66" t="s">
        <v>895</v>
      </c>
      <c r="F117" s="69"/>
      <c r="G117" s="38">
        <f>SUM(G118)</f>
        <v>300.5</v>
      </c>
      <c r="H117" s="39">
        <f>SUM(H118)</f>
        <v>300.2</v>
      </c>
      <c r="I117" s="39">
        <f t="shared" si="5"/>
        <v>99.90016638935107</v>
      </c>
    </row>
    <row r="118" spans="1:9" ht="27" customHeight="1">
      <c r="A118" s="54" t="s">
        <v>896</v>
      </c>
      <c r="B118" s="66"/>
      <c r="C118" s="66" t="s">
        <v>688</v>
      </c>
      <c r="D118" s="66" t="s">
        <v>887</v>
      </c>
      <c r="E118" s="66" t="s">
        <v>897</v>
      </c>
      <c r="F118" s="69"/>
      <c r="G118" s="38">
        <f>SUM(G119)</f>
        <v>300.5</v>
      </c>
      <c r="H118" s="39">
        <f>SUM(H119)</f>
        <v>300.2</v>
      </c>
      <c r="I118" s="39">
        <f t="shared" si="5"/>
        <v>99.90016638935107</v>
      </c>
    </row>
    <row r="119" spans="1:9" ht="28.5">
      <c r="A119" s="40" t="s">
        <v>685</v>
      </c>
      <c r="B119" s="66"/>
      <c r="C119" s="66" t="s">
        <v>688</v>
      </c>
      <c r="D119" s="66" t="s">
        <v>887</v>
      </c>
      <c r="E119" s="66" t="s">
        <v>897</v>
      </c>
      <c r="F119" s="69" t="s">
        <v>686</v>
      </c>
      <c r="G119" s="38">
        <f>320.5-20</f>
        <v>300.5</v>
      </c>
      <c r="H119" s="39">
        <v>300.2</v>
      </c>
      <c r="I119" s="39">
        <f t="shared" si="5"/>
        <v>99.90016638935107</v>
      </c>
    </row>
    <row r="120" spans="1:9" ht="42.75">
      <c r="A120" s="34" t="s">
        <v>898</v>
      </c>
      <c r="B120" s="35"/>
      <c r="C120" s="53" t="s">
        <v>688</v>
      </c>
      <c r="D120" s="53" t="s">
        <v>887</v>
      </c>
      <c r="E120" s="53" t="s">
        <v>899</v>
      </c>
      <c r="F120" s="41"/>
      <c r="G120" s="38">
        <f>SUM(G121)</f>
        <v>8771.6</v>
      </c>
      <c r="H120" s="39">
        <f>SUM(H121)</f>
        <v>8770.8</v>
      </c>
      <c r="I120" s="39">
        <f t="shared" si="5"/>
        <v>99.9908796570751</v>
      </c>
    </row>
    <row r="121" spans="1:9" ht="28.5">
      <c r="A121" s="34" t="s">
        <v>780</v>
      </c>
      <c r="B121" s="35"/>
      <c r="C121" s="53" t="s">
        <v>688</v>
      </c>
      <c r="D121" s="53" t="s">
        <v>887</v>
      </c>
      <c r="E121" s="53" t="s">
        <v>900</v>
      </c>
      <c r="F121" s="41"/>
      <c r="G121" s="38">
        <f>SUM(G122)</f>
        <v>8771.6</v>
      </c>
      <c r="H121" s="39">
        <f>SUM(H122)</f>
        <v>8770.8</v>
      </c>
      <c r="I121" s="39">
        <f t="shared" si="5"/>
        <v>99.9908796570751</v>
      </c>
    </row>
    <row r="122" spans="1:9" ht="18" customHeight="1">
      <c r="A122" s="57" t="s">
        <v>782</v>
      </c>
      <c r="B122" s="72"/>
      <c r="C122" s="73" t="s">
        <v>688</v>
      </c>
      <c r="D122" s="73" t="s">
        <v>887</v>
      </c>
      <c r="E122" s="73" t="s">
        <v>900</v>
      </c>
      <c r="F122" s="42" t="s">
        <v>783</v>
      </c>
      <c r="G122" s="38">
        <v>8771.6</v>
      </c>
      <c r="H122" s="39">
        <v>8770.8</v>
      </c>
      <c r="I122" s="39">
        <f t="shared" si="5"/>
        <v>99.9908796570751</v>
      </c>
    </row>
    <row r="123" spans="1:10" s="77" customFormat="1" ht="15">
      <c r="A123" s="74" t="s">
        <v>742</v>
      </c>
      <c r="B123" s="75"/>
      <c r="C123" s="73" t="s">
        <v>688</v>
      </c>
      <c r="D123" s="73" t="s">
        <v>887</v>
      </c>
      <c r="E123" s="53" t="s">
        <v>743</v>
      </c>
      <c r="F123" s="42"/>
      <c r="G123" s="38">
        <f>SUM(G124)</f>
        <v>281.7</v>
      </c>
      <c r="H123" s="39">
        <f>SUM(H124)</f>
        <v>281.7</v>
      </c>
      <c r="I123" s="39">
        <f>SUM(H123/G123*100)</f>
        <v>100</v>
      </c>
      <c r="J123" s="76"/>
    </row>
    <row r="124" spans="1:10" s="77" customFormat="1" ht="42.75" customHeight="1">
      <c r="A124" s="74" t="s">
        <v>901</v>
      </c>
      <c r="B124" s="75"/>
      <c r="C124" s="73" t="s">
        <v>688</v>
      </c>
      <c r="D124" s="73" t="s">
        <v>887</v>
      </c>
      <c r="E124" s="53" t="s">
        <v>902</v>
      </c>
      <c r="F124" s="42"/>
      <c r="G124" s="38">
        <f>SUM(G125)</f>
        <v>281.7</v>
      </c>
      <c r="H124" s="38">
        <f>SUM(H125)</f>
        <v>281.7</v>
      </c>
      <c r="I124" s="39">
        <f>SUM(H124/G124*100)</f>
        <v>100</v>
      </c>
      <c r="J124" s="76"/>
    </row>
    <row r="125" spans="1:9" ht="17.25" customHeight="1">
      <c r="A125" s="34" t="s">
        <v>903</v>
      </c>
      <c r="B125" s="75"/>
      <c r="C125" s="73" t="s">
        <v>688</v>
      </c>
      <c r="D125" s="73" t="s">
        <v>887</v>
      </c>
      <c r="E125" s="53" t="s">
        <v>902</v>
      </c>
      <c r="F125" s="42" t="s">
        <v>904</v>
      </c>
      <c r="G125" s="38">
        <v>281.7</v>
      </c>
      <c r="H125" s="39">
        <v>281.7</v>
      </c>
      <c r="I125" s="39"/>
    </row>
    <row r="126" spans="1:9" ht="28.5" hidden="1">
      <c r="A126" s="54" t="s">
        <v>905</v>
      </c>
      <c r="B126" s="35"/>
      <c r="C126" s="53" t="s">
        <v>688</v>
      </c>
      <c r="D126" s="53" t="s">
        <v>773</v>
      </c>
      <c r="E126" s="66"/>
      <c r="F126" s="41"/>
      <c r="G126" s="38">
        <f aca="true" t="shared" si="6" ref="G126:H128">SUM(G127)</f>
        <v>0</v>
      </c>
      <c r="H126" s="39">
        <f t="shared" si="6"/>
        <v>0</v>
      </c>
      <c r="I126" s="39" t="e">
        <f t="shared" si="5"/>
        <v>#DIV/0!</v>
      </c>
    </row>
    <row r="127" spans="1:9" ht="15" hidden="1">
      <c r="A127" s="54" t="s">
        <v>906</v>
      </c>
      <c r="B127" s="35"/>
      <c r="C127" s="53" t="s">
        <v>688</v>
      </c>
      <c r="D127" s="53" t="s">
        <v>773</v>
      </c>
      <c r="E127" s="66" t="s">
        <v>907</v>
      </c>
      <c r="F127" s="41"/>
      <c r="G127" s="38">
        <f t="shared" si="6"/>
        <v>0</v>
      </c>
      <c r="H127" s="39">
        <f t="shared" si="6"/>
        <v>0</v>
      </c>
      <c r="I127" s="39" t="e">
        <f t="shared" si="5"/>
        <v>#DIV/0!</v>
      </c>
    </row>
    <row r="128" spans="1:9" ht="42.75" hidden="1">
      <c r="A128" s="54" t="s">
        <v>908</v>
      </c>
      <c r="B128" s="35"/>
      <c r="C128" s="53" t="s">
        <v>688</v>
      </c>
      <c r="D128" s="53" t="s">
        <v>773</v>
      </c>
      <c r="E128" s="66" t="s">
        <v>909</v>
      </c>
      <c r="F128" s="41"/>
      <c r="G128" s="38">
        <f t="shared" si="6"/>
        <v>0</v>
      </c>
      <c r="H128" s="39">
        <f t="shared" si="6"/>
        <v>0</v>
      </c>
      <c r="I128" s="39" t="e">
        <f t="shared" si="5"/>
        <v>#DIV/0!</v>
      </c>
    </row>
    <row r="129" spans="1:9" ht="15" hidden="1">
      <c r="A129" s="51" t="s">
        <v>790</v>
      </c>
      <c r="B129" s="35"/>
      <c r="C129" s="53" t="s">
        <v>688</v>
      </c>
      <c r="D129" s="53" t="s">
        <v>773</v>
      </c>
      <c r="E129" s="66" t="s">
        <v>909</v>
      </c>
      <c r="F129" s="41" t="s">
        <v>791</v>
      </c>
      <c r="G129" s="38"/>
      <c r="H129" s="39"/>
      <c r="I129" s="39" t="e">
        <f t="shared" si="5"/>
        <v>#DIV/0!</v>
      </c>
    </row>
    <row r="130" spans="1:9" ht="27" customHeight="1">
      <c r="A130" s="34" t="s">
        <v>711</v>
      </c>
      <c r="B130" s="35"/>
      <c r="C130" s="36" t="s">
        <v>712</v>
      </c>
      <c r="D130" s="36"/>
      <c r="E130" s="36"/>
      <c r="F130" s="37"/>
      <c r="G130" s="38">
        <f>SUM(G131+G140)</f>
        <v>66495.2</v>
      </c>
      <c r="H130" s="39">
        <f>SUM(H131+H140)</f>
        <v>66495.2</v>
      </c>
      <c r="I130" s="39">
        <f t="shared" si="5"/>
        <v>100</v>
      </c>
    </row>
    <row r="131" spans="1:9" ht="15">
      <c r="A131" s="34" t="s">
        <v>713</v>
      </c>
      <c r="B131" s="35"/>
      <c r="C131" s="36" t="s">
        <v>712</v>
      </c>
      <c r="D131" s="36" t="s">
        <v>714</v>
      </c>
      <c r="E131" s="36"/>
      <c r="F131" s="37"/>
      <c r="G131" s="38">
        <f>SUM(G135)+G132</f>
        <v>65400</v>
      </c>
      <c r="H131" s="39">
        <f>SUM(H135)+H132</f>
        <v>65400</v>
      </c>
      <c r="I131" s="39">
        <f t="shared" si="5"/>
        <v>100</v>
      </c>
    </row>
    <row r="132" spans="1:9" ht="28.5">
      <c r="A132" s="34" t="s">
        <v>911</v>
      </c>
      <c r="B132" s="35"/>
      <c r="C132" s="36" t="s">
        <v>712</v>
      </c>
      <c r="D132" s="36" t="s">
        <v>714</v>
      </c>
      <c r="E132" s="53" t="s">
        <v>912</v>
      </c>
      <c r="F132" s="41"/>
      <c r="G132" s="38">
        <f>SUM(G133)+G134</f>
        <v>28400</v>
      </c>
      <c r="H132" s="39">
        <f>SUM(H133)+H134</f>
        <v>27701.9</v>
      </c>
      <c r="I132" s="39">
        <f t="shared" si="5"/>
        <v>97.5419014084507</v>
      </c>
    </row>
    <row r="133" spans="1:9" ht="18" customHeight="1">
      <c r="A133" s="34" t="s">
        <v>903</v>
      </c>
      <c r="B133" s="35"/>
      <c r="C133" s="36" t="s">
        <v>712</v>
      </c>
      <c r="D133" s="36" t="s">
        <v>714</v>
      </c>
      <c r="E133" s="53" t="s">
        <v>912</v>
      </c>
      <c r="F133" s="37" t="s">
        <v>904</v>
      </c>
      <c r="G133" s="38">
        <f>23400+5000</f>
        <v>28400</v>
      </c>
      <c r="H133" s="39">
        <v>27701.9</v>
      </c>
      <c r="I133" s="39">
        <f t="shared" si="5"/>
        <v>97.5419014084507</v>
      </c>
    </row>
    <row r="134" spans="1:9" ht="28.5" customHeight="1" hidden="1">
      <c r="A134" s="40" t="s">
        <v>685</v>
      </c>
      <c r="B134" s="35"/>
      <c r="C134" s="36" t="s">
        <v>712</v>
      </c>
      <c r="D134" s="36" t="s">
        <v>714</v>
      </c>
      <c r="E134" s="53" t="s">
        <v>912</v>
      </c>
      <c r="F134" s="37" t="s">
        <v>686</v>
      </c>
      <c r="G134" s="38"/>
      <c r="H134" s="39"/>
      <c r="I134" s="39" t="e">
        <f t="shared" si="5"/>
        <v>#DIV/0!</v>
      </c>
    </row>
    <row r="135" spans="1:9" ht="18.75" customHeight="1">
      <c r="A135" s="34" t="s">
        <v>715</v>
      </c>
      <c r="B135" s="35"/>
      <c r="C135" s="36" t="s">
        <v>712</v>
      </c>
      <c r="D135" s="36" t="s">
        <v>714</v>
      </c>
      <c r="E135" s="36" t="s">
        <v>716</v>
      </c>
      <c r="F135" s="37"/>
      <c r="G135" s="38">
        <f>SUM(G136)</f>
        <v>37000</v>
      </c>
      <c r="H135" s="39">
        <f>SUM(H136)</f>
        <v>37698.1</v>
      </c>
      <c r="I135" s="39">
        <f t="shared" si="5"/>
        <v>101.88675675675675</v>
      </c>
    </row>
    <row r="136" spans="1:9" s="55" customFormat="1" ht="30" customHeight="1">
      <c r="A136" s="34" t="s">
        <v>717</v>
      </c>
      <c r="B136" s="35"/>
      <c r="C136" s="36" t="s">
        <v>712</v>
      </c>
      <c r="D136" s="36" t="s">
        <v>714</v>
      </c>
      <c r="E136" s="36" t="s">
        <v>917</v>
      </c>
      <c r="F136" s="37"/>
      <c r="G136" s="38">
        <f>SUM(G137+G138)</f>
        <v>37000</v>
      </c>
      <c r="H136" s="39">
        <f>SUM(H137+H138)</f>
        <v>37698.1</v>
      </c>
      <c r="I136" s="39">
        <f t="shared" si="5"/>
        <v>101.88675675675675</v>
      </c>
    </row>
    <row r="137" spans="1:9" ht="14.25" customHeight="1">
      <c r="A137" s="34" t="s">
        <v>903</v>
      </c>
      <c r="B137" s="35"/>
      <c r="C137" s="36" t="s">
        <v>712</v>
      </c>
      <c r="D137" s="36" t="s">
        <v>714</v>
      </c>
      <c r="E137" s="36" t="s">
        <v>917</v>
      </c>
      <c r="F137" s="37" t="s">
        <v>904</v>
      </c>
      <c r="G137" s="38">
        <f>40000-3000</f>
        <v>37000</v>
      </c>
      <c r="H137" s="39">
        <v>37698.1</v>
      </c>
      <c r="I137" s="39">
        <f t="shared" si="5"/>
        <v>101.88675675675675</v>
      </c>
    </row>
    <row r="138" spans="1:9" ht="71.25" hidden="1">
      <c r="A138" s="34" t="s">
        <v>918</v>
      </c>
      <c r="B138" s="35"/>
      <c r="C138" s="36" t="s">
        <v>712</v>
      </c>
      <c r="D138" s="36" t="s">
        <v>714</v>
      </c>
      <c r="E138" s="36" t="s">
        <v>919</v>
      </c>
      <c r="F138" s="37"/>
      <c r="G138" s="38">
        <f>SUM(G139)</f>
        <v>0</v>
      </c>
      <c r="H138" s="39">
        <f>SUM(H139)</f>
        <v>0</v>
      </c>
      <c r="I138" s="39" t="e">
        <f t="shared" si="5"/>
        <v>#DIV/0!</v>
      </c>
    </row>
    <row r="139" spans="1:9" ht="14.25" customHeight="1" hidden="1">
      <c r="A139" s="34" t="s">
        <v>903</v>
      </c>
      <c r="B139" s="35"/>
      <c r="C139" s="36" t="s">
        <v>712</v>
      </c>
      <c r="D139" s="36" t="s">
        <v>714</v>
      </c>
      <c r="E139" s="36" t="s">
        <v>919</v>
      </c>
      <c r="F139" s="37" t="s">
        <v>904</v>
      </c>
      <c r="G139" s="38"/>
      <c r="H139" s="39"/>
      <c r="I139" s="39" t="e">
        <f t="shared" si="5"/>
        <v>#DIV/0!</v>
      </c>
    </row>
    <row r="140" spans="1:9" ht="21.75" customHeight="1">
      <c r="A140" s="51" t="s">
        <v>719</v>
      </c>
      <c r="B140" s="52"/>
      <c r="C140" s="53" t="s">
        <v>712</v>
      </c>
      <c r="D140" s="53" t="s">
        <v>770</v>
      </c>
      <c r="E140" s="53"/>
      <c r="F140" s="41"/>
      <c r="G140" s="38">
        <f>SUM(G144+G146+G151+G141)</f>
        <v>1095.1999999999998</v>
      </c>
      <c r="H140" s="39">
        <f>SUM(H144+H146+H151+H141)</f>
        <v>1095.2</v>
      </c>
      <c r="I140" s="39">
        <f t="shared" si="5"/>
        <v>100.00000000000003</v>
      </c>
    </row>
    <row r="141" spans="1:9" ht="16.5" customHeight="1" hidden="1">
      <c r="A141" s="51" t="s">
        <v>787</v>
      </c>
      <c r="B141" s="53"/>
      <c r="C141" s="53" t="s">
        <v>712</v>
      </c>
      <c r="D141" s="53" t="s">
        <v>770</v>
      </c>
      <c r="E141" s="53" t="s">
        <v>726</v>
      </c>
      <c r="F141" s="41"/>
      <c r="G141" s="38">
        <f>SUM(G143)</f>
        <v>0</v>
      </c>
      <c r="H141" s="39">
        <f>SUM(H143)</f>
        <v>0</v>
      </c>
      <c r="I141" s="39" t="e">
        <f aca="true" t="shared" si="7" ref="I141:I204">SUM(H141/G141*100)</f>
        <v>#DIV/0!</v>
      </c>
    </row>
    <row r="142" spans="1:9" s="55" customFormat="1" ht="28.5" customHeight="1" hidden="1">
      <c r="A142" s="51" t="s">
        <v>788</v>
      </c>
      <c r="B142" s="53"/>
      <c r="C142" s="53"/>
      <c r="D142" s="53"/>
      <c r="E142" s="66" t="s">
        <v>789</v>
      </c>
      <c r="F142" s="41"/>
      <c r="G142" s="38">
        <f>SUM(G143)</f>
        <v>0</v>
      </c>
      <c r="H142" s="39">
        <f>SUM(H143)</f>
        <v>0</v>
      </c>
      <c r="I142" s="39" t="e">
        <f t="shared" si="7"/>
        <v>#DIV/0!</v>
      </c>
    </row>
    <row r="143" spans="1:9" s="98" customFormat="1" ht="19.5" customHeight="1" hidden="1">
      <c r="A143" s="51" t="s">
        <v>790</v>
      </c>
      <c r="B143" s="53"/>
      <c r="C143" s="53" t="s">
        <v>712</v>
      </c>
      <c r="D143" s="53" t="s">
        <v>770</v>
      </c>
      <c r="E143" s="66" t="s">
        <v>789</v>
      </c>
      <c r="F143" s="41" t="s">
        <v>791</v>
      </c>
      <c r="G143" s="38"/>
      <c r="H143" s="39"/>
      <c r="I143" s="39" t="e">
        <f t="shared" si="7"/>
        <v>#DIV/0!</v>
      </c>
    </row>
    <row r="144" spans="1:9" s="100" customFormat="1" ht="27.75" customHeight="1" hidden="1">
      <c r="A144" s="84" t="s">
        <v>925</v>
      </c>
      <c r="B144" s="53"/>
      <c r="C144" s="53" t="s">
        <v>712</v>
      </c>
      <c r="D144" s="53" t="s">
        <v>770</v>
      </c>
      <c r="E144" s="53" t="s">
        <v>926</v>
      </c>
      <c r="F144" s="41"/>
      <c r="G144" s="38">
        <f>SUM(G145)</f>
        <v>0</v>
      </c>
      <c r="H144" s="39">
        <f>SUM(H145)</f>
        <v>0</v>
      </c>
      <c r="I144" s="39" t="e">
        <f t="shared" si="7"/>
        <v>#DIV/0!</v>
      </c>
    </row>
    <row r="145" spans="1:9" s="100" customFormat="1" ht="27" customHeight="1" hidden="1">
      <c r="A145" s="40" t="s">
        <v>685</v>
      </c>
      <c r="B145" s="53"/>
      <c r="C145" s="53" t="s">
        <v>712</v>
      </c>
      <c r="D145" s="53" t="s">
        <v>770</v>
      </c>
      <c r="E145" s="53" t="s">
        <v>926</v>
      </c>
      <c r="F145" s="41" t="s">
        <v>686</v>
      </c>
      <c r="G145" s="38">
        <f>5050-2000-3050</f>
        <v>0</v>
      </c>
      <c r="H145" s="39">
        <f>5050-2000-3050</f>
        <v>0</v>
      </c>
      <c r="I145" s="39" t="e">
        <f t="shared" si="7"/>
        <v>#DIV/0!</v>
      </c>
    </row>
    <row r="146" spans="1:9" s="100" customFormat="1" ht="27" customHeight="1">
      <c r="A146" s="34" t="s">
        <v>721</v>
      </c>
      <c r="B146" s="35"/>
      <c r="C146" s="53" t="s">
        <v>712</v>
      </c>
      <c r="D146" s="53" t="s">
        <v>770</v>
      </c>
      <c r="E146" s="36" t="s">
        <v>722</v>
      </c>
      <c r="F146" s="41"/>
      <c r="G146" s="38">
        <f>SUM(G147)</f>
        <v>690.1999999999998</v>
      </c>
      <c r="H146" s="39">
        <f>SUM(H147)</f>
        <v>690.2</v>
      </c>
      <c r="I146" s="39">
        <f t="shared" si="7"/>
        <v>100.00000000000003</v>
      </c>
    </row>
    <row r="147" spans="1:9" s="100" customFormat="1" ht="27" customHeight="1">
      <c r="A147" s="34" t="s">
        <v>927</v>
      </c>
      <c r="B147" s="35"/>
      <c r="C147" s="53" t="s">
        <v>712</v>
      </c>
      <c r="D147" s="53" t="s">
        <v>770</v>
      </c>
      <c r="E147" s="36" t="s">
        <v>928</v>
      </c>
      <c r="F147" s="41"/>
      <c r="G147" s="38">
        <f>SUM(G148)</f>
        <v>690.1999999999998</v>
      </c>
      <c r="H147" s="39">
        <f>SUM(H148)</f>
        <v>690.2</v>
      </c>
      <c r="I147" s="39">
        <f t="shared" si="7"/>
        <v>100.00000000000003</v>
      </c>
    </row>
    <row r="148" spans="1:9" s="100" customFormat="1" ht="30.75" customHeight="1">
      <c r="A148" s="40" t="s">
        <v>685</v>
      </c>
      <c r="B148" s="35"/>
      <c r="C148" s="53" t="s">
        <v>712</v>
      </c>
      <c r="D148" s="53" t="s">
        <v>770</v>
      </c>
      <c r="E148" s="36" t="s">
        <v>928</v>
      </c>
      <c r="F148" s="41" t="s">
        <v>686</v>
      </c>
      <c r="G148" s="38">
        <f>1208.7+2000-2518.5</f>
        <v>690.1999999999998</v>
      </c>
      <c r="H148" s="39">
        <v>690.2</v>
      </c>
      <c r="I148" s="39">
        <f t="shared" si="7"/>
        <v>100.00000000000003</v>
      </c>
    </row>
    <row r="149" spans="1:9" s="234" customFormat="1" ht="22.5" customHeight="1" hidden="1">
      <c r="A149" s="34" t="s">
        <v>721</v>
      </c>
      <c r="B149" s="35"/>
      <c r="C149" s="53" t="s">
        <v>712</v>
      </c>
      <c r="D149" s="53" t="s">
        <v>770</v>
      </c>
      <c r="E149" s="36" t="s">
        <v>722</v>
      </c>
      <c r="F149" s="41"/>
      <c r="G149" s="38">
        <f>SUM(G150)</f>
        <v>0</v>
      </c>
      <c r="H149" s="39">
        <f>SUM(H150)</f>
        <v>0</v>
      </c>
      <c r="I149" s="39" t="e">
        <f t="shared" si="7"/>
        <v>#DIV/0!</v>
      </c>
    </row>
    <row r="150" spans="1:9" s="100" customFormat="1" ht="26.25" customHeight="1" hidden="1">
      <c r="A150" s="34" t="s">
        <v>723</v>
      </c>
      <c r="B150" s="35"/>
      <c r="C150" s="53" t="s">
        <v>712</v>
      </c>
      <c r="D150" s="53" t="s">
        <v>770</v>
      </c>
      <c r="E150" s="36" t="s">
        <v>722</v>
      </c>
      <c r="F150" s="41" t="s">
        <v>724</v>
      </c>
      <c r="G150" s="38"/>
      <c r="H150" s="39"/>
      <c r="I150" s="39" t="e">
        <f t="shared" si="7"/>
        <v>#DIV/0!</v>
      </c>
    </row>
    <row r="151" spans="1:9" s="100" customFormat="1" ht="21" customHeight="1">
      <c r="A151" s="34" t="s">
        <v>742</v>
      </c>
      <c r="B151" s="35"/>
      <c r="C151" s="53" t="s">
        <v>712</v>
      </c>
      <c r="D151" s="53" t="s">
        <v>770</v>
      </c>
      <c r="E151" s="36" t="s">
        <v>743</v>
      </c>
      <c r="F151" s="41"/>
      <c r="G151" s="38">
        <f>SUM(G152)</f>
        <v>405</v>
      </c>
      <c r="H151" s="39">
        <f>SUM(H152)</f>
        <v>405</v>
      </c>
      <c r="I151" s="39">
        <f t="shared" si="7"/>
        <v>100</v>
      </c>
    </row>
    <row r="152" spans="1:9" s="100" customFormat="1" ht="28.5">
      <c r="A152" s="40" t="s">
        <v>685</v>
      </c>
      <c r="B152" s="35"/>
      <c r="C152" s="53" t="s">
        <v>712</v>
      </c>
      <c r="D152" s="53" t="s">
        <v>770</v>
      </c>
      <c r="E152" s="36" t="s">
        <v>743</v>
      </c>
      <c r="F152" s="41" t="s">
        <v>686</v>
      </c>
      <c r="G152" s="38">
        <f>SUM(G153:G154)</f>
        <v>405</v>
      </c>
      <c r="H152" s="39">
        <v>405</v>
      </c>
      <c r="I152" s="39">
        <f t="shared" si="7"/>
        <v>100</v>
      </c>
    </row>
    <row r="153" spans="1:9" s="100" customFormat="1" ht="42.75" customHeight="1">
      <c r="A153" s="85" t="s">
        <v>929</v>
      </c>
      <c r="B153" s="52"/>
      <c r="C153" s="53" t="s">
        <v>712</v>
      </c>
      <c r="D153" s="53" t="s">
        <v>770</v>
      </c>
      <c r="E153" s="36" t="s">
        <v>930</v>
      </c>
      <c r="F153" s="41" t="s">
        <v>686</v>
      </c>
      <c r="G153" s="71">
        <f>43.3+361.7</f>
        <v>405</v>
      </c>
      <c r="H153" s="82">
        <v>405</v>
      </c>
      <c r="I153" s="39">
        <f t="shared" si="7"/>
        <v>100</v>
      </c>
    </row>
    <row r="154" spans="1:9" s="100" customFormat="1" ht="19.5" customHeight="1" hidden="1">
      <c r="A154" s="85" t="s">
        <v>931</v>
      </c>
      <c r="B154" s="52"/>
      <c r="C154" s="53" t="s">
        <v>712</v>
      </c>
      <c r="D154" s="53" t="s">
        <v>770</v>
      </c>
      <c r="E154" s="36" t="s">
        <v>932</v>
      </c>
      <c r="F154" s="41" t="s">
        <v>686</v>
      </c>
      <c r="G154" s="71"/>
      <c r="H154" s="82"/>
      <c r="I154" s="39" t="e">
        <f t="shared" si="7"/>
        <v>#DIV/0!</v>
      </c>
    </row>
    <row r="155" spans="1:9" s="100" customFormat="1" ht="18" customHeight="1">
      <c r="A155" s="51" t="s">
        <v>933</v>
      </c>
      <c r="B155" s="52"/>
      <c r="C155" s="53" t="s">
        <v>747</v>
      </c>
      <c r="D155" s="53"/>
      <c r="E155" s="53"/>
      <c r="F155" s="42"/>
      <c r="G155" s="235">
        <f>SUM(G156+G210+G237+G264)</f>
        <v>579309.9999999999</v>
      </c>
      <c r="H155" s="235">
        <f>SUM(H156+H210+H237+H264)</f>
        <v>562222.2999999999</v>
      </c>
      <c r="I155" s="39">
        <f t="shared" si="7"/>
        <v>97.05033574424748</v>
      </c>
    </row>
    <row r="156" spans="1:9" s="100" customFormat="1" ht="15">
      <c r="A156" s="34" t="s">
        <v>934</v>
      </c>
      <c r="B156" s="35"/>
      <c r="C156" s="36" t="s">
        <v>747</v>
      </c>
      <c r="D156" s="36" t="s">
        <v>678</v>
      </c>
      <c r="E156" s="36"/>
      <c r="F156" s="37"/>
      <c r="G156" s="38">
        <f>SUM(G177+G199+G169+G182+G157+G196)</f>
        <v>219687.89999999997</v>
      </c>
      <c r="H156" s="38">
        <f>SUM(H177+H199+H169+H182+H157+H196)</f>
        <v>215027.8</v>
      </c>
      <c r="I156" s="39">
        <f t="shared" si="7"/>
        <v>97.87876346398687</v>
      </c>
    </row>
    <row r="157" spans="1:9" s="55" customFormat="1" ht="49.5" customHeight="1">
      <c r="A157" s="91" t="s">
        <v>935</v>
      </c>
      <c r="B157" s="92"/>
      <c r="C157" s="36" t="s">
        <v>747</v>
      </c>
      <c r="D157" s="36" t="s">
        <v>678</v>
      </c>
      <c r="E157" s="36" t="s">
        <v>936</v>
      </c>
      <c r="F157" s="37"/>
      <c r="G157" s="38">
        <f>SUM(G158+G165)</f>
        <v>217428.39999999997</v>
      </c>
      <c r="H157" s="39">
        <f>SUM(H158+H165)</f>
        <v>212911</v>
      </c>
      <c r="I157" s="39">
        <f t="shared" si="7"/>
        <v>97.92235053010556</v>
      </c>
    </row>
    <row r="158" spans="1:9" s="55" customFormat="1" ht="92.25" customHeight="1">
      <c r="A158" s="91" t="s">
        <v>937</v>
      </c>
      <c r="B158" s="92"/>
      <c r="C158" s="36" t="s">
        <v>747</v>
      </c>
      <c r="D158" s="36" t="s">
        <v>678</v>
      </c>
      <c r="E158" s="36" t="s">
        <v>938</v>
      </c>
      <c r="F158" s="37"/>
      <c r="G158" s="38">
        <f>SUM(G159+G161+G163)</f>
        <v>176409.59999999998</v>
      </c>
      <c r="H158" s="39">
        <f>SUM(H159+H161+H163)</f>
        <v>175084.4</v>
      </c>
      <c r="I158" s="39">
        <f t="shared" si="7"/>
        <v>99.24879371644174</v>
      </c>
    </row>
    <row r="159" spans="1:9" s="55" customFormat="1" ht="78" customHeight="1">
      <c r="A159" s="91" t="s">
        <v>939</v>
      </c>
      <c r="B159" s="92"/>
      <c r="C159" s="36" t="s">
        <v>747</v>
      </c>
      <c r="D159" s="36" t="s">
        <v>678</v>
      </c>
      <c r="E159" s="36" t="s">
        <v>940</v>
      </c>
      <c r="F159" s="37"/>
      <c r="G159" s="38">
        <f>SUM(G160)</f>
        <v>34568</v>
      </c>
      <c r="H159" s="39">
        <f>SUM(H160)</f>
        <v>34568</v>
      </c>
      <c r="I159" s="39">
        <f t="shared" si="7"/>
        <v>100</v>
      </c>
    </row>
    <row r="160" spans="1:9" s="55" customFormat="1" ht="15">
      <c r="A160" s="34" t="s">
        <v>903</v>
      </c>
      <c r="B160" s="35"/>
      <c r="C160" s="36" t="s">
        <v>747</v>
      </c>
      <c r="D160" s="36" t="s">
        <v>678</v>
      </c>
      <c r="E160" s="36" t="s">
        <v>940</v>
      </c>
      <c r="F160" s="37" t="s">
        <v>904</v>
      </c>
      <c r="G160" s="38">
        <f>16568+18000</f>
        <v>34568</v>
      </c>
      <c r="H160" s="39">
        <v>34568</v>
      </c>
      <c r="I160" s="39">
        <f t="shared" si="7"/>
        <v>100</v>
      </c>
    </row>
    <row r="161" spans="1:9" s="55" customFormat="1" ht="71.25">
      <c r="A161" s="91" t="s">
        <v>941</v>
      </c>
      <c r="B161" s="92"/>
      <c r="C161" s="36" t="s">
        <v>747</v>
      </c>
      <c r="D161" s="36" t="s">
        <v>678</v>
      </c>
      <c r="E161" s="36" t="s">
        <v>942</v>
      </c>
      <c r="F161" s="37"/>
      <c r="G161" s="38">
        <f>SUM(G162)</f>
        <v>108161.9</v>
      </c>
      <c r="H161" s="39">
        <f>SUM(H162)</f>
        <v>106999</v>
      </c>
      <c r="I161" s="39">
        <f t="shared" si="7"/>
        <v>98.92485246653398</v>
      </c>
    </row>
    <row r="162" spans="1:9" s="55" customFormat="1" ht="15">
      <c r="A162" s="93" t="s">
        <v>790</v>
      </c>
      <c r="B162" s="92"/>
      <c r="C162" s="36" t="s">
        <v>747</v>
      </c>
      <c r="D162" s="36" t="s">
        <v>678</v>
      </c>
      <c r="E162" s="36" t="s">
        <v>942</v>
      </c>
      <c r="F162" s="37" t="s">
        <v>791</v>
      </c>
      <c r="G162" s="38">
        <f>108161.9+36640-36640</f>
        <v>108161.9</v>
      </c>
      <c r="H162" s="39">
        <v>106999</v>
      </c>
      <c r="I162" s="39">
        <f t="shared" si="7"/>
        <v>98.92485246653398</v>
      </c>
    </row>
    <row r="163" spans="1:9" s="55" customFormat="1" ht="92.25" customHeight="1">
      <c r="A163" s="91" t="s">
        <v>943</v>
      </c>
      <c r="B163" s="92"/>
      <c r="C163" s="36" t="s">
        <v>747</v>
      </c>
      <c r="D163" s="36" t="s">
        <v>678</v>
      </c>
      <c r="E163" s="36" t="s">
        <v>944</v>
      </c>
      <c r="F163" s="37"/>
      <c r="G163" s="38">
        <f>SUM(G164)</f>
        <v>33679.7</v>
      </c>
      <c r="H163" s="39">
        <f>SUM(H164)</f>
        <v>33517.4</v>
      </c>
      <c r="I163" s="39">
        <f t="shared" si="7"/>
        <v>99.51810734656189</v>
      </c>
    </row>
    <row r="164" spans="1:9" s="55" customFormat="1" ht="15">
      <c r="A164" s="93" t="s">
        <v>790</v>
      </c>
      <c r="B164" s="92"/>
      <c r="C164" s="36" t="s">
        <v>747</v>
      </c>
      <c r="D164" s="36" t="s">
        <v>678</v>
      </c>
      <c r="E164" s="36" t="s">
        <v>944</v>
      </c>
      <c r="F164" s="37" t="s">
        <v>791</v>
      </c>
      <c r="G164" s="38">
        <v>33679.7</v>
      </c>
      <c r="H164" s="39">
        <v>33517.4</v>
      </c>
      <c r="I164" s="39">
        <f t="shared" si="7"/>
        <v>99.51810734656189</v>
      </c>
    </row>
    <row r="165" spans="1:9" s="55" customFormat="1" ht="57">
      <c r="A165" s="56" t="s">
        <v>945</v>
      </c>
      <c r="B165" s="92"/>
      <c r="C165" s="36" t="s">
        <v>747</v>
      </c>
      <c r="D165" s="36" t="s">
        <v>678</v>
      </c>
      <c r="E165" s="36" t="s">
        <v>946</v>
      </c>
      <c r="F165" s="37"/>
      <c r="G165" s="38">
        <f>SUM(G166)+G172+G175</f>
        <v>41018.8</v>
      </c>
      <c r="H165" s="39">
        <f>SUM(H166)+H172+H175</f>
        <v>37826.6</v>
      </c>
      <c r="I165" s="39">
        <f t="shared" si="7"/>
        <v>92.21771480394355</v>
      </c>
    </row>
    <row r="166" spans="1:9" s="55" customFormat="1" ht="37.5" customHeight="1">
      <c r="A166" s="56" t="s">
        <v>947</v>
      </c>
      <c r="B166" s="92"/>
      <c r="C166" s="36" t="s">
        <v>747</v>
      </c>
      <c r="D166" s="36" t="s">
        <v>678</v>
      </c>
      <c r="E166" s="36" t="s">
        <v>948</v>
      </c>
      <c r="F166" s="37"/>
      <c r="G166" s="38">
        <f>SUM(G167+G168)</f>
        <v>3450.4</v>
      </c>
      <c r="H166" s="39">
        <f>SUM(H167+H168)</f>
        <v>3450</v>
      </c>
      <c r="I166" s="39">
        <f t="shared" si="7"/>
        <v>99.98840714120102</v>
      </c>
    </row>
    <row r="167" spans="1:9" s="55" customFormat="1" ht="21" customHeight="1">
      <c r="A167" s="95" t="s">
        <v>903</v>
      </c>
      <c r="B167" s="92"/>
      <c r="C167" s="36" t="s">
        <v>747</v>
      </c>
      <c r="D167" s="36" t="s">
        <v>678</v>
      </c>
      <c r="E167" s="36" t="s">
        <v>948</v>
      </c>
      <c r="F167" s="37" t="s">
        <v>904</v>
      </c>
      <c r="G167" s="38">
        <f>5000-813.5-2003.1-295-100-920-350</f>
        <v>518.4000000000001</v>
      </c>
      <c r="H167" s="39">
        <v>518</v>
      </c>
      <c r="I167" s="39">
        <f t="shared" si="7"/>
        <v>99.92283950617282</v>
      </c>
    </row>
    <row r="168" spans="1:9" s="55" customFormat="1" ht="30.75" customHeight="1">
      <c r="A168" s="95" t="s">
        <v>949</v>
      </c>
      <c r="B168" s="92"/>
      <c r="C168" s="36" t="s">
        <v>747</v>
      </c>
      <c r="D168" s="36" t="s">
        <v>678</v>
      </c>
      <c r="E168" s="36" t="s">
        <v>948</v>
      </c>
      <c r="F168" s="37" t="s">
        <v>950</v>
      </c>
      <c r="G168" s="38">
        <f>1405+1527</f>
        <v>2932</v>
      </c>
      <c r="H168" s="39">
        <v>2932</v>
      </c>
      <c r="I168" s="39">
        <f t="shared" si="7"/>
        <v>100</v>
      </c>
    </row>
    <row r="169" spans="1:9" s="55" customFormat="1" ht="0.75" customHeight="1" hidden="1">
      <c r="A169" s="51" t="s">
        <v>787</v>
      </c>
      <c r="B169" s="35"/>
      <c r="C169" s="36" t="s">
        <v>747</v>
      </c>
      <c r="D169" s="36" t="s">
        <v>678</v>
      </c>
      <c r="E169" s="36" t="s">
        <v>726</v>
      </c>
      <c r="F169" s="37"/>
      <c r="G169" s="38">
        <f>SUM(G170)</f>
        <v>0</v>
      </c>
      <c r="H169" s="39">
        <f>SUM(H170)</f>
        <v>0</v>
      </c>
      <c r="I169" s="39" t="e">
        <f t="shared" si="7"/>
        <v>#DIV/0!</v>
      </c>
    </row>
    <row r="170" spans="1:9" s="55" customFormat="1" ht="18" customHeight="1" hidden="1">
      <c r="A170" s="51" t="s">
        <v>788</v>
      </c>
      <c r="B170" s="35"/>
      <c r="C170" s="36" t="s">
        <v>747</v>
      </c>
      <c r="D170" s="36" t="s">
        <v>678</v>
      </c>
      <c r="E170" s="36" t="s">
        <v>789</v>
      </c>
      <c r="F170" s="37"/>
      <c r="G170" s="38">
        <f>SUM(G171)</f>
        <v>0</v>
      </c>
      <c r="H170" s="39">
        <f>SUM(H171)</f>
        <v>0</v>
      </c>
      <c r="I170" s="39" t="e">
        <f t="shared" si="7"/>
        <v>#DIV/0!</v>
      </c>
    </row>
    <row r="171" spans="1:9" s="55" customFormat="1" ht="25.5" customHeight="1" hidden="1">
      <c r="A171" s="51" t="s">
        <v>790</v>
      </c>
      <c r="B171" s="35"/>
      <c r="C171" s="36" t="s">
        <v>747</v>
      </c>
      <c r="D171" s="36" t="s">
        <v>678</v>
      </c>
      <c r="E171" s="36" t="s">
        <v>789</v>
      </c>
      <c r="F171" s="37" t="s">
        <v>791</v>
      </c>
      <c r="G171" s="38"/>
      <c r="H171" s="39"/>
      <c r="I171" s="39" t="e">
        <f t="shared" si="7"/>
        <v>#DIV/0!</v>
      </c>
    </row>
    <row r="172" spans="1:9" s="55" customFormat="1" ht="43.5" customHeight="1">
      <c r="A172" s="51" t="s">
        <v>951</v>
      </c>
      <c r="B172" s="35"/>
      <c r="C172" s="36" t="s">
        <v>747</v>
      </c>
      <c r="D172" s="36" t="s">
        <v>678</v>
      </c>
      <c r="E172" s="36" t="s">
        <v>952</v>
      </c>
      <c r="F172" s="37"/>
      <c r="G172" s="38">
        <f>SUM(G173+G174)</f>
        <v>28509</v>
      </c>
      <c r="H172" s="39">
        <f>SUM(H173+H174)</f>
        <v>28392.899999999998</v>
      </c>
      <c r="I172" s="39">
        <f t="shared" si="7"/>
        <v>99.59276018099547</v>
      </c>
    </row>
    <row r="173" spans="1:9" s="55" customFormat="1" ht="19.5" customHeight="1">
      <c r="A173" s="93" t="s">
        <v>790</v>
      </c>
      <c r="B173" s="35"/>
      <c r="C173" s="36" t="s">
        <v>747</v>
      </c>
      <c r="D173" s="36" t="s">
        <v>678</v>
      </c>
      <c r="E173" s="36" t="s">
        <v>952</v>
      </c>
      <c r="F173" s="37" t="s">
        <v>791</v>
      </c>
      <c r="G173" s="38">
        <f>24088.9-10788.9+4420.1</f>
        <v>17720.100000000002</v>
      </c>
      <c r="H173" s="39">
        <v>17720.1</v>
      </c>
      <c r="I173" s="39">
        <f t="shared" si="7"/>
        <v>99.99999999999997</v>
      </c>
    </row>
    <row r="174" spans="1:9" s="55" customFormat="1" ht="29.25" customHeight="1">
      <c r="A174" s="93" t="s">
        <v>953</v>
      </c>
      <c r="B174" s="35"/>
      <c r="C174" s="36" t="s">
        <v>747</v>
      </c>
      <c r="D174" s="36" t="s">
        <v>678</v>
      </c>
      <c r="E174" s="36" t="s">
        <v>952</v>
      </c>
      <c r="F174" s="37" t="s">
        <v>954</v>
      </c>
      <c r="G174" s="38">
        <f>10788.9+3654.7-3654.7</f>
        <v>10788.899999999998</v>
      </c>
      <c r="H174" s="39">
        <v>10672.8</v>
      </c>
      <c r="I174" s="39">
        <f t="shared" si="7"/>
        <v>98.92389400216891</v>
      </c>
    </row>
    <row r="175" spans="1:9" s="55" customFormat="1" ht="63" customHeight="1">
      <c r="A175" s="51" t="s">
        <v>955</v>
      </c>
      <c r="B175" s="35"/>
      <c r="C175" s="36" t="s">
        <v>747</v>
      </c>
      <c r="D175" s="36" t="s">
        <v>678</v>
      </c>
      <c r="E175" s="36" t="s">
        <v>956</v>
      </c>
      <c r="F175" s="37"/>
      <c r="G175" s="38">
        <f>SUM(G176)</f>
        <v>9059.4</v>
      </c>
      <c r="H175" s="39">
        <f>SUM(H176)</f>
        <v>5983.7</v>
      </c>
      <c r="I175" s="39">
        <f t="shared" si="7"/>
        <v>66.04962801068504</v>
      </c>
    </row>
    <row r="176" spans="1:9" s="55" customFormat="1" ht="19.5" customHeight="1">
      <c r="A176" s="93" t="s">
        <v>790</v>
      </c>
      <c r="B176" s="35"/>
      <c r="C176" s="36" t="s">
        <v>747</v>
      </c>
      <c r="D176" s="36" t="s">
        <v>678</v>
      </c>
      <c r="E176" s="36" t="s">
        <v>956</v>
      </c>
      <c r="F176" s="37" t="s">
        <v>791</v>
      </c>
      <c r="G176" s="38">
        <f>9059.4+3500-3500</f>
        <v>9059.4</v>
      </c>
      <c r="H176" s="39">
        <v>5983.7</v>
      </c>
      <c r="I176" s="39">
        <f t="shared" si="7"/>
        <v>66.04962801068504</v>
      </c>
    </row>
    <row r="177" spans="1:9" s="55" customFormat="1" ht="15.75" customHeight="1" hidden="1">
      <c r="A177" s="34" t="s">
        <v>957</v>
      </c>
      <c r="B177" s="35"/>
      <c r="C177" s="36" t="s">
        <v>747</v>
      </c>
      <c r="D177" s="36" t="s">
        <v>678</v>
      </c>
      <c r="E177" s="36" t="s">
        <v>958</v>
      </c>
      <c r="F177" s="37"/>
      <c r="G177" s="38">
        <f>SUM(G178+G180)</f>
        <v>0</v>
      </c>
      <c r="H177" s="39">
        <f>SUM(H178+H180)</f>
        <v>0</v>
      </c>
      <c r="I177" s="39" t="e">
        <f t="shared" si="7"/>
        <v>#DIV/0!</v>
      </c>
    </row>
    <row r="178" spans="1:9" s="55" customFormat="1" ht="42.75" customHeight="1" hidden="1">
      <c r="A178" s="54" t="s">
        <v>959</v>
      </c>
      <c r="B178" s="35"/>
      <c r="C178" s="36" t="s">
        <v>747</v>
      </c>
      <c r="D178" s="36" t="s">
        <v>678</v>
      </c>
      <c r="E178" s="36" t="s">
        <v>960</v>
      </c>
      <c r="F178" s="37"/>
      <c r="G178" s="38">
        <f>SUM(G179)</f>
        <v>0</v>
      </c>
      <c r="H178" s="39">
        <f>SUM(H179)</f>
        <v>0</v>
      </c>
      <c r="I178" s="39" t="e">
        <f t="shared" si="7"/>
        <v>#DIV/0!</v>
      </c>
    </row>
    <row r="179" spans="1:9" s="55" customFormat="1" ht="20.25" customHeight="1" hidden="1">
      <c r="A179" s="34" t="s">
        <v>903</v>
      </c>
      <c r="B179" s="35"/>
      <c r="C179" s="36" t="s">
        <v>747</v>
      </c>
      <c r="D179" s="36" t="s">
        <v>678</v>
      </c>
      <c r="E179" s="36" t="s">
        <v>960</v>
      </c>
      <c r="F179" s="37" t="s">
        <v>904</v>
      </c>
      <c r="G179" s="38"/>
      <c r="H179" s="39"/>
      <c r="I179" s="39" t="e">
        <f t="shared" si="7"/>
        <v>#DIV/0!</v>
      </c>
    </row>
    <row r="180" spans="1:9" s="55" customFormat="1" ht="44.25" customHeight="1" hidden="1">
      <c r="A180" s="54" t="s">
        <v>961</v>
      </c>
      <c r="B180" s="52"/>
      <c r="C180" s="36" t="s">
        <v>747</v>
      </c>
      <c r="D180" s="36" t="s">
        <v>678</v>
      </c>
      <c r="E180" s="36" t="s">
        <v>962</v>
      </c>
      <c r="F180" s="41"/>
      <c r="G180" s="38">
        <f>SUM(G181)</f>
        <v>0</v>
      </c>
      <c r="H180" s="39">
        <f>SUM(H181)</f>
        <v>0</v>
      </c>
      <c r="I180" s="39" t="e">
        <f t="shared" si="7"/>
        <v>#DIV/0!</v>
      </c>
    </row>
    <row r="181" spans="1:9" s="55" customFormat="1" ht="30" customHeight="1" hidden="1">
      <c r="A181" s="40" t="s">
        <v>685</v>
      </c>
      <c r="B181" s="96"/>
      <c r="C181" s="36" t="s">
        <v>747</v>
      </c>
      <c r="D181" s="36" t="s">
        <v>678</v>
      </c>
      <c r="E181" s="36" t="s">
        <v>962</v>
      </c>
      <c r="F181" s="69" t="s">
        <v>686</v>
      </c>
      <c r="G181" s="71"/>
      <c r="H181" s="82"/>
      <c r="I181" s="39" t="e">
        <f t="shared" si="7"/>
        <v>#DIV/0!</v>
      </c>
    </row>
    <row r="182" spans="1:9" s="55" customFormat="1" ht="17.25" customHeight="1" hidden="1">
      <c r="A182" s="54" t="s">
        <v>906</v>
      </c>
      <c r="B182" s="66"/>
      <c r="C182" s="66" t="s">
        <v>747</v>
      </c>
      <c r="D182" s="66" t="s">
        <v>678</v>
      </c>
      <c r="E182" s="66" t="s">
        <v>907</v>
      </c>
      <c r="F182" s="69"/>
      <c r="G182" s="38">
        <f>SUM(G186)+G191+G183</f>
        <v>0</v>
      </c>
      <c r="H182" s="39">
        <f>SUM(H186)+H191+H183</f>
        <v>0</v>
      </c>
      <c r="I182" s="39" t="e">
        <f t="shared" si="7"/>
        <v>#DIV/0!</v>
      </c>
    </row>
    <row r="183" spans="1:9" s="55" customFormat="1" ht="46.5" customHeight="1" hidden="1">
      <c r="A183" s="54" t="s">
        <v>963</v>
      </c>
      <c r="B183" s="66"/>
      <c r="C183" s="66" t="s">
        <v>747</v>
      </c>
      <c r="D183" s="66" t="s">
        <v>678</v>
      </c>
      <c r="E183" s="66" t="s">
        <v>964</v>
      </c>
      <c r="F183" s="69"/>
      <c r="G183" s="38">
        <f>SUM(G184)</f>
        <v>0</v>
      </c>
      <c r="H183" s="39">
        <f>SUM(H184)</f>
        <v>0</v>
      </c>
      <c r="I183" s="39" t="e">
        <f t="shared" si="7"/>
        <v>#DIV/0!</v>
      </c>
    </row>
    <row r="184" spans="1:9" s="55" customFormat="1" ht="19.5" customHeight="1" hidden="1">
      <c r="A184" s="54" t="s">
        <v>790</v>
      </c>
      <c r="B184" s="66"/>
      <c r="C184" s="66" t="s">
        <v>747</v>
      </c>
      <c r="D184" s="66" t="s">
        <v>678</v>
      </c>
      <c r="E184" s="66" t="s">
        <v>964</v>
      </c>
      <c r="F184" s="69" t="s">
        <v>791</v>
      </c>
      <c r="G184" s="38"/>
      <c r="H184" s="39"/>
      <c r="I184" s="39" t="e">
        <f t="shared" si="7"/>
        <v>#DIV/0!</v>
      </c>
    </row>
    <row r="185" spans="1:9" s="55" customFormat="1" ht="26.25" customHeight="1" hidden="1">
      <c r="A185" s="54"/>
      <c r="B185" s="66"/>
      <c r="C185" s="66"/>
      <c r="D185" s="66"/>
      <c r="E185" s="66"/>
      <c r="F185" s="69"/>
      <c r="G185" s="38"/>
      <c r="H185" s="39"/>
      <c r="I185" s="39" t="e">
        <f t="shared" si="7"/>
        <v>#DIV/0!</v>
      </c>
    </row>
    <row r="186" spans="1:9" s="55" customFormat="1" ht="18" customHeight="1" hidden="1">
      <c r="A186" s="34" t="s">
        <v>965</v>
      </c>
      <c r="B186" s="66"/>
      <c r="C186" s="66" t="s">
        <v>747</v>
      </c>
      <c r="D186" s="66" t="s">
        <v>678</v>
      </c>
      <c r="E186" s="66" t="s">
        <v>966</v>
      </c>
      <c r="F186" s="69"/>
      <c r="G186" s="38">
        <f>SUM(G187+G189)</f>
        <v>0</v>
      </c>
      <c r="H186" s="39">
        <f>SUM(H187+H189)</f>
        <v>0</v>
      </c>
      <c r="I186" s="39" t="e">
        <f t="shared" si="7"/>
        <v>#DIV/0!</v>
      </c>
    </row>
    <row r="187" spans="1:9" s="55" customFormat="1" ht="42.75" hidden="1">
      <c r="A187" s="54" t="s">
        <v>967</v>
      </c>
      <c r="B187" s="101"/>
      <c r="C187" s="66" t="s">
        <v>747</v>
      </c>
      <c r="D187" s="66" t="s">
        <v>678</v>
      </c>
      <c r="E187" s="66" t="s">
        <v>968</v>
      </c>
      <c r="F187" s="69"/>
      <c r="G187" s="38">
        <f>SUM(G188)</f>
        <v>0</v>
      </c>
      <c r="H187" s="39">
        <f>SUM(H188)</f>
        <v>0</v>
      </c>
      <c r="I187" s="39" t="e">
        <f t="shared" si="7"/>
        <v>#DIV/0!</v>
      </c>
    </row>
    <row r="188" spans="1:9" s="55" customFormat="1" ht="15" hidden="1">
      <c r="A188" s="51" t="s">
        <v>790</v>
      </c>
      <c r="B188" s="66"/>
      <c r="C188" s="66" t="s">
        <v>747</v>
      </c>
      <c r="D188" s="66" t="s">
        <v>678</v>
      </c>
      <c r="E188" s="66" t="s">
        <v>968</v>
      </c>
      <c r="F188" s="69" t="s">
        <v>791</v>
      </c>
      <c r="G188" s="38"/>
      <c r="H188" s="39"/>
      <c r="I188" s="39" t="e">
        <f t="shared" si="7"/>
        <v>#DIV/0!</v>
      </c>
    </row>
    <row r="189" spans="1:9" s="55" customFormat="1" ht="28.5" hidden="1">
      <c r="A189" s="51" t="s">
        <v>969</v>
      </c>
      <c r="B189" s="66"/>
      <c r="C189" s="66" t="s">
        <v>747</v>
      </c>
      <c r="D189" s="66" t="s">
        <v>678</v>
      </c>
      <c r="E189" s="66" t="s">
        <v>970</v>
      </c>
      <c r="F189" s="69"/>
      <c r="G189" s="38">
        <f>SUM(G190)</f>
        <v>0</v>
      </c>
      <c r="H189" s="39">
        <f>SUM(H190)</f>
        <v>0</v>
      </c>
      <c r="I189" s="39" t="e">
        <f t="shared" si="7"/>
        <v>#DIV/0!</v>
      </c>
    </row>
    <row r="190" spans="1:9" s="55" customFormat="1" ht="28.5" hidden="1">
      <c r="A190" s="40" t="s">
        <v>685</v>
      </c>
      <c r="B190" s="96"/>
      <c r="C190" s="36" t="s">
        <v>747</v>
      </c>
      <c r="D190" s="36" t="s">
        <v>678</v>
      </c>
      <c r="E190" s="66" t="s">
        <v>970</v>
      </c>
      <c r="F190" s="69" t="s">
        <v>686</v>
      </c>
      <c r="G190" s="38"/>
      <c r="H190" s="39"/>
      <c r="I190" s="39" t="e">
        <f t="shared" si="7"/>
        <v>#DIV/0!</v>
      </c>
    </row>
    <row r="191" spans="1:9" s="55" customFormat="1" ht="28.5" hidden="1">
      <c r="A191" s="40" t="s">
        <v>971</v>
      </c>
      <c r="B191" s="96"/>
      <c r="C191" s="36" t="s">
        <v>747</v>
      </c>
      <c r="D191" s="36" t="s">
        <v>678</v>
      </c>
      <c r="E191" s="66" t="s">
        <v>972</v>
      </c>
      <c r="F191" s="69"/>
      <c r="G191" s="38"/>
      <c r="H191" s="39"/>
      <c r="I191" s="39" t="e">
        <f t="shared" si="7"/>
        <v>#DIV/0!</v>
      </c>
    </row>
    <row r="192" spans="1:9" s="55" customFormat="1" ht="42.75" hidden="1">
      <c r="A192" s="40" t="s">
        <v>973</v>
      </c>
      <c r="B192" s="96"/>
      <c r="C192" s="36" t="s">
        <v>747</v>
      </c>
      <c r="D192" s="36" t="s">
        <v>678</v>
      </c>
      <c r="E192" s="66" t="s">
        <v>974</v>
      </c>
      <c r="F192" s="69"/>
      <c r="G192" s="38">
        <f>SUM(G193)</f>
        <v>0</v>
      </c>
      <c r="H192" s="39">
        <f>SUM(H193)</f>
        <v>0</v>
      </c>
      <c r="I192" s="39" t="e">
        <f t="shared" si="7"/>
        <v>#DIV/0!</v>
      </c>
    </row>
    <row r="193" spans="1:9" s="55" customFormat="1" ht="15" hidden="1">
      <c r="A193" s="34" t="s">
        <v>903</v>
      </c>
      <c r="B193" s="96"/>
      <c r="C193" s="36" t="s">
        <v>747</v>
      </c>
      <c r="D193" s="36" t="s">
        <v>678</v>
      </c>
      <c r="E193" s="66" t="s">
        <v>974</v>
      </c>
      <c r="F193" s="69" t="s">
        <v>904</v>
      </c>
      <c r="G193" s="38"/>
      <c r="H193" s="39"/>
      <c r="I193" s="39" t="e">
        <f t="shared" si="7"/>
        <v>#DIV/0!</v>
      </c>
    </row>
    <row r="194" spans="1:9" s="55" customFormat="1" ht="42.75" hidden="1">
      <c r="A194" s="40" t="s">
        <v>975</v>
      </c>
      <c r="B194" s="96"/>
      <c r="C194" s="36" t="s">
        <v>747</v>
      </c>
      <c r="D194" s="36" t="s">
        <v>678</v>
      </c>
      <c r="E194" s="66" t="s">
        <v>976</v>
      </c>
      <c r="F194" s="69"/>
      <c r="G194" s="38">
        <f>SUM(G195)</f>
        <v>0</v>
      </c>
      <c r="H194" s="39">
        <f>SUM(H195)</f>
        <v>0</v>
      </c>
      <c r="I194" s="39" t="e">
        <f t="shared" si="7"/>
        <v>#DIV/0!</v>
      </c>
    </row>
    <row r="195" spans="1:9" s="55" customFormat="1" ht="21.75" customHeight="1" hidden="1">
      <c r="A195" s="34" t="s">
        <v>903</v>
      </c>
      <c r="B195" s="96"/>
      <c r="C195" s="36" t="s">
        <v>747</v>
      </c>
      <c r="D195" s="36" t="s">
        <v>678</v>
      </c>
      <c r="E195" s="66" t="s">
        <v>976</v>
      </c>
      <c r="F195" s="69" t="s">
        <v>904</v>
      </c>
      <c r="G195" s="38"/>
      <c r="H195" s="39"/>
      <c r="I195" s="39" t="e">
        <f t="shared" si="7"/>
        <v>#DIV/0!</v>
      </c>
    </row>
    <row r="196" spans="1:9" s="55" customFormat="1" ht="21.75" customHeight="1">
      <c r="A196" s="34" t="s">
        <v>957</v>
      </c>
      <c r="B196" s="96"/>
      <c r="C196" s="36" t="s">
        <v>747</v>
      </c>
      <c r="D196" s="36" t="s">
        <v>678</v>
      </c>
      <c r="E196" s="66" t="s">
        <v>958</v>
      </c>
      <c r="F196" s="69"/>
      <c r="G196" s="38">
        <f>SUM(G197)</f>
        <v>788.9</v>
      </c>
      <c r="H196" s="38">
        <f>SUM(H197)</f>
        <v>788.3</v>
      </c>
      <c r="I196" s="39">
        <f t="shared" si="7"/>
        <v>99.92394473317276</v>
      </c>
    </row>
    <row r="197" spans="1:9" s="55" customFormat="1" ht="45.75" customHeight="1">
      <c r="A197" s="34" t="s">
        <v>977</v>
      </c>
      <c r="B197" s="96"/>
      <c r="C197" s="36" t="s">
        <v>747</v>
      </c>
      <c r="D197" s="36" t="s">
        <v>678</v>
      </c>
      <c r="E197" s="66" t="s">
        <v>962</v>
      </c>
      <c r="F197" s="69"/>
      <c r="G197" s="38">
        <f>SUM(G198)</f>
        <v>788.9</v>
      </c>
      <c r="H197" s="38">
        <f>SUM(H198)</f>
        <v>788.3</v>
      </c>
      <c r="I197" s="39">
        <f t="shared" si="7"/>
        <v>99.92394473317276</v>
      </c>
    </row>
    <row r="198" spans="1:9" s="55" customFormat="1" ht="32.25" customHeight="1">
      <c r="A198" s="34" t="s">
        <v>685</v>
      </c>
      <c r="B198" s="96"/>
      <c r="C198" s="36" t="s">
        <v>747</v>
      </c>
      <c r="D198" s="36" t="s">
        <v>678</v>
      </c>
      <c r="E198" s="66" t="s">
        <v>962</v>
      </c>
      <c r="F198" s="69" t="s">
        <v>686</v>
      </c>
      <c r="G198" s="38">
        <f>813.5-24.6</f>
        <v>788.9</v>
      </c>
      <c r="H198" s="39">
        <v>788.3</v>
      </c>
      <c r="I198" s="39">
        <f t="shared" si="7"/>
        <v>99.92394473317276</v>
      </c>
    </row>
    <row r="199" spans="1:9" s="55" customFormat="1" ht="15">
      <c r="A199" s="93" t="s">
        <v>742</v>
      </c>
      <c r="B199" s="66"/>
      <c r="C199" s="66" t="s">
        <v>747</v>
      </c>
      <c r="D199" s="66" t="s">
        <v>678</v>
      </c>
      <c r="E199" s="66" t="s">
        <v>743</v>
      </c>
      <c r="F199" s="69"/>
      <c r="G199" s="38">
        <f>SUM(G200+G203)+G208+G206</f>
        <v>1470.6</v>
      </c>
      <c r="H199" s="38">
        <f>SUM(H200+H203)+H208+H206</f>
        <v>1328.5</v>
      </c>
      <c r="I199" s="39">
        <f t="shared" si="7"/>
        <v>90.3372773017816</v>
      </c>
    </row>
    <row r="200" spans="1:9" s="55" customFormat="1" ht="25.5" customHeight="1" hidden="1">
      <c r="A200" s="40" t="s">
        <v>685</v>
      </c>
      <c r="B200" s="66"/>
      <c r="C200" s="66" t="s">
        <v>747</v>
      </c>
      <c r="D200" s="66" t="s">
        <v>678</v>
      </c>
      <c r="E200" s="66" t="s">
        <v>743</v>
      </c>
      <c r="F200" s="69" t="s">
        <v>686</v>
      </c>
      <c r="G200" s="102">
        <f>SUM(G201:G202)</f>
        <v>0</v>
      </c>
      <c r="H200" s="236">
        <f>SUM(H201:H202)</f>
        <v>0</v>
      </c>
      <c r="I200" s="39" t="e">
        <f t="shared" si="7"/>
        <v>#DIV/0!</v>
      </c>
    </row>
    <row r="201" spans="1:9" s="55" customFormat="1" ht="15" customHeight="1" hidden="1">
      <c r="A201" s="93" t="s">
        <v>980</v>
      </c>
      <c r="B201" s="66"/>
      <c r="C201" s="66" t="s">
        <v>747</v>
      </c>
      <c r="D201" s="66" t="s">
        <v>678</v>
      </c>
      <c r="E201" s="66" t="s">
        <v>981</v>
      </c>
      <c r="F201" s="69" t="s">
        <v>686</v>
      </c>
      <c r="G201" s="102"/>
      <c r="H201" s="236"/>
      <c r="I201" s="39" t="e">
        <f t="shared" si="7"/>
        <v>#DIV/0!</v>
      </c>
    </row>
    <row r="202" spans="1:9" s="98" customFormat="1" ht="15" customHeight="1" hidden="1">
      <c r="A202" s="93" t="s">
        <v>982</v>
      </c>
      <c r="B202" s="66"/>
      <c r="C202" s="66" t="s">
        <v>747</v>
      </c>
      <c r="D202" s="66" t="s">
        <v>678</v>
      </c>
      <c r="E202" s="66" t="s">
        <v>983</v>
      </c>
      <c r="F202" s="69" t="s">
        <v>686</v>
      </c>
      <c r="G202" s="102"/>
      <c r="H202" s="236"/>
      <c r="I202" s="39" t="e">
        <f t="shared" si="7"/>
        <v>#DIV/0!</v>
      </c>
    </row>
    <row r="203" spans="1:9" s="98" customFormat="1" ht="15">
      <c r="A203" s="93" t="s">
        <v>790</v>
      </c>
      <c r="B203" s="66"/>
      <c r="C203" s="66" t="s">
        <v>747</v>
      </c>
      <c r="D203" s="66" t="s">
        <v>678</v>
      </c>
      <c r="E203" s="66" t="s">
        <v>743</v>
      </c>
      <c r="F203" s="69" t="s">
        <v>791</v>
      </c>
      <c r="G203" s="71">
        <f>SUM(G204)</f>
        <v>682.1</v>
      </c>
      <c r="H203" s="82">
        <f>SUM(H204)</f>
        <v>620.3</v>
      </c>
      <c r="I203" s="39">
        <f t="shared" si="7"/>
        <v>90.93974490543908</v>
      </c>
    </row>
    <row r="204" spans="1:9" ht="47.25" customHeight="1">
      <c r="A204" s="51" t="s">
        <v>984</v>
      </c>
      <c r="B204" s="66"/>
      <c r="C204" s="66" t="s">
        <v>747</v>
      </c>
      <c r="D204" s="66" t="s">
        <v>678</v>
      </c>
      <c r="E204" s="66" t="s">
        <v>985</v>
      </c>
      <c r="F204" s="69" t="s">
        <v>791</v>
      </c>
      <c r="G204" s="38">
        <f>SUM(G205)</f>
        <v>682.1</v>
      </c>
      <c r="H204" s="39">
        <f>SUM(H205)</f>
        <v>620.3</v>
      </c>
      <c r="I204" s="39">
        <f t="shared" si="7"/>
        <v>90.93974490543908</v>
      </c>
    </row>
    <row r="205" spans="1:9" s="55" customFormat="1" ht="47.25" customHeight="1">
      <c r="A205" s="54" t="s">
        <v>967</v>
      </c>
      <c r="B205" s="66"/>
      <c r="C205" s="66" t="s">
        <v>747</v>
      </c>
      <c r="D205" s="66" t="s">
        <v>678</v>
      </c>
      <c r="E205" s="66" t="s">
        <v>986</v>
      </c>
      <c r="F205" s="69" t="s">
        <v>791</v>
      </c>
      <c r="G205" s="38">
        <f>1012.5-330.4</f>
        <v>682.1</v>
      </c>
      <c r="H205" s="39">
        <v>620.3</v>
      </c>
      <c r="I205" s="39">
        <f aca="true" t="shared" si="8" ref="I205:I268">SUM(H205/G205*100)</f>
        <v>90.93974490543908</v>
      </c>
    </row>
    <row r="206" spans="1:9" s="55" customFormat="1" ht="35.25" customHeight="1">
      <c r="A206" s="54" t="s">
        <v>987</v>
      </c>
      <c r="B206" s="66"/>
      <c r="C206" s="36" t="s">
        <v>747</v>
      </c>
      <c r="D206" s="36" t="s">
        <v>678</v>
      </c>
      <c r="E206" s="66" t="s">
        <v>988</v>
      </c>
      <c r="F206" s="69"/>
      <c r="G206" s="38">
        <f>SUM(G207)</f>
        <v>350</v>
      </c>
      <c r="H206" s="38">
        <f>SUM(H207)</f>
        <v>269.7</v>
      </c>
      <c r="I206" s="39">
        <f t="shared" si="8"/>
        <v>77.05714285714286</v>
      </c>
    </row>
    <row r="207" spans="1:9" s="55" customFormat="1" ht="35.25" customHeight="1">
      <c r="A207" s="34" t="s">
        <v>685</v>
      </c>
      <c r="B207" s="66"/>
      <c r="C207" s="36" t="s">
        <v>747</v>
      </c>
      <c r="D207" s="36" t="s">
        <v>678</v>
      </c>
      <c r="E207" s="66" t="s">
        <v>988</v>
      </c>
      <c r="F207" s="69" t="s">
        <v>686</v>
      </c>
      <c r="G207" s="38">
        <v>350</v>
      </c>
      <c r="H207" s="39">
        <v>269.7</v>
      </c>
      <c r="I207" s="39">
        <f t="shared" si="8"/>
        <v>77.05714285714286</v>
      </c>
    </row>
    <row r="208" spans="1:9" s="55" customFormat="1" ht="47.25" customHeight="1">
      <c r="A208" s="103" t="s">
        <v>989</v>
      </c>
      <c r="B208" s="66"/>
      <c r="C208" s="66" t="s">
        <v>747</v>
      </c>
      <c r="D208" s="66" t="s">
        <v>678</v>
      </c>
      <c r="E208" s="66" t="s">
        <v>990</v>
      </c>
      <c r="F208" s="69"/>
      <c r="G208" s="38">
        <f>SUM(G209)</f>
        <v>438.5</v>
      </c>
      <c r="H208" s="39">
        <f>SUM(H209)</f>
        <v>438.5</v>
      </c>
      <c r="I208" s="39">
        <f t="shared" si="8"/>
        <v>100</v>
      </c>
    </row>
    <row r="209" spans="1:9" s="55" customFormat="1" ht="19.5" customHeight="1">
      <c r="A209" s="93" t="s">
        <v>790</v>
      </c>
      <c r="B209" s="66"/>
      <c r="C209" s="66" t="s">
        <v>747</v>
      </c>
      <c r="D209" s="66" t="s">
        <v>678</v>
      </c>
      <c r="E209" s="66" t="s">
        <v>990</v>
      </c>
      <c r="F209" s="69" t="s">
        <v>791</v>
      </c>
      <c r="G209" s="38">
        <f>546.4-107.9</f>
        <v>438.5</v>
      </c>
      <c r="H209" s="39">
        <v>438.5</v>
      </c>
      <c r="I209" s="39">
        <f t="shared" si="8"/>
        <v>100</v>
      </c>
    </row>
    <row r="210" spans="1:9" ht="21" customHeight="1">
      <c r="A210" s="51" t="s">
        <v>991</v>
      </c>
      <c r="B210" s="52"/>
      <c r="C210" s="53" t="s">
        <v>747</v>
      </c>
      <c r="D210" s="53" t="s">
        <v>680</v>
      </c>
      <c r="E210" s="53"/>
      <c r="F210" s="41"/>
      <c r="G210" s="38">
        <f>SUM(G217+G229)+G211+G225+G214</f>
        <v>64512.49999999999</v>
      </c>
      <c r="H210" s="38">
        <f>SUM(H217+H229)+H211+H225+H214</f>
        <v>53742.7</v>
      </c>
      <c r="I210" s="39">
        <f t="shared" si="8"/>
        <v>83.30587095524123</v>
      </c>
    </row>
    <row r="211" spans="1:9" ht="18" customHeight="1" hidden="1">
      <c r="A211" s="34" t="s">
        <v>769</v>
      </c>
      <c r="B211" s="35"/>
      <c r="C211" s="53" t="s">
        <v>747</v>
      </c>
      <c r="D211" s="53" t="s">
        <v>680</v>
      </c>
      <c r="E211" s="53" t="s">
        <v>771</v>
      </c>
      <c r="F211" s="41"/>
      <c r="G211" s="38">
        <f>SUM(G212)</f>
        <v>0</v>
      </c>
      <c r="H211" s="39">
        <f>SUM(H212)</f>
        <v>0</v>
      </c>
      <c r="I211" s="39" t="e">
        <f t="shared" si="8"/>
        <v>#DIV/0!</v>
      </c>
    </row>
    <row r="212" spans="1:9" ht="15.75" customHeight="1" hidden="1">
      <c r="A212" s="34" t="s">
        <v>740</v>
      </c>
      <c r="B212" s="35"/>
      <c r="C212" s="53" t="s">
        <v>747</v>
      </c>
      <c r="D212" s="53" t="s">
        <v>680</v>
      </c>
      <c r="E212" s="53" t="s">
        <v>741</v>
      </c>
      <c r="F212" s="37"/>
      <c r="G212" s="38">
        <f>SUM(G213)</f>
        <v>0</v>
      </c>
      <c r="H212" s="39">
        <f>SUM(H213)</f>
        <v>0</v>
      </c>
      <c r="I212" s="39" t="e">
        <f t="shared" si="8"/>
        <v>#DIV/0!</v>
      </c>
    </row>
    <row r="213" spans="1:9" ht="15.75" customHeight="1" hidden="1">
      <c r="A213" s="40" t="s">
        <v>685</v>
      </c>
      <c r="B213" s="35"/>
      <c r="C213" s="53" t="s">
        <v>747</v>
      </c>
      <c r="D213" s="53" t="s">
        <v>680</v>
      </c>
      <c r="E213" s="53" t="s">
        <v>741</v>
      </c>
      <c r="F213" s="37" t="s">
        <v>686</v>
      </c>
      <c r="G213" s="38"/>
      <c r="H213" s="39"/>
      <c r="I213" s="39" t="e">
        <f t="shared" si="8"/>
        <v>#DIV/0!</v>
      </c>
    </row>
    <row r="214" spans="1:9" ht="30.75" customHeight="1">
      <c r="A214" s="40" t="s">
        <v>996</v>
      </c>
      <c r="B214" s="35"/>
      <c r="C214" s="53" t="s">
        <v>747</v>
      </c>
      <c r="D214" s="53" t="s">
        <v>680</v>
      </c>
      <c r="E214" s="53" t="s">
        <v>921</v>
      </c>
      <c r="F214" s="37"/>
      <c r="G214" s="38">
        <f>SUM(G215)</f>
        <v>9483.599999999999</v>
      </c>
      <c r="H214" s="39">
        <f>SUM(H215)</f>
        <v>9483.6</v>
      </c>
      <c r="I214" s="39">
        <f t="shared" si="8"/>
        <v>100.00000000000003</v>
      </c>
    </row>
    <row r="215" spans="1:9" ht="33" customHeight="1">
      <c r="A215" s="40" t="s">
        <v>997</v>
      </c>
      <c r="B215" s="35"/>
      <c r="C215" s="53" t="s">
        <v>747</v>
      </c>
      <c r="D215" s="53" t="s">
        <v>680</v>
      </c>
      <c r="E215" s="53" t="s">
        <v>924</v>
      </c>
      <c r="F215" s="37"/>
      <c r="G215" s="38">
        <f>SUM(G216)</f>
        <v>9483.599999999999</v>
      </c>
      <c r="H215" s="39">
        <f>SUM(H216)</f>
        <v>9483.6</v>
      </c>
      <c r="I215" s="39">
        <f t="shared" si="8"/>
        <v>100.00000000000003</v>
      </c>
    </row>
    <row r="216" spans="1:9" ht="15.75" customHeight="1">
      <c r="A216" s="34" t="s">
        <v>903</v>
      </c>
      <c r="B216" s="35"/>
      <c r="C216" s="53" t="s">
        <v>747</v>
      </c>
      <c r="D216" s="53" t="s">
        <v>680</v>
      </c>
      <c r="E216" s="53" t="s">
        <v>924</v>
      </c>
      <c r="F216" s="37" t="s">
        <v>904</v>
      </c>
      <c r="G216" s="38">
        <f>9483.6+19600-19600</f>
        <v>9483.599999999999</v>
      </c>
      <c r="H216" s="39">
        <v>9483.6</v>
      </c>
      <c r="I216" s="39">
        <f t="shared" si="8"/>
        <v>100.00000000000003</v>
      </c>
    </row>
    <row r="217" spans="1:9" ht="18" customHeight="1">
      <c r="A217" s="84" t="s">
        <v>998</v>
      </c>
      <c r="B217" s="52"/>
      <c r="C217" s="53" t="s">
        <v>747</v>
      </c>
      <c r="D217" s="53" t="s">
        <v>680</v>
      </c>
      <c r="E217" s="53" t="s">
        <v>993</v>
      </c>
      <c r="F217" s="41"/>
      <c r="G217" s="38">
        <f>SUM(G218+G220+G222)</f>
        <v>55028.899999999994</v>
      </c>
      <c r="H217" s="39">
        <f>SUM(H218+H220+H222)</f>
        <v>44259.1</v>
      </c>
      <c r="I217" s="39">
        <f t="shared" si="8"/>
        <v>80.42882921519421</v>
      </c>
    </row>
    <row r="218" spans="1:9" ht="57" hidden="1">
      <c r="A218" s="93" t="s">
        <v>999</v>
      </c>
      <c r="B218" s="52"/>
      <c r="C218" s="53" t="s">
        <v>747</v>
      </c>
      <c r="D218" s="53" t="s">
        <v>680</v>
      </c>
      <c r="E218" s="53" t="s">
        <v>1000</v>
      </c>
      <c r="F218" s="41"/>
      <c r="G218" s="38">
        <f>SUM(G219)</f>
        <v>0</v>
      </c>
      <c r="H218" s="39">
        <f>SUM(H219)</f>
        <v>0</v>
      </c>
      <c r="I218" s="39" t="e">
        <f t="shared" si="8"/>
        <v>#DIV/0!</v>
      </c>
    </row>
    <row r="219" spans="1:9" s="113" customFormat="1" ht="15" hidden="1">
      <c r="A219" s="34" t="s">
        <v>903</v>
      </c>
      <c r="B219" s="35"/>
      <c r="C219" s="36" t="s">
        <v>747</v>
      </c>
      <c r="D219" s="53" t="s">
        <v>680</v>
      </c>
      <c r="E219" s="53" t="s">
        <v>1000</v>
      </c>
      <c r="F219" s="37" t="s">
        <v>904</v>
      </c>
      <c r="G219" s="38"/>
      <c r="H219" s="39"/>
      <c r="I219" s="39" t="e">
        <f t="shared" si="8"/>
        <v>#DIV/0!</v>
      </c>
    </row>
    <row r="220" spans="1:9" ht="57" hidden="1">
      <c r="A220" s="93" t="s">
        <v>1001</v>
      </c>
      <c r="B220" s="35"/>
      <c r="C220" s="53" t="s">
        <v>747</v>
      </c>
      <c r="D220" s="53" t="s">
        <v>680</v>
      </c>
      <c r="E220" s="53" t="s">
        <v>1002</v>
      </c>
      <c r="F220" s="37"/>
      <c r="G220" s="38">
        <f>SUM(G221)</f>
        <v>0</v>
      </c>
      <c r="H220" s="39">
        <f>SUM(H221)</f>
        <v>0</v>
      </c>
      <c r="I220" s="39" t="e">
        <f t="shared" si="8"/>
        <v>#DIV/0!</v>
      </c>
    </row>
    <row r="221" spans="1:9" s="113" customFormat="1" ht="20.25" customHeight="1" hidden="1">
      <c r="A221" s="34" t="s">
        <v>903</v>
      </c>
      <c r="B221" s="35"/>
      <c r="C221" s="53" t="s">
        <v>747</v>
      </c>
      <c r="D221" s="53" t="s">
        <v>680</v>
      </c>
      <c r="E221" s="53" t="s">
        <v>1002</v>
      </c>
      <c r="F221" s="37" t="s">
        <v>904</v>
      </c>
      <c r="G221" s="38"/>
      <c r="H221" s="39"/>
      <c r="I221" s="39" t="e">
        <f t="shared" si="8"/>
        <v>#DIV/0!</v>
      </c>
    </row>
    <row r="222" spans="1:9" ht="14.25" customHeight="1">
      <c r="A222" s="54" t="s">
        <v>1003</v>
      </c>
      <c r="B222" s="52"/>
      <c r="C222" s="53" t="s">
        <v>747</v>
      </c>
      <c r="D222" s="53" t="s">
        <v>680</v>
      </c>
      <c r="E222" s="53" t="s">
        <v>1004</v>
      </c>
      <c r="F222" s="41"/>
      <c r="G222" s="38">
        <f>SUM(G223:G224)</f>
        <v>55028.899999999994</v>
      </c>
      <c r="H222" s="39">
        <f>SUM(H223:H224)</f>
        <v>44259.1</v>
      </c>
      <c r="I222" s="39">
        <f t="shared" si="8"/>
        <v>80.42882921519421</v>
      </c>
    </row>
    <row r="223" spans="1:9" ht="15" customHeight="1">
      <c r="A223" s="34" t="s">
        <v>903</v>
      </c>
      <c r="B223" s="52"/>
      <c r="C223" s="53" t="s">
        <v>747</v>
      </c>
      <c r="D223" s="53" t="s">
        <v>680</v>
      </c>
      <c r="E223" s="53" t="s">
        <v>1004</v>
      </c>
      <c r="F223" s="37" t="s">
        <v>904</v>
      </c>
      <c r="G223" s="71">
        <f>878+4272.1+2990.6+495+1505+9445.5+13300</f>
        <v>32886.2</v>
      </c>
      <c r="H223" s="82">
        <v>22328.5</v>
      </c>
      <c r="I223" s="39">
        <f t="shared" si="8"/>
        <v>67.89626043750874</v>
      </c>
    </row>
    <row r="224" spans="1:9" ht="27" customHeight="1">
      <c r="A224" s="40" t="s">
        <v>685</v>
      </c>
      <c r="B224" s="52"/>
      <c r="C224" s="53" t="s">
        <v>747</v>
      </c>
      <c r="D224" s="53" t="s">
        <v>680</v>
      </c>
      <c r="E224" s="53" t="s">
        <v>1004</v>
      </c>
      <c r="F224" s="37" t="s">
        <v>686</v>
      </c>
      <c r="G224" s="71">
        <f>600+18395+77.3-249.3+233.8-162+2908.4-2908.4+174.4-91.9+100+2908.4+250-0.1-211+118.1</f>
        <v>22142.7</v>
      </c>
      <c r="H224" s="82">
        <v>21930.6</v>
      </c>
      <c r="I224" s="39">
        <f t="shared" si="8"/>
        <v>99.04212223441586</v>
      </c>
    </row>
    <row r="225" spans="1:9" ht="17.25" customHeight="1" hidden="1">
      <c r="A225" s="54" t="s">
        <v>906</v>
      </c>
      <c r="B225" s="66"/>
      <c r="C225" s="53" t="s">
        <v>747</v>
      </c>
      <c r="D225" s="53" t="s">
        <v>680</v>
      </c>
      <c r="E225" s="66" t="s">
        <v>907</v>
      </c>
      <c r="F225" s="41"/>
      <c r="G225" s="71">
        <f aca="true" t="shared" si="9" ref="G225:H227">SUM(G226)</f>
        <v>0</v>
      </c>
      <c r="H225" s="82">
        <f t="shared" si="9"/>
        <v>0</v>
      </c>
      <c r="I225" s="39" t="e">
        <f t="shared" si="8"/>
        <v>#DIV/0!</v>
      </c>
    </row>
    <row r="226" spans="1:9" ht="15.75" customHeight="1" hidden="1">
      <c r="A226" s="34" t="s">
        <v>965</v>
      </c>
      <c r="B226" s="66"/>
      <c r="C226" s="53" t="s">
        <v>747</v>
      </c>
      <c r="D226" s="53" t="s">
        <v>680</v>
      </c>
      <c r="E226" s="66" t="s">
        <v>966</v>
      </c>
      <c r="F226" s="41"/>
      <c r="G226" s="71">
        <f t="shared" si="9"/>
        <v>0</v>
      </c>
      <c r="H226" s="82">
        <f t="shared" si="9"/>
        <v>0</v>
      </c>
      <c r="I226" s="39" t="e">
        <f t="shared" si="8"/>
        <v>#DIV/0!</v>
      </c>
    </row>
    <row r="227" spans="1:9" ht="13.5" customHeight="1" hidden="1">
      <c r="A227" s="54" t="s">
        <v>1005</v>
      </c>
      <c r="B227" s="35"/>
      <c r="C227" s="53" t="s">
        <v>747</v>
      </c>
      <c r="D227" s="53" t="s">
        <v>680</v>
      </c>
      <c r="E227" s="66" t="s">
        <v>1006</v>
      </c>
      <c r="F227" s="41"/>
      <c r="G227" s="71">
        <f t="shared" si="9"/>
        <v>0</v>
      </c>
      <c r="H227" s="82">
        <f t="shared" si="9"/>
        <v>0</v>
      </c>
      <c r="I227" s="39" t="e">
        <f t="shared" si="8"/>
        <v>#DIV/0!</v>
      </c>
    </row>
    <row r="228" spans="1:9" ht="28.5" customHeight="1" hidden="1">
      <c r="A228" s="40" t="s">
        <v>685</v>
      </c>
      <c r="B228" s="52"/>
      <c r="C228" s="53" t="s">
        <v>747</v>
      </c>
      <c r="D228" s="53" t="s">
        <v>680</v>
      </c>
      <c r="E228" s="66" t="s">
        <v>1006</v>
      </c>
      <c r="F228" s="37" t="s">
        <v>686</v>
      </c>
      <c r="G228" s="71"/>
      <c r="H228" s="82"/>
      <c r="I228" s="39" t="e">
        <f t="shared" si="8"/>
        <v>#DIV/0!</v>
      </c>
    </row>
    <row r="229" spans="1:9" ht="15" hidden="1">
      <c r="A229" s="93" t="s">
        <v>742</v>
      </c>
      <c r="B229" s="104"/>
      <c r="C229" s="66" t="s">
        <v>747</v>
      </c>
      <c r="D229" s="66" t="s">
        <v>680</v>
      </c>
      <c r="E229" s="66" t="s">
        <v>743</v>
      </c>
      <c r="F229" s="69"/>
      <c r="G229" s="71">
        <f>SUM(G230)</f>
        <v>0</v>
      </c>
      <c r="H229" s="82">
        <f>SUM(H230)</f>
        <v>0</v>
      </c>
      <c r="I229" s="39" t="e">
        <f t="shared" si="8"/>
        <v>#DIV/0!</v>
      </c>
    </row>
    <row r="230" spans="1:9" s="116" customFormat="1" ht="57" hidden="1">
      <c r="A230" s="74" t="s">
        <v>901</v>
      </c>
      <c r="B230" s="104"/>
      <c r="C230" s="66" t="s">
        <v>747</v>
      </c>
      <c r="D230" s="66" t="s">
        <v>680</v>
      </c>
      <c r="E230" s="66" t="s">
        <v>902</v>
      </c>
      <c r="F230" s="37"/>
      <c r="G230" s="71">
        <f>SUM(G231)+G232+G234+G233</f>
        <v>0</v>
      </c>
      <c r="H230" s="82">
        <f>SUM(H231)+H232+H234</f>
        <v>0</v>
      </c>
      <c r="I230" s="39" t="e">
        <f t="shared" si="8"/>
        <v>#DIV/0!</v>
      </c>
    </row>
    <row r="231" spans="1:9" ht="42.75" hidden="1">
      <c r="A231" s="40" t="s">
        <v>1007</v>
      </c>
      <c r="B231" s="104"/>
      <c r="C231" s="66" t="s">
        <v>747</v>
      </c>
      <c r="D231" s="66" t="s">
        <v>680</v>
      </c>
      <c r="E231" s="66" t="s">
        <v>1008</v>
      </c>
      <c r="F231" s="37" t="s">
        <v>686</v>
      </c>
      <c r="G231" s="71">
        <f>600-600</f>
        <v>0</v>
      </c>
      <c r="H231" s="82">
        <f>600-600</f>
        <v>0</v>
      </c>
      <c r="I231" s="39" t="e">
        <f t="shared" si="8"/>
        <v>#DIV/0!</v>
      </c>
    </row>
    <row r="232" spans="1:9" ht="28.5" hidden="1">
      <c r="A232" s="93" t="s">
        <v>1009</v>
      </c>
      <c r="B232" s="104"/>
      <c r="C232" s="66" t="s">
        <v>747</v>
      </c>
      <c r="D232" s="66" t="s">
        <v>680</v>
      </c>
      <c r="E232" s="66" t="s">
        <v>1010</v>
      </c>
      <c r="F232" s="37" t="s">
        <v>686</v>
      </c>
      <c r="G232" s="71">
        <f>900-900</f>
        <v>0</v>
      </c>
      <c r="H232" s="82">
        <f>900-900</f>
        <v>0</v>
      </c>
      <c r="I232" s="39" t="e">
        <f t="shared" si="8"/>
        <v>#DIV/0!</v>
      </c>
    </row>
    <row r="233" spans="1:9" ht="28.5" hidden="1">
      <c r="A233" s="40" t="s">
        <v>685</v>
      </c>
      <c r="B233" s="104"/>
      <c r="C233" s="66" t="s">
        <v>747</v>
      </c>
      <c r="D233" s="66" t="s">
        <v>680</v>
      </c>
      <c r="E233" s="66" t="s">
        <v>902</v>
      </c>
      <c r="F233" s="37" t="s">
        <v>686</v>
      </c>
      <c r="G233" s="71">
        <f>5825.2-5825.2</f>
        <v>0</v>
      </c>
      <c r="H233" s="82"/>
      <c r="I233" s="39" t="e">
        <f t="shared" si="8"/>
        <v>#DIV/0!</v>
      </c>
    </row>
    <row r="234" spans="1:9" ht="42.75" hidden="1">
      <c r="A234" s="103" t="s">
        <v>1013</v>
      </c>
      <c r="B234" s="104"/>
      <c r="C234" s="66" t="s">
        <v>747</v>
      </c>
      <c r="D234" s="66" t="s">
        <v>680</v>
      </c>
      <c r="E234" s="66" t="s">
        <v>1014</v>
      </c>
      <c r="F234" s="37"/>
      <c r="G234" s="71">
        <f>SUM(G235)</f>
        <v>0</v>
      </c>
      <c r="H234" s="82">
        <f>SUM(H235)</f>
        <v>0</v>
      </c>
      <c r="I234" s="39" t="e">
        <f t="shared" si="8"/>
        <v>#DIV/0!</v>
      </c>
    </row>
    <row r="235" spans="1:9" ht="28.5" hidden="1">
      <c r="A235" s="93" t="s">
        <v>1005</v>
      </c>
      <c r="B235" s="104"/>
      <c r="C235" s="66" t="s">
        <v>747</v>
      </c>
      <c r="D235" s="66" t="s">
        <v>680</v>
      </c>
      <c r="E235" s="66" t="s">
        <v>1015</v>
      </c>
      <c r="F235" s="37"/>
      <c r="G235" s="71">
        <f>SUM(G236)</f>
        <v>0</v>
      </c>
      <c r="H235" s="82">
        <f>SUM(H236)</f>
        <v>0</v>
      </c>
      <c r="I235" s="39" t="e">
        <f t="shared" si="8"/>
        <v>#DIV/0!</v>
      </c>
    </row>
    <row r="236" spans="1:9" ht="28.5" hidden="1">
      <c r="A236" s="40" t="s">
        <v>685</v>
      </c>
      <c r="B236" s="104"/>
      <c r="C236" s="66" t="s">
        <v>747</v>
      </c>
      <c r="D236" s="66" t="s">
        <v>680</v>
      </c>
      <c r="E236" s="66" t="s">
        <v>1015</v>
      </c>
      <c r="F236" s="37" t="s">
        <v>686</v>
      </c>
      <c r="G236" s="71">
        <f>4200.9-4200.9</f>
        <v>0</v>
      </c>
      <c r="H236" s="82">
        <f>4200.9-4200.9</f>
        <v>0</v>
      </c>
      <c r="I236" s="39" t="e">
        <f t="shared" si="8"/>
        <v>#DIV/0!</v>
      </c>
    </row>
    <row r="237" spans="1:9" s="108" customFormat="1" ht="16.5" customHeight="1">
      <c r="A237" s="105" t="s">
        <v>1016</v>
      </c>
      <c r="B237" s="52"/>
      <c r="C237" s="53" t="s">
        <v>747</v>
      </c>
      <c r="D237" s="53" t="s">
        <v>688</v>
      </c>
      <c r="E237" s="53"/>
      <c r="F237" s="41"/>
      <c r="G237" s="38">
        <f>SUM(G240+G257)+G238</f>
        <v>275494.39999999997</v>
      </c>
      <c r="H237" s="38">
        <f>SUM(H240+H257)+H238</f>
        <v>275398.79999999993</v>
      </c>
      <c r="I237" s="39">
        <f t="shared" si="8"/>
        <v>99.96529875017421</v>
      </c>
    </row>
    <row r="238" spans="1:9" s="106" customFormat="1" ht="76.5" customHeight="1" hidden="1">
      <c r="A238" s="105" t="s">
        <v>1017</v>
      </c>
      <c r="B238" s="52"/>
      <c r="C238" s="53" t="s">
        <v>747</v>
      </c>
      <c r="D238" s="53" t="s">
        <v>688</v>
      </c>
      <c r="E238" s="53" t="s">
        <v>1018</v>
      </c>
      <c r="F238" s="41"/>
      <c r="G238" s="38">
        <f>SUM(G239)</f>
        <v>0</v>
      </c>
      <c r="H238" s="39">
        <f>SUM(H239)</f>
        <v>0</v>
      </c>
      <c r="I238" s="39" t="e">
        <f t="shared" si="8"/>
        <v>#DIV/0!</v>
      </c>
    </row>
    <row r="239" spans="1:9" s="106" customFormat="1" ht="61.5" customHeight="1" hidden="1">
      <c r="A239" s="105" t="s">
        <v>1019</v>
      </c>
      <c r="B239" s="52"/>
      <c r="C239" s="53" t="s">
        <v>747</v>
      </c>
      <c r="D239" s="53" t="s">
        <v>688</v>
      </c>
      <c r="E239" s="53" t="s">
        <v>1018</v>
      </c>
      <c r="F239" s="41" t="s">
        <v>1020</v>
      </c>
      <c r="G239" s="38"/>
      <c r="H239" s="39"/>
      <c r="I239" s="39" t="e">
        <f t="shared" si="8"/>
        <v>#DIV/0!</v>
      </c>
    </row>
    <row r="240" spans="1:9" s="106" customFormat="1" ht="18.75" customHeight="1">
      <c r="A240" s="105" t="s">
        <v>1016</v>
      </c>
      <c r="B240" s="66"/>
      <c r="C240" s="53" t="s">
        <v>747</v>
      </c>
      <c r="D240" s="53" t="s">
        <v>688</v>
      </c>
      <c r="E240" s="66" t="s">
        <v>1021</v>
      </c>
      <c r="F240" s="69"/>
      <c r="G240" s="38">
        <f>SUM(G241+G246+G251+G254)+G249</f>
        <v>273647.6</v>
      </c>
      <c r="H240" s="39">
        <f>SUM(H241+H246+H251+H254)+H249</f>
        <v>273551.99999999994</v>
      </c>
      <c r="I240" s="39">
        <f t="shared" si="8"/>
        <v>99.96506455748194</v>
      </c>
    </row>
    <row r="241" spans="1:9" s="106" customFormat="1" ht="15.75" customHeight="1">
      <c r="A241" s="93" t="s">
        <v>1022</v>
      </c>
      <c r="B241" s="104"/>
      <c r="C241" s="53" t="s">
        <v>747</v>
      </c>
      <c r="D241" s="53" t="s">
        <v>688</v>
      </c>
      <c r="E241" s="66" t="s">
        <v>1023</v>
      </c>
      <c r="F241" s="69"/>
      <c r="G241" s="38">
        <f>SUM(G242:G244)</f>
        <v>36033.1</v>
      </c>
      <c r="H241" s="38">
        <f>SUM(H242:H244)</f>
        <v>36029.1</v>
      </c>
      <c r="I241" s="39">
        <f t="shared" si="8"/>
        <v>99.9888990955538</v>
      </c>
    </row>
    <row r="242" spans="1:9" s="106" customFormat="1" ht="15.75" customHeight="1">
      <c r="A242" s="34" t="s">
        <v>903</v>
      </c>
      <c r="B242" s="104"/>
      <c r="C242" s="53" t="s">
        <v>747</v>
      </c>
      <c r="D242" s="53" t="s">
        <v>688</v>
      </c>
      <c r="E242" s="66" t="s">
        <v>1023</v>
      </c>
      <c r="F242" s="69" t="s">
        <v>904</v>
      </c>
      <c r="G242" s="38">
        <v>1500</v>
      </c>
      <c r="H242" s="39">
        <v>1500</v>
      </c>
      <c r="I242" s="39">
        <f t="shared" si="8"/>
        <v>100</v>
      </c>
    </row>
    <row r="243" spans="1:9" s="106" customFormat="1" ht="27.75" customHeight="1">
      <c r="A243" s="40" t="s">
        <v>685</v>
      </c>
      <c r="B243" s="104"/>
      <c r="C243" s="53" t="s">
        <v>747</v>
      </c>
      <c r="D243" s="53" t="s">
        <v>688</v>
      </c>
      <c r="E243" s="66" t="s">
        <v>1023</v>
      </c>
      <c r="F243" s="69" t="s">
        <v>686</v>
      </c>
      <c r="G243" s="38">
        <v>34533.1</v>
      </c>
      <c r="H243" s="39">
        <v>34529.1</v>
      </c>
      <c r="I243" s="39">
        <f t="shared" si="8"/>
        <v>99.98841691015286</v>
      </c>
    </row>
    <row r="244" spans="1:9" s="106" customFormat="1" ht="27" customHeight="1" hidden="1">
      <c r="A244" s="40" t="s">
        <v>732</v>
      </c>
      <c r="B244" s="104"/>
      <c r="C244" s="53" t="s">
        <v>747</v>
      </c>
      <c r="D244" s="53" t="s">
        <v>688</v>
      </c>
      <c r="E244" s="66" t="s">
        <v>1024</v>
      </c>
      <c r="F244" s="69"/>
      <c r="G244" s="38">
        <f>SUM(G245)</f>
        <v>0</v>
      </c>
      <c r="H244" s="39">
        <f>SUM(H245)</f>
        <v>0</v>
      </c>
      <c r="I244" s="39" t="e">
        <f t="shared" si="8"/>
        <v>#DIV/0!</v>
      </c>
    </row>
    <row r="245" spans="1:9" s="106" customFormat="1" ht="27.75" customHeight="1" hidden="1">
      <c r="A245" s="40" t="s">
        <v>685</v>
      </c>
      <c r="B245" s="104"/>
      <c r="C245" s="53" t="s">
        <v>747</v>
      </c>
      <c r="D245" s="53" t="s">
        <v>688</v>
      </c>
      <c r="E245" s="66" t="s">
        <v>1024</v>
      </c>
      <c r="F245" s="69" t="s">
        <v>686</v>
      </c>
      <c r="G245" s="38"/>
      <c r="H245" s="39"/>
      <c r="I245" s="39" t="e">
        <f t="shared" si="8"/>
        <v>#DIV/0!</v>
      </c>
    </row>
    <row r="246" spans="1:9" s="106" customFormat="1" ht="43.5" customHeight="1">
      <c r="A246" s="93" t="s">
        <v>1025</v>
      </c>
      <c r="B246" s="104"/>
      <c r="C246" s="53" t="s">
        <v>747</v>
      </c>
      <c r="D246" s="53" t="s">
        <v>688</v>
      </c>
      <c r="E246" s="66" t="s">
        <v>1026</v>
      </c>
      <c r="F246" s="69"/>
      <c r="G246" s="38">
        <f>SUM(G248+G247)</f>
        <v>219181.7</v>
      </c>
      <c r="H246" s="38">
        <f>SUM(H248+H247)</f>
        <v>219181.69999999998</v>
      </c>
      <c r="I246" s="39">
        <f t="shared" si="8"/>
        <v>99.99999999999999</v>
      </c>
    </row>
    <row r="247" spans="1:10" s="55" customFormat="1" ht="15">
      <c r="A247" s="34" t="s">
        <v>903</v>
      </c>
      <c r="B247" s="104"/>
      <c r="C247" s="53" t="s">
        <v>747</v>
      </c>
      <c r="D247" s="53" t="s">
        <v>688</v>
      </c>
      <c r="E247" s="66" t="s">
        <v>1026</v>
      </c>
      <c r="F247" s="69" t="s">
        <v>904</v>
      </c>
      <c r="G247" s="38">
        <v>14894.8</v>
      </c>
      <c r="H247" s="39">
        <v>14894.8</v>
      </c>
      <c r="I247" s="39">
        <f t="shared" si="8"/>
        <v>100</v>
      </c>
      <c r="J247" s="86"/>
    </row>
    <row r="248" spans="1:9" s="106" customFormat="1" ht="14.25" customHeight="1">
      <c r="A248" s="40" t="s">
        <v>685</v>
      </c>
      <c r="B248" s="104"/>
      <c r="C248" s="53" t="s">
        <v>747</v>
      </c>
      <c r="D248" s="53" t="s">
        <v>688</v>
      </c>
      <c r="E248" s="66" t="s">
        <v>1026</v>
      </c>
      <c r="F248" s="69" t="s">
        <v>686</v>
      </c>
      <c r="G248" s="38">
        <f>53950+150000+11600+583.2-11600-206-10.3-30</f>
        <v>204286.90000000002</v>
      </c>
      <c r="H248" s="39">
        <v>204286.9</v>
      </c>
      <c r="I248" s="39">
        <f t="shared" si="8"/>
        <v>99.99999999999999</v>
      </c>
    </row>
    <row r="249" spans="1:9" ht="71.25">
      <c r="A249" s="40" t="s">
        <v>1027</v>
      </c>
      <c r="B249" s="104"/>
      <c r="C249" s="53" t="s">
        <v>747</v>
      </c>
      <c r="D249" s="53" t="s">
        <v>688</v>
      </c>
      <c r="E249" s="66" t="s">
        <v>1028</v>
      </c>
      <c r="F249" s="69"/>
      <c r="G249" s="38">
        <f>SUM(G250)</f>
        <v>2672.3</v>
      </c>
      <c r="H249" s="39">
        <f>SUM(H250)</f>
        <v>2671.8</v>
      </c>
      <c r="I249" s="39">
        <f t="shared" si="8"/>
        <v>99.98128952587658</v>
      </c>
    </row>
    <row r="250" spans="1:9" ht="29.25" customHeight="1">
      <c r="A250" s="40" t="s">
        <v>685</v>
      </c>
      <c r="B250" s="104"/>
      <c r="C250" s="53" t="s">
        <v>747</v>
      </c>
      <c r="D250" s="53" t="s">
        <v>688</v>
      </c>
      <c r="E250" s="66" t="s">
        <v>1028</v>
      </c>
      <c r="F250" s="69" t="s">
        <v>686</v>
      </c>
      <c r="G250" s="38">
        <v>2672.3</v>
      </c>
      <c r="H250" s="39">
        <v>2671.8</v>
      </c>
      <c r="I250" s="39">
        <f t="shared" si="8"/>
        <v>99.98128952587658</v>
      </c>
    </row>
    <row r="251" spans="1:9" ht="16.5" customHeight="1">
      <c r="A251" s="93" t="s">
        <v>1029</v>
      </c>
      <c r="B251" s="104"/>
      <c r="C251" s="53" t="s">
        <v>747</v>
      </c>
      <c r="D251" s="53" t="s">
        <v>688</v>
      </c>
      <c r="E251" s="66" t="s">
        <v>1030</v>
      </c>
      <c r="F251" s="69"/>
      <c r="G251" s="38">
        <f>SUM(G253+G252)</f>
        <v>817.3</v>
      </c>
      <c r="H251" s="39">
        <f>SUM(H253)</f>
        <v>817.3</v>
      </c>
      <c r="I251" s="39">
        <f t="shared" si="8"/>
        <v>100</v>
      </c>
    </row>
    <row r="252" spans="1:9" ht="16.5" customHeight="1" hidden="1">
      <c r="A252" s="34" t="s">
        <v>903</v>
      </c>
      <c r="B252" s="104"/>
      <c r="C252" s="53" t="s">
        <v>747</v>
      </c>
      <c r="D252" s="53" t="s">
        <v>688</v>
      </c>
      <c r="E252" s="66" t="s">
        <v>1030</v>
      </c>
      <c r="F252" s="69" t="s">
        <v>904</v>
      </c>
      <c r="G252" s="38">
        <f>294.8-294.8</f>
        <v>0</v>
      </c>
      <c r="H252" s="39"/>
      <c r="I252" s="39"/>
    </row>
    <row r="253" spans="1:9" s="108" customFormat="1" ht="27.75" customHeight="1">
      <c r="A253" s="40" t="s">
        <v>685</v>
      </c>
      <c r="B253" s="104"/>
      <c r="C253" s="53" t="s">
        <v>747</v>
      </c>
      <c r="D253" s="53" t="s">
        <v>688</v>
      </c>
      <c r="E253" s="66" t="s">
        <v>1030</v>
      </c>
      <c r="F253" s="69" t="s">
        <v>686</v>
      </c>
      <c r="G253" s="38">
        <f>800-82.7+554.7-454.7</f>
        <v>817.3</v>
      </c>
      <c r="H253" s="39">
        <v>817.3</v>
      </c>
      <c r="I253" s="39">
        <f t="shared" si="8"/>
        <v>100</v>
      </c>
    </row>
    <row r="254" spans="1:9" s="108" customFormat="1" ht="28.5">
      <c r="A254" s="93" t="s">
        <v>1031</v>
      </c>
      <c r="B254" s="104"/>
      <c r="C254" s="53" t="s">
        <v>747</v>
      </c>
      <c r="D254" s="53" t="s">
        <v>688</v>
      </c>
      <c r="E254" s="66" t="s">
        <v>1032</v>
      </c>
      <c r="F254" s="69"/>
      <c r="G254" s="38">
        <f>SUM(G256+G255)</f>
        <v>14943.2</v>
      </c>
      <c r="H254" s="38">
        <f>SUM(H256+H255)</f>
        <v>14852.1</v>
      </c>
      <c r="I254" s="39">
        <f t="shared" si="8"/>
        <v>99.39035815621821</v>
      </c>
    </row>
    <row r="255" spans="1:9" s="108" customFormat="1" ht="15">
      <c r="A255" s="34" t="s">
        <v>903</v>
      </c>
      <c r="B255" s="104"/>
      <c r="C255" s="53" t="s">
        <v>747</v>
      </c>
      <c r="D255" s="53" t="s">
        <v>688</v>
      </c>
      <c r="E255" s="66" t="s">
        <v>1032</v>
      </c>
      <c r="F255" s="69" t="s">
        <v>904</v>
      </c>
      <c r="G255" s="38">
        <f>190.2+250-0.2</f>
        <v>440</v>
      </c>
      <c r="H255" s="39">
        <v>440</v>
      </c>
      <c r="I255" s="39">
        <f t="shared" si="8"/>
        <v>100</v>
      </c>
    </row>
    <row r="256" spans="1:9" s="108" customFormat="1" ht="27" customHeight="1">
      <c r="A256" s="40" t="s">
        <v>685</v>
      </c>
      <c r="B256" s="104"/>
      <c r="C256" s="53" t="s">
        <v>747</v>
      </c>
      <c r="D256" s="53" t="s">
        <v>688</v>
      </c>
      <c r="E256" s="66" t="s">
        <v>1032</v>
      </c>
      <c r="F256" s="69" t="s">
        <v>686</v>
      </c>
      <c r="G256" s="38">
        <f>9363.9+13+6000+1415.9-1721.3-402.3+6000-1505-4626.2-34.8</f>
        <v>14503.2</v>
      </c>
      <c r="H256" s="39">
        <v>14412.1</v>
      </c>
      <c r="I256" s="39">
        <f t="shared" si="8"/>
        <v>99.37186276132164</v>
      </c>
    </row>
    <row r="257" spans="1:9" s="108" customFormat="1" ht="15">
      <c r="A257" s="93" t="s">
        <v>742</v>
      </c>
      <c r="B257" s="104"/>
      <c r="C257" s="53" t="s">
        <v>747</v>
      </c>
      <c r="D257" s="53" t="s">
        <v>688</v>
      </c>
      <c r="E257" s="66" t="s">
        <v>743</v>
      </c>
      <c r="F257" s="69"/>
      <c r="G257" s="38">
        <f>SUM(G258,G262)</f>
        <v>1846.8</v>
      </c>
      <c r="H257" s="38">
        <f>SUM(H258,H262)</f>
        <v>1846.8</v>
      </c>
      <c r="I257" s="39">
        <f t="shared" si="8"/>
        <v>100</v>
      </c>
    </row>
    <row r="258" spans="1:9" s="108" customFormat="1" ht="42.75">
      <c r="A258" s="40" t="s">
        <v>1033</v>
      </c>
      <c r="B258" s="104"/>
      <c r="C258" s="53" t="s">
        <v>747</v>
      </c>
      <c r="D258" s="53" t="s">
        <v>688</v>
      </c>
      <c r="E258" s="66" t="s">
        <v>1008</v>
      </c>
      <c r="F258" s="69"/>
      <c r="G258" s="38">
        <f>SUM(G260)+G259</f>
        <v>546.8</v>
      </c>
      <c r="H258" s="39">
        <f>SUM(H260)+H259</f>
        <v>546.8</v>
      </c>
      <c r="I258" s="39">
        <f t="shared" si="8"/>
        <v>100</v>
      </c>
    </row>
    <row r="259" spans="1:9" s="108" customFormat="1" ht="29.25" customHeight="1">
      <c r="A259" s="40" t="s">
        <v>685</v>
      </c>
      <c r="B259" s="104"/>
      <c r="C259" s="53" t="s">
        <v>747</v>
      </c>
      <c r="D259" s="53" t="s">
        <v>688</v>
      </c>
      <c r="E259" s="66" t="s">
        <v>1008</v>
      </c>
      <c r="F259" s="37" t="s">
        <v>686</v>
      </c>
      <c r="G259" s="71">
        <f>600-53.2</f>
        <v>546.8</v>
      </c>
      <c r="H259" s="82">
        <v>546.8</v>
      </c>
      <c r="I259" s="39">
        <f t="shared" si="8"/>
        <v>100</v>
      </c>
    </row>
    <row r="260" spans="1:9" s="108" customFormat="1" ht="39.75" customHeight="1" hidden="1">
      <c r="A260" s="93" t="s">
        <v>1034</v>
      </c>
      <c r="B260" s="109"/>
      <c r="C260" s="53" t="s">
        <v>747</v>
      </c>
      <c r="D260" s="53" t="s">
        <v>688</v>
      </c>
      <c r="E260" s="66" t="s">
        <v>1035</v>
      </c>
      <c r="F260" s="69" t="s">
        <v>686</v>
      </c>
      <c r="G260" s="71"/>
      <c r="H260" s="82"/>
      <c r="I260" s="39" t="e">
        <f t="shared" si="8"/>
        <v>#DIV/0!</v>
      </c>
    </row>
    <row r="261" spans="1:9" s="108" customFormat="1" ht="26.25" customHeight="1" hidden="1">
      <c r="A261" s="65" t="s">
        <v>1036</v>
      </c>
      <c r="B261" s="109"/>
      <c r="C261" s="53" t="s">
        <v>747</v>
      </c>
      <c r="D261" s="53" t="s">
        <v>688</v>
      </c>
      <c r="E261" s="66" t="s">
        <v>1037</v>
      </c>
      <c r="F261" s="69" t="s">
        <v>686</v>
      </c>
      <c r="G261" s="71"/>
      <c r="H261" s="82"/>
      <c r="I261" s="39" t="e">
        <f t="shared" si="8"/>
        <v>#DIV/0!</v>
      </c>
    </row>
    <row r="262" spans="1:9" ht="28.5">
      <c r="A262" s="51" t="s">
        <v>1038</v>
      </c>
      <c r="B262" s="35"/>
      <c r="C262" s="48" t="s">
        <v>747</v>
      </c>
      <c r="D262" s="48" t="s">
        <v>688</v>
      </c>
      <c r="E262" s="48" t="s">
        <v>1039</v>
      </c>
      <c r="F262" s="41"/>
      <c r="G262" s="71">
        <f>SUM(G263)</f>
        <v>1300</v>
      </c>
      <c r="H262" s="71">
        <f>SUM(H263)</f>
        <v>1300</v>
      </c>
      <c r="I262" s="39">
        <f t="shared" si="8"/>
        <v>100</v>
      </c>
    </row>
    <row r="263" spans="1:9" ht="15">
      <c r="A263" s="51" t="s">
        <v>903</v>
      </c>
      <c r="B263" s="35"/>
      <c r="C263" s="48" t="s">
        <v>747</v>
      </c>
      <c r="D263" s="48" t="s">
        <v>688</v>
      </c>
      <c r="E263" s="48" t="s">
        <v>1040</v>
      </c>
      <c r="F263" s="41" t="s">
        <v>904</v>
      </c>
      <c r="G263" s="71">
        <v>1300</v>
      </c>
      <c r="H263" s="82">
        <v>1300</v>
      </c>
      <c r="I263" s="39">
        <f t="shared" si="8"/>
        <v>100</v>
      </c>
    </row>
    <row r="264" spans="1:9" ht="28.5">
      <c r="A264" s="84" t="s">
        <v>1041</v>
      </c>
      <c r="B264" s="35"/>
      <c r="C264" s="53" t="s">
        <v>747</v>
      </c>
      <c r="D264" s="53" t="s">
        <v>747</v>
      </c>
      <c r="E264" s="53"/>
      <c r="F264" s="42"/>
      <c r="G264" s="38">
        <f>SUM(G265+G268+G275+G287)</f>
        <v>19615.2</v>
      </c>
      <c r="H264" s="38">
        <f>SUM(H265+H268+H275+H287)</f>
        <v>18053</v>
      </c>
      <c r="I264" s="39">
        <f t="shared" si="8"/>
        <v>92.03576817977894</v>
      </c>
    </row>
    <row r="265" spans="1:9" ht="20.25" customHeight="1">
      <c r="A265" s="34" t="s">
        <v>769</v>
      </c>
      <c r="B265" s="35"/>
      <c r="C265" s="53" t="s">
        <v>747</v>
      </c>
      <c r="D265" s="53" t="s">
        <v>747</v>
      </c>
      <c r="E265" s="36" t="s">
        <v>771</v>
      </c>
      <c r="F265" s="37"/>
      <c r="G265" s="38">
        <f>SUM(G267)</f>
        <v>105</v>
      </c>
      <c r="H265" s="39">
        <f>SUM(H267)</f>
        <v>105</v>
      </c>
      <c r="I265" s="39">
        <f t="shared" si="8"/>
        <v>100</v>
      </c>
    </row>
    <row r="266" spans="1:9" ht="15">
      <c r="A266" s="57" t="s">
        <v>740</v>
      </c>
      <c r="B266" s="35"/>
      <c r="C266" s="53" t="s">
        <v>747</v>
      </c>
      <c r="D266" s="53" t="s">
        <v>747</v>
      </c>
      <c r="E266" s="53" t="s">
        <v>741</v>
      </c>
      <c r="F266" s="41"/>
      <c r="G266" s="38">
        <f>SUM(G267)</f>
        <v>105</v>
      </c>
      <c r="H266" s="39">
        <f>SUM(H267)</f>
        <v>105</v>
      </c>
      <c r="I266" s="39">
        <f t="shared" si="8"/>
        <v>100</v>
      </c>
    </row>
    <row r="267" spans="1:9" ht="15">
      <c r="A267" s="51" t="s">
        <v>1042</v>
      </c>
      <c r="B267" s="35"/>
      <c r="C267" s="53" t="s">
        <v>747</v>
      </c>
      <c r="D267" s="53" t="s">
        <v>747</v>
      </c>
      <c r="E267" s="53" t="s">
        <v>741</v>
      </c>
      <c r="F267" s="41" t="s">
        <v>791</v>
      </c>
      <c r="G267" s="38">
        <f>70+35</f>
        <v>105</v>
      </c>
      <c r="H267" s="39">
        <v>105</v>
      </c>
      <c r="I267" s="39">
        <f t="shared" si="8"/>
        <v>100</v>
      </c>
    </row>
    <row r="268" spans="1:9" s="55" customFormat="1" ht="41.25" customHeight="1">
      <c r="A268" s="51" t="s">
        <v>787</v>
      </c>
      <c r="B268" s="52"/>
      <c r="C268" s="53" t="s">
        <v>747</v>
      </c>
      <c r="D268" s="53" t="s">
        <v>747</v>
      </c>
      <c r="E268" s="53" t="s">
        <v>726</v>
      </c>
      <c r="F268" s="41"/>
      <c r="G268" s="38">
        <f>SUM(G269+G272)</f>
        <v>4000</v>
      </c>
      <c r="H268" s="39">
        <f>SUM(H269+H272)</f>
        <v>3941.5</v>
      </c>
      <c r="I268" s="39">
        <f t="shared" si="8"/>
        <v>98.5375</v>
      </c>
    </row>
    <row r="269" spans="1:9" s="55" customFormat="1" ht="27.75" customHeight="1" hidden="1">
      <c r="A269" s="51" t="s">
        <v>1189</v>
      </c>
      <c r="B269" s="52"/>
      <c r="C269" s="53" t="s">
        <v>747</v>
      </c>
      <c r="D269" s="53" t="s">
        <v>747</v>
      </c>
      <c r="E269" s="53" t="s">
        <v>789</v>
      </c>
      <c r="F269" s="41"/>
      <c r="G269" s="38">
        <f>SUM(G270)</f>
        <v>0</v>
      </c>
      <c r="H269" s="39">
        <f>SUM(H270)</f>
        <v>0</v>
      </c>
      <c r="I269" s="39" t="e">
        <f aca="true" t="shared" si="10" ref="I269:I332">SUM(H269/G269*100)</f>
        <v>#DIV/0!</v>
      </c>
    </row>
    <row r="270" spans="1:9" s="55" customFormat="1" ht="18.75" customHeight="1" hidden="1">
      <c r="A270" s="51" t="s">
        <v>1042</v>
      </c>
      <c r="B270" s="52"/>
      <c r="C270" s="53" t="s">
        <v>747</v>
      </c>
      <c r="D270" s="53" t="s">
        <v>747</v>
      </c>
      <c r="E270" s="53" t="s">
        <v>789</v>
      </c>
      <c r="F270" s="41" t="s">
        <v>791</v>
      </c>
      <c r="G270" s="38"/>
      <c r="H270" s="39"/>
      <c r="I270" s="39" t="e">
        <f t="shared" si="10"/>
        <v>#DIV/0!</v>
      </c>
    </row>
    <row r="271" spans="1:9" ht="25.5" customHeight="1" hidden="1">
      <c r="A271" s="54" t="s">
        <v>1046</v>
      </c>
      <c r="B271" s="35"/>
      <c r="C271" s="53" t="s">
        <v>747</v>
      </c>
      <c r="D271" s="53" t="s">
        <v>747</v>
      </c>
      <c r="E271" s="53" t="s">
        <v>1047</v>
      </c>
      <c r="F271" s="42"/>
      <c r="G271" s="38"/>
      <c r="H271" s="39"/>
      <c r="I271" s="39" t="e">
        <f t="shared" si="10"/>
        <v>#DIV/0!</v>
      </c>
    </row>
    <row r="272" spans="1:9" ht="27.75" customHeight="1">
      <c r="A272" s="54" t="s">
        <v>727</v>
      </c>
      <c r="B272" s="35"/>
      <c r="C272" s="53" t="s">
        <v>747</v>
      </c>
      <c r="D272" s="53" t="s">
        <v>747</v>
      </c>
      <c r="E272" s="53" t="s">
        <v>1043</v>
      </c>
      <c r="F272" s="42"/>
      <c r="G272" s="38">
        <f>SUM(G274)</f>
        <v>4000</v>
      </c>
      <c r="H272" s="39">
        <f>SUM(H274)</f>
        <v>3941.5</v>
      </c>
      <c r="I272" s="39">
        <f t="shared" si="10"/>
        <v>98.5375</v>
      </c>
    </row>
    <row r="273" spans="1:9" ht="42.75" customHeight="1">
      <c r="A273" s="54" t="s">
        <v>1044</v>
      </c>
      <c r="B273" s="35"/>
      <c r="C273" s="53" t="s">
        <v>747</v>
      </c>
      <c r="D273" s="53" t="s">
        <v>747</v>
      </c>
      <c r="E273" s="53" t="s">
        <v>1045</v>
      </c>
      <c r="F273" s="42"/>
      <c r="G273" s="38">
        <f>SUM(G274)</f>
        <v>4000</v>
      </c>
      <c r="H273" s="39">
        <f>SUM(H274)</f>
        <v>3941.5</v>
      </c>
      <c r="I273" s="39">
        <f t="shared" si="10"/>
        <v>98.5375</v>
      </c>
    </row>
    <row r="274" spans="1:9" ht="19.5" customHeight="1">
      <c r="A274" s="51" t="s">
        <v>1042</v>
      </c>
      <c r="B274" s="35"/>
      <c r="C274" s="53" t="s">
        <v>747</v>
      </c>
      <c r="D274" s="53" t="s">
        <v>747</v>
      </c>
      <c r="E274" s="53" t="s">
        <v>1045</v>
      </c>
      <c r="F274" s="41" t="s">
        <v>791</v>
      </c>
      <c r="G274" s="71">
        <v>4000</v>
      </c>
      <c r="H274" s="82">
        <v>3941.5</v>
      </c>
      <c r="I274" s="39">
        <f t="shared" si="10"/>
        <v>98.5375</v>
      </c>
    </row>
    <row r="275" spans="1:9" ht="21.75" customHeight="1">
      <c r="A275" s="54" t="s">
        <v>906</v>
      </c>
      <c r="B275" s="66"/>
      <c r="C275" s="53" t="s">
        <v>747</v>
      </c>
      <c r="D275" s="53" t="s">
        <v>747</v>
      </c>
      <c r="E275" s="66" t="s">
        <v>907</v>
      </c>
      <c r="F275" s="41"/>
      <c r="G275" s="71">
        <f>SUM(G276+G281)</f>
        <v>10958.400000000001</v>
      </c>
      <c r="H275" s="82">
        <f>SUM(H276+H281)</f>
        <v>9504.3</v>
      </c>
      <c r="I275" s="39">
        <f t="shared" si="10"/>
        <v>86.7307271134472</v>
      </c>
    </row>
    <row r="276" spans="1:9" ht="47.25" customHeight="1">
      <c r="A276" s="34" t="s">
        <v>965</v>
      </c>
      <c r="B276" s="66"/>
      <c r="C276" s="53" t="s">
        <v>747</v>
      </c>
      <c r="D276" s="53" t="s">
        <v>747</v>
      </c>
      <c r="E276" s="66" t="s">
        <v>966</v>
      </c>
      <c r="F276" s="41"/>
      <c r="G276" s="71">
        <f>SUM(G277+G279)</f>
        <v>10958.400000000001</v>
      </c>
      <c r="H276" s="82">
        <f>SUM(H277+H279)</f>
        <v>9504.3</v>
      </c>
      <c r="I276" s="39">
        <f t="shared" si="10"/>
        <v>86.7307271134472</v>
      </c>
    </row>
    <row r="277" spans="1:9" ht="28.5">
      <c r="A277" s="54" t="s">
        <v>1005</v>
      </c>
      <c r="B277" s="35"/>
      <c r="C277" s="53" t="s">
        <v>747</v>
      </c>
      <c r="D277" s="53" t="s">
        <v>747</v>
      </c>
      <c r="E277" s="66" t="s">
        <v>1006</v>
      </c>
      <c r="F277" s="41"/>
      <c r="G277" s="71">
        <f>SUM(G278,G286)</f>
        <v>10958.400000000001</v>
      </c>
      <c r="H277" s="82">
        <f>SUM(H278,H286)</f>
        <v>9504.3</v>
      </c>
      <c r="I277" s="39">
        <f t="shared" si="10"/>
        <v>86.7307271134472</v>
      </c>
    </row>
    <row r="278" spans="1:9" ht="18.75" customHeight="1">
      <c r="A278" s="51" t="s">
        <v>1042</v>
      </c>
      <c r="B278" s="35"/>
      <c r="C278" s="53" t="s">
        <v>747</v>
      </c>
      <c r="D278" s="53" t="s">
        <v>747</v>
      </c>
      <c r="E278" s="66" t="s">
        <v>1006</v>
      </c>
      <c r="F278" s="41" t="s">
        <v>791</v>
      </c>
      <c r="G278" s="71">
        <f>5270-600.4-850.2+2220</f>
        <v>6039.400000000001</v>
      </c>
      <c r="H278" s="82">
        <v>5276.4</v>
      </c>
      <c r="I278" s="39">
        <f t="shared" si="10"/>
        <v>87.36629466503294</v>
      </c>
    </row>
    <row r="279" spans="1:9" ht="27" customHeight="1" hidden="1">
      <c r="A279" s="51" t="s">
        <v>1049</v>
      </c>
      <c r="B279" s="35"/>
      <c r="C279" s="53" t="s">
        <v>747</v>
      </c>
      <c r="D279" s="53" t="s">
        <v>747</v>
      </c>
      <c r="E279" s="66" t="s">
        <v>1050</v>
      </c>
      <c r="F279" s="41"/>
      <c r="G279" s="71">
        <f>SUM(G280)</f>
        <v>0</v>
      </c>
      <c r="H279" s="82">
        <f>SUM(H280)</f>
        <v>0</v>
      </c>
      <c r="I279" s="39" t="e">
        <f t="shared" si="10"/>
        <v>#DIV/0!</v>
      </c>
    </row>
    <row r="280" spans="1:9" ht="19.5" customHeight="1" hidden="1">
      <c r="A280" s="51" t="s">
        <v>1042</v>
      </c>
      <c r="B280" s="35"/>
      <c r="C280" s="53" t="s">
        <v>747</v>
      </c>
      <c r="D280" s="53" t="s">
        <v>747</v>
      </c>
      <c r="E280" s="66" t="s">
        <v>1050</v>
      </c>
      <c r="F280" s="41" t="s">
        <v>791</v>
      </c>
      <c r="G280" s="71"/>
      <c r="H280" s="82"/>
      <c r="I280" s="39" t="e">
        <f t="shared" si="10"/>
        <v>#DIV/0!</v>
      </c>
    </row>
    <row r="281" spans="1:9" ht="42.75" customHeight="1" hidden="1">
      <c r="A281" s="51" t="s">
        <v>1051</v>
      </c>
      <c r="B281" s="35"/>
      <c r="C281" s="53" t="s">
        <v>747</v>
      </c>
      <c r="D281" s="53" t="s">
        <v>747</v>
      </c>
      <c r="E281" s="66" t="s">
        <v>1052</v>
      </c>
      <c r="F281" s="41"/>
      <c r="G281" s="71">
        <f>SUM(G282)</f>
        <v>0</v>
      </c>
      <c r="H281" s="82">
        <f>SUM(H282)</f>
        <v>0</v>
      </c>
      <c r="I281" s="39" t="e">
        <f t="shared" si="10"/>
        <v>#DIV/0!</v>
      </c>
    </row>
    <row r="282" spans="1:9" ht="21.75" customHeight="1" hidden="1">
      <c r="A282" s="51" t="s">
        <v>1042</v>
      </c>
      <c r="B282" s="35"/>
      <c r="C282" s="53" t="s">
        <v>747</v>
      </c>
      <c r="D282" s="53" t="s">
        <v>747</v>
      </c>
      <c r="E282" s="66" t="s">
        <v>1052</v>
      </c>
      <c r="F282" s="41" t="s">
        <v>791</v>
      </c>
      <c r="G282" s="71"/>
      <c r="H282" s="82"/>
      <c r="I282" s="39" t="e">
        <f t="shared" si="10"/>
        <v>#DIV/0!</v>
      </c>
    </row>
    <row r="283" spans="1:9" ht="16.5" customHeight="1" hidden="1">
      <c r="A283" s="51" t="s">
        <v>1053</v>
      </c>
      <c r="B283" s="35"/>
      <c r="C283" s="53" t="s">
        <v>747</v>
      </c>
      <c r="D283" s="53" t="s">
        <v>747</v>
      </c>
      <c r="E283" s="66" t="s">
        <v>1054</v>
      </c>
      <c r="F283" s="41"/>
      <c r="G283" s="71">
        <f>SUM(G284)</f>
        <v>0</v>
      </c>
      <c r="H283" s="82">
        <f>SUM(H284)</f>
        <v>0</v>
      </c>
      <c r="I283" s="39" t="e">
        <f t="shared" si="10"/>
        <v>#DIV/0!</v>
      </c>
    </row>
    <row r="284" spans="1:9" ht="16.5" customHeight="1" hidden="1">
      <c r="A284" s="51" t="s">
        <v>1055</v>
      </c>
      <c r="B284" s="35"/>
      <c r="C284" s="53" t="s">
        <v>747</v>
      </c>
      <c r="D284" s="53" t="s">
        <v>747</v>
      </c>
      <c r="E284" s="66" t="s">
        <v>1056</v>
      </c>
      <c r="F284" s="41"/>
      <c r="G284" s="71">
        <f>SUM(G285)</f>
        <v>0</v>
      </c>
      <c r="H284" s="82">
        <f>SUM(H285)</f>
        <v>0</v>
      </c>
      <c r="I284" s="39" t="e">
        <f t="shared" si="10"/>
        <v>#DIV/0!</v>
      </c>
    </row>
    <row r="285" spans="1:9" ht="15" customHeight="1" hidden="1">
      <c r="A285" s="51" t="s">
        <v>1042</v>
      </c>
      <c r="B285" s="35"/>
      <c r="C285" s="53" t="s">
        <v>747</v>
      </c>
      <c r="D285" s="53" t="s">
        <v>747</v>
      </c>
      <c r="E285" s="66" t="s">
        <v>1056</v>
      </c>
      <c r="F285" s="41" t="s">
        <v>791</v>
      </c>
      <c r="G285" s="71"/>
      <c r="H285" s="82"/>
      <c r="I285" s="39" t="e">
        <f t="shared" si="10"/>
        <v>#DIV/0!</v>
      </c>
    </row>
    <row r="286" spans="1:9" ht="30" customHeight="1">
      <c r="A286" s="40" t="s">
        <v>685</v>
      </c>
      <c r="B286" s="35"/>
      <c r="C286" s="53" t="s">
        <v>747</v>
      </c>
      <c r="D286" s="53" t="s">
        <v>747</v>
      </c>
      <c r="E286" s="66" t="s">
        <v>1006</v>
      </c>
      <c r="F286" s="41" t="s">
        <v>686</v>
      </c>
      <c r="G286" s="71">
        <v>4919</v>
      </c>
      <c r="H286" s="82">
        <v>4227.9</v>
      </c>
      <c r="I286" s="39">
        <f t="shared" si="10"/>
        <v>85.95039642203699</v>
      </c>
    </row>
    <row r="287" spans="1:9" ht="15">
      <c r="A287" s="40" t="s">
        <v>742</v>
      </c>
      <c r="B287" s="35"/>
      <c r="C287" s="53" t="s">
        <v>747</v>
      </c>
      <c r="D287" s="53" t="s">
        <v>747</v>
      </c>
      <c r="E287" s="36" t="s">
        <v>743</v>
      </c>
      <c r="F287" s="42"/>
      <c r="G287" s="38">
        <f>SUM(G289+G291+G292+G298)</f>
        <v>4551.8</v>
      </c>
      <c r="H287" s="39">
        <f>SUM(H289+H291+H292+H298)</f>
        <v>4502.2</v>
      </c>
      <c r="I287" s="39">
        <f t="shared" si="10"/>
        <v>98.91032119161649</v>
      </c>
    </row>
    <row r="288" spans="1:9" ht="15">
      <c r="A288" s="51" t="s">
        <v>1042</v>
      </c>
      <c r="B288" s="35"/>
      <c r="C288" s="53" t="s">
        <v>747</v>
      </c>
      <c r="D288" s="53" t="s">
        <v>747</v>
      </c>
      <c r="E288" s="36" t="s">
        <v>743</v>
      </c>
      <c r="F288" s="42" t="s">
        <v>791</v>
      </c>
      <c r="G288" s="38">
        <f>SUM(G289)</f>
        <v>1341.5</v>
      </c>
      <c r="H288" s="39">
        <f>SUM(H289)</f>
        <v>1339</v>
      </c>
      <c r="I288" s="39">
        <f t="shared" si="10"/>
        <v>99.81364144614237</v>
      </c>
    </row>
    <row r="289" spans="1:9" ht="14.25" customHeight="1">
      <c r="A289" s="103" t="s">
        <v>1057</v>
      </c>
      <c r="B289" s="110"/>
      <c r="C289" s="111" t="s">
        <v>747</v>
      </c>
      <c r="D289" s="111" t="s">
        <v>747</v>
      </c>
      <c r="E289" s="66" t="s">
        <v>1058</v>
      </c>
      <c r="F289" s="42" t="s">
        <v>791</v>
      </c>
      <c r="G289" s="102">
        <f>520-20+100+79.9+100+334.8+226.8</f>
        <v>1341.5</v>
      </c>
      <c r="H289" s="236">
        <v>1339</v>
      </c>
      <c r="I289" s="39">
        <f t="shared" si="10"/>
        <v>99.81364144614237</v>
      </c>
    </row>
    <row r="290" spans="1:9" ht="28.5" hidden="1">
      <c r="A290" s="40" t="s">
        <v>685</v>
      </c>
      <c r="B290" s="104"/>
      <c r="C290" s="111" t="s">
        <v>747</v>
      </c>
      <c r="D290" s="111" t="s">
        <v>747</v>
      </c>
      <c r="E290" s="66" t="s">
        <v>743</v>
      </c>
      <c r="F290" s="69" t="s">
        <v>686</v>
      </c>
      <c r="G290" s="38">
        <f>SUM(G291)</f>
        <v>0</v>
      </c>
      <c r="H290" s="39">
        <f>SUM(H291)</f>
        <v>0</v>
      </c>
      <c r="I290" s="39" t="e">
        <f t="shared" si="10"/>
        <v>#DIV/0!</v>
      </c>
    </row>
    <row r="291" spans="1:9" ht="28.5" hidden="1">
      <c r="A291" s="93" t="s">
        <v>1009</v>
      </c>
      <c r="B291" s="104"/>
      <c r="C291" s="111" t="s">
        <v>747</v>
      </c>
      <c r="D291" s="111" t="s">
        <v>747</v>
      </c>
      <c r="E291" s="66" t="s">
        <v>1010</v>
      </c>
      <c r="F291" s="37" t="s">
        <v>686</v>
      </c>
      <c r="G291" s="71"/>
      <c r="H291" s="82"/>
      <c r="I291" s="39" t="e">
        <f t="shared" si="10"/>
        <v>#DIV/0!</v>
      </c>
    </row>
    <row r="292" spans="1:9" ht="28.5" customHeight="1">
      <c r="A292" s="51" t="s">
        <v>984</v>
      </c>
      <c r="B292" s="35"/>
      <c r="C292" s="53" t="s">
        <v>747</v>
      </c>
      <c r="D292" s="53" t="s">
        <v>747</v>
      </c>
      <c r="E292" s="36" t="s">
        <v>1014</v>
      </c>
      <c r="F292" s="42"/>
      <c r="G292" s="38">
        <f>SUM(G293+G296)</f>
        <v>3210.3</v>
      </c>
      <c r="H292" s="39">
        <f>SUM(H293+H296)</f>
        <v>3163.2</v>
      </c>
      <c r="I292" s="39">
        <f t="shared" si="10"/>
        <v>98.53284739743948</v>
      </c>
    </row>
    <row r="293" spans="1:9" ht="28.5" customHeight="1">
      <c r="A293" s="103" t="s">
        <v>1005</v>
      </c>
      <c r="B293" s="110"/>
      <c r="C293" s="53" t="s">
        <v>747</v>
      </c>
      <c r="D293" s="53" t="s">
        <v>747</v>
      </c>
      <c r="E293" s="36" t="s">
        <v>1015</v>
      </c>
      <c r="F293" s="42"/>
      <c r="G293" s="102">
        <f>SUM(G294:G295)</f>
        <v>2329.5</v>
      </c>
      <c r="H293" s="236">
        <f>SUM(H294:H295)</f>
        <v>2282.4</v>
      </c>
      <c r="I293" s="39">
        <f t="shared" si="10"/>
        <v>97.97810688989054</v>
      </c>
    </row>
    <row r="294" spans="1:9" ht="15.75" customHeight="1">
      <c r="A294" s="51" t="s">
        <v>1042</v>
      </c>
      <c r="B294" s="35"/>
      <c r="C294" s="53" t="s">
        <v>747</v>
      </c>
      <c r="D294" s="53" t="s">
        <v>747</v>
      </c>
      <c r="E294" s="36" t="s">
        <v>1015</v>
      </c>
      <c r="F294" s="41" t="s">
        <v>791</v>
      </c>
      <c r="G294" s="71">
        <f>2170-98.5-95.6+250-0.3+0.3+103.6</f>
        <v>2329.5</v>
      </c>
      <c r="H294" s="82">
        <v>2282.4</v>
      </c>
      <c r="I294" s="39">
        <f t="shared" si="10"/>
        <v>97.97810688989054</v>
      </c>
    </row>
    <row r="295" spans="1:9" ht="28.5" customHeight="1" hidden="1">
      <c r="A295" s="40" t="s">
        <v>685</v>
      </c>
      <c r="B295" s="104"/>
      <c r="C295" s="53" t="s">
        <v>747</v>
      </c>
      <c r="D295" s="53" t="s">
        <v>747</v>
      </c>
      <c r="E295" s="36" t="s">
        <v>1015</v>
      </c>
      <c r="F295" s="69" t="s">
        <v>686</v>
      </c>
      <c r="G295" s="38"/>
      <c r="H295" s="39"/>
      <c r="I295" s="39" t="e">
        <f t="shared" si="10"/>
        <v>#DIV/0!</v>
      </c>
    </row>
    <row r="296" spans="1:9" ht="36.75" customHeight="1">
      <c r="A296" s="93" t="s">
        <v>1059</v>
      </c>
      <c r="B296" s="35"/>
      <c r="C296" s="53" t="s">
        <v>747</v>
      </c>
      <c r="D296" s="53" t="s">
        <v>747</v>
      </c>
      <c r="E296" s="36" t="s">
        <v>932</v>
      </c>
      <c r="F296" s="42"/>
      <c r="G296" s="38">
        <f>SUM(G297)</f>
        <v>880.8</v>
      </c>
      <c r="H296" s="39">
        <f>SUM(H297)</f>
        <v>880.8</v>
      </c>
      <c r="I296" s="39">
        <f t="shared" si="10"/>
        <v>100</v>
      </c>
    </row>
    <row r="297" spans="1:9" ht="16.5" customHeight="1">
      <c r="A297" s="51" t="s">
        <v>1042</v>
      </c>
      <c r="B297" s="35"/>
      <c r="C297" s="53" t="s">
        <v>747</v>
      </c>
      <c r="D297" s="53" t="s">
        <v>747</v>
      </c>
      <c r="E297" s="36" t="s">
        <v>932</v>
      </c>
      <c r="F297" s="41" t="s">
        <v>791</v>
      </c>
      <c r="G297" s="71">
        <v>880.8</v>
      </c>
      <c r="H297" s="82">
        <v>880.8</v>
      </c>
      <c r="I297" s="39">
        <f t="shared" si="10"/>
        <v>100</v>
      </c>
    </row>
    <row r="298" spans="1:9" ht="42.75" customHeight="1" hidden="1">
      <c r="A298" s="51" t="s">
        <v>1060</v>
      </c>
      <c r="B298" s="35"/>
      <c r="C298" s="53" t="s">
        <v>747</v>
      </c>
      <c r="D298" s="53" t="s">
        <v>747</v>
      </c>
      <c r="E298" s="66" t="s">
        <v>990</v>
      </c>
      <c r="F298" s="41"/>
      <c r="G298" s="71">
        <f>SUM(G299)</f>
        <v>0</v>
      </c>
      <c r="H298" s="82">
        <f>SUM(H299)</f>
        <v>0</v>
      </c>
      <c r="I298" s="39" t="e">
        <f t="shared" si="10"/>
        <v>#DIV/0!</v>
      </c>
    </row>
    <row r="299" spans="1:9" ht="18" customHeight="1" hidden="1">
      <c r="A299" s="51" t="s">
        <v>1042</v>
      </c>
      <c r="B299" s="35"/>
      <c r="C299" s="53" t="s">
        <v>747</v>
      </c>
      <c r="D299" s="53" t="s">
        <v>747</v>
      </c>
      <c r="E299" s="66" t="s">
        <v>990</v>
      </c>
      <c r="F299" s="41" t="s">
        <v>791</v>
      </c>
      <c r="G299" s="71"/>
      <c r="H299" s="82"/>
      <c r="I299" s="39" t="e">
        <f t="shared" si="10"/>
        <v>#DIV/0!</v>
      </c>
    </row>
    <row r="300" spans="1:9" ht="26.25" customHeight="1">
      <c r="A300" s="34" t="s">
        <v>1061</v>
      </c>
      <c r="B300" s="35"/>
      <c r="C300" s="36" t="s">
        <v>751</v>
      </c>
      <c r="D300" s="36"/>
      <c r="E300" s="36"/>
      <c r="F300" s="37"/>
      <c r="G300" s="38">
        <f>SUM(G301)+G305</f>
        <v>4392.3</v>
      </c>
      <c r="H300" s="39">
        <f>SUM(H301)+H305</f>
        <v>3712.8</v>
      </c>
      <c r="I300" s="39">
        <f t="shared" si="10"/>
        <v>84.52974523598115</v>
      </c>
    </row>
    <row r="301" spans="1:9" ht="31.5" customHeight="1">
      <c r="A301" s="34" t="s">
        <v>1062</v>
      </c>
      <c r="B301" s="35"/>
      <c r="C301" s="36" t="s">
        <v>751</v>
      </c>
      <c r="D301" s="36" t="s">
        <v>688</v>
      </c>
      <c r="E301" s="36"/>
      <c r="F301" s="37"/>
      <c r="G301" s="38">
        <f>SUM(G304)</f>
        <v>3177.4</v>
      </c>
      <c r="H301" s="39">
        <f>SUM(H304)</f>
        <v>3177.1</v>
      </c>
      <c r="I301" s="39">
        <f t="shared" si="10"/>
        <v>99.99055831812173</v>
      </c>
    </row>
    <row r="302" spans="1:9" ht="15.75" customHeight="1">
      <c r="A302" s="34" t="s">
        <v>1063</v>
      </c>
      <c r="B302" s="35"/>
      <c r="C302" s="36" t="s">
        <v>751</v>
      </c>
      <c r="D302" s="36" t="s">
        <v>688</v>
      </c>
      <c r="E302" s="36" t="s">
        <v>1064</v>
      </c>
      <c r="F302" s="37"/>
      <c r="G302" s="38">
        <f>SUM(G303)</f>
        <v>3177.4</v>
      </c>
      <c r="H302" s="39">
        <f>SUM(H303)</f>
        <v>3177.1</v>
      </c>
      <c r="I302" s="39">
        <f t="shared" si="10"/>
        <v>99.99055831812173</v>
      </c>
    </row>
    <row r="303" spans="1:9" ht="28.5">
      <c r="A303" s="74" t="s">
        <v>780</v>
      </c>
      <c r="B303" s="114"/>
      <c r="C303" s="73" t="s">
        <v>751</v>
      </c>
      <c r="D303" s="73" t="s">
        <v>688</v>
      </c>
      <c r="E303" s="73" t="s">
        <v>1065</v>
      </c>
      <c r="F303" s="42"/>
      <c r="G303" s="38">
        <f>SUM(G304)</f>
        <v>3177.4</v>
      </c>
      <c r="H303" s="39">
        <f>SUM(H304)</f>
        <v>3177.1</v>
      </c>
      <c r="I303" s="39">
        <f t="shared" si="10"/>
        <v>99.99055831812173</v>
      </c>
    </row>
    <row r="304" spans="1:9" ht="21.75" customHeight="1">
      <c r="A304" s="57" t="s">
        <v>782</v>
      </c>
      <c r="B304" s="35"/>
      <c r="C304" s="36" t="s">
        <v>751</v>
      </c>
      <c r="D304" s="36" t="s">
        <v>688</v>
      </c>
      <c r="E304" s="73" t="s">
        <v>1065</v>
      </c>
      <c r="F304" s="42" t="s">
        <v>783</v>
      </c>
      <c r="G304" s="38">
        <f>3089.9+14.5+73</f>
        <v>3177.4</v>
      </c>
      <c r="H304" s="39">
        <v>3177.1</v>
      </c>
      <c r="I304" s="39">
        <f t="shared" si="10"/>
        <v>99.99055831812173</v>
      </c>
    </row>
    <row r="305" spans="1:9" ht="28.5" customHeight="1">
      <c r="A305" s="46" t="s">
        <v>1066</v>
      </c>
      <c r="B305" s="35"/>
      <c r="C305" s="81" t="s">
        <v>751</v>
      </c>
      <c r="D305" s="81" t="s">
        <v>747</v>
      </c>
      <c r="E305" s="81"/>
      <c r="F305" s="68"/>
      <c r="G305" s="71">
        <f>SUM(G306+G309)</f>
        <v>1214.9</v>
      </c>
      <c r="H305" s="82">
        <f>SUM(H306+H309)</f>
        <v>535.7</v>
      </c>
      <c r="I305" s="39">
        <f t="shared" si="10"/>
        <v>44.094164128734874</v>
      </c>
    </row>
    <row r="306" spans="1:9" ht="19.5" customHeight="1" hidden="1">
      <c r="A306" s="54" t="s">
        <v>906</v>
      </c>
      <c r="B306" s="35"/>
      <c r="C306" s="81" t="s">
        <v>751</v>
      </c>
      <c r="D306" s="81" t="s">
        <v>747</v>
      </c>
      <c r="E306" s="36" t="s">
        <v>907</v>
      </c>
      <c r="F306" s="68"/>
      <c r="G306" s="71">
        <f>SUM(G307)</f>
        <v>0</v>
      </c>
      <c r="H306" s="82">
        <f>SUM(H307)</f>
        <v>0</v>
      </c>
      <c r="I306" s="39" t="e">
        <f t="shared" si="10"/>
        <v>#DIV/0!</v>
      </c>
    </row>
    <row r="307" spans="1:9" ht="42.75" customHeight="1" hidden="1">
      <c r="A307" s="54" t="s">
        <v>1067</v>
      </c>
      <c r="B307" s="35"/>
      <c r="C307" s="81" t="s">
        <v>751</v>
      </c>
      <c r="D307" s="81" t="s">
        <v>747</v>
      </c>
      <c r="E307" s="36" t="s">
        <v>1068</v>
      </c>
      <c r="F307" s="42"/>
      <c r="G307" s="71">
        <f>SUM(G308)</f>
        <v>0</v>
      </c>
      <c r="H307" s="82">
        <f>SUM(H308)</f>
        <v>0</v>
      </c>
      <c r="I307" s="39" t="e">
        <f t="shared" si="10"/>
        <v>#DIV/0!</v>
      </c>
    </row>
    <row r="308" spans="1:9" ht="21" customHeight="1" hidden="1">
      <c r="A308" s="51" t="s">
        <v>1042</v>
      </c>
      <c r="B308" s="35"/>
      <c r="C308" s="81" t="s">
        <v>751</v>
      </c>
      <c r="D308" s="81" t="s">
        <v>747</v>
      </c>
      <c r="E308" s="36" t="s">
        <v>1068</v>
      </c>
      <c r="F308" s="42" t="s">
        <v>791</v>
      </c>
      <c r="G308" s="71"/>
      <c r="H308" s="82"/>
      <c r="I308" s="39" t="e">
        <f t="shared" si="10"/>
        <v>#DIV/0!</v>
      </c>
    </row>
    <row r="309" spans="1:9" ht="20.25" customHeight="1">
      <c r="A309" s="40" t="s">
        <v>742</v>
      </c>
      <c r="B309" s="35"/>
      <c r="C309" s="81" t="s">
        <v>751</v>
      </c>
      <c r="D309" s="81" t="s">
        <v>747</v>
      </c>
      <c r="E309" s="36" t="s">
        <v>743</v>
      </c>
      <c r="F309" s="68"/>
      <c r="G309" s="71">
        <f>SUM(G313+G317)</f>
        <v>1214.9</v>
      </c>
      <c r="H309" s="82">
        <f>SUM(H313+H317)</f>
        <v>535.7</v>
      </c>
      <c r="I309" s="39">
        <f t="shared" si="10"/>
        <v>44.094164128734874</v>
      </c>
    </row>
    <row r="310" spans="1:9" ht="24" customHeight="1" hidden="1">
      <c r="A310" s="54" t="s">
        <v>1069</v>
      </c>
      <c r="B310" s="35"/>
      <c r="C310" s="81" t="s">
        <v>751</v>
      </c>
      <c r="D310" s="81" t="s">
        <v>747</v>
      </c>
      <c r="E310" s="36" t="s">
        <v>743</v>
      </c>
      <c r="F310" s="68" t="s">
        <v>1070</v>
      </c>
      <c r="G310" s="71"/>
      <c r="H310" s="82"/>
      <c r="I310" s="39" t="e">
        <f t="shared" si="10"/>
        <v>#DIV/0!</v>
      </c>
    </row>
    <row r="311" spans="1:9" ht="22.5" customHeight="1" hidden="1">
      <c r="A311" s="117" t="s">
        <v>1071</v>
      </c>
      <c r="B311" s="35"/>
      <c r="C311" s="81" t="s">
        <v>751</v>
      </c>
      <c r="D311" s="81" t="s">
        <v>747</v>
      </c>
      <c r="E311" s="118" t="s">
        <v>743</v>
      </c>
      <c r="F311" s="119" t="s">
        <v>1070</v>
      </c>
      <c r="G311" s="120"/>
      <c r="H311" s="237"/>
      <c r="I311" s="39" t="e">
        <f t="shared" si="10"/>
        <v>#DIV/0!</v>
      </c>
    </row>
    <row r="312" spans="1:9" ht="0.75" customHeight="1" hidden="1">
      <c r="A312" s="57" t="s">
        <v>782</v>
      </c>
      <c r="B312" s="35"/>
      <c r="C312" s="81" t="s">
        <v>751</v>
      </c>
      <c r="D312" s="81" t="s">
        <v>747</v>
      </c>
      <c r="E312" s="81" t="s">
        <v>743</v>
      </c>
      <c r="F312" s="68" t="s">
        <v>783</v>
      </c>
      <c r="G312" s="71"/>
      <c r="H312" s="82"/>
      <c r="I312" s="39" t="e">
        <f t="shared" si="10"/>
        <v>#DIV/0!</v>
      </c>
    </row>
    <row r="313" spans="1:9" ht="27.75" customHeight="1">
      <c r="A313" s="46" t="s">
        <v>1071</v>
      </c>
      <c r="B313" s="35"/>
      <c r="C313" s="81" t="s">
        <v>751</v>
      </c>
      <c r="D313" s="81" t="s">
        <v>747</v>
      </c>
      <c r="E313" s="81" t="s">
        <v>1040</v>
      </c>
      <c r="F313" s="68"/>
      <c r="G313" s="71">
        <f>SUM(G314:G316)</f>
        <v>1214.9</v>
      </c>
      <c r="H313" s="82">
        <f>SUM(H314:H316)</f>
        <v>535.7</v>
      </c>
      <c r="I313" s="39">
        <f t="shared" si="10"/>
        <v>44.094164128734874</v>
      </c>
    </row>
    <row r="314" spans="1:9" ht="15.75" customHeight="1" hidden="1">
      <c r="A314" s="51" t="s">
        <v>1042</v>
      </c>
      <c r="B314" s="35"/>
      <c r="C314" s="81" t="s">
        <v>751</v>
      </c>
      <c r="D314" s="81" t="s">
        <v>747</v>
      </c>
      <c r="E314" s="81" t="s">
        <v>1040</v>
      </c>
      <c r="F314" s="42" t="s">
        <v>791</v>
      </c>
      <c r="G314" s="71"/>
      <c r="H314" s="82"/>
      <c r="I314" s="39" t="e">
        <f t="shared" si="10"/>
        <v>#DIV/0!</v>
      </c>
    </row>
    <row r="315" spans="1:9" ht="15" hidden="1">
      <c r="A315" s="51" t="s">
        <v>903</v>
      </c>
      <c r="B315" s="35"/>
      <c r="C315" s="48" t="s">
        <v>751</v>
      </c>
      <c r="D315" s="48" t="s">
        <v>747</v>
      </c>
      <c r="E315" s="48" t="s">
        <v>1039</v>
      </c>
      <c r="F315" s="41" t="s">
        <v>904</v>
      </c>
      <c r="G315" s="71">
        <f>1300-1300</f>
        <v>0</v>
      </c>
      <c r="H315" s="82"/>
      <c r="I315" s="39"/>
    </row>
    <row r="316" spans="1:9" ht="15">
      <c r="A316" s="57" t="s">
        <v>1072</v>
      </c>
      <c r="B316" s="35"/>
      <c r="C316" s="81" t="s">
        <v>751</v>
      </c>
      <c r="D316" s="81" t="s">
        <v>747</v>
      </c>
      <c r="E316" s="81" t="s">
        <v>1040</v>
      </c>
      <c r="F316" s="68" t="s">
        <v>1073</v>
      </c>
      <c r="G316" s="71">
        <f>1704.5+810.4-1300</f>
        <v>1214.9</v>
      </c>
      <c r="H316" s="82">
        <v>535.7</v>
      </c>
      <c r="I316" s="39">
        <f t="shared" si="10"/>
        <v>44.094164128734874</v>
      </c>
    </row>
    <row r="317" spans="1:9" ht="26.25" customHeight="1" hidden="1">
      <c r="A317" s="121" t="s">
        <v>1074</v>
      </c>
      <c r="B317" s="35"/>
      <c r="C317" s="81" t="s">
        <v>751</v>
      </c>
      <c r="D317" s="81" t="s">
        <v>747</v>
      </c>
      <c r="E317" s="81" t="s">
        <v>1075</v>
      </c>
      <c r="F317" s="68"/>
      <c r="G317" s="71">
        <f>SUM(G318:G319)</f>
        <v>0</v>
      </c>
      <c r="H317" s="82">
        <f>SUM(H318:H319)</f>
        <v>0</v>
      </c>
      <c r="I317" s="39" t="e">
        <f t="shared" si="10"/>
        <v>#DIV/0!</v>
      </c>
    </row>
    <row r="318" spans="1:9" ht="15.75" customHeight="1" hidden="1">
      <c r="A318" s="51" t="s">
        <v>1042</v>
      </c>
      <c r="B318" s="35"/>
      <c r="C318" s="81" t="s">
        <v>751</v>
      </c>
      <c r="D318" s="81" t="s">
        <v>747</v>
      </c>
      <c r="E318" s="81" t="s">
        <v>1075</v>
      </c>
      <c r="F318" s="42" t="s">
        <v>791</v>
      </c>
      <c r="G318" s="71"/>
      <c r="H318" s="82"/>
      <c r="I318" s="39" t="e">
        <f t="shared" si="10"/>
        <v>#DIV/0!</v>
      </c>
    </row>
    <row r="319" spans="1:9" ht="18" customHeight="1" hidden="1">
      <c r="A319" s="57" t="s">
        <v>1072</v>
      </c>
      <c r="B319" s="35"/>
      <c r="C319" s="81" t="s">
        <v>751</v>
      </c>
      <c r="D319" s="81" t="s">
        <v>747</v>
      </c>
      <c r="E319" s="81" t="s">
        <v>1075</v>
      </c>
      <c r="F319" s="68" t="s">
        <v>1076</v>
      </c>
      <c r="G319" s="71"/>
      <c r="H319" s="82"/>
      <c r="I319" s="39" t="e">
        <f t="shared" si="10"/>
        <v>#DIV/0!</v>
      </c>
    </row>
    <row r="320" spans="1:9" ht="14.25" customHeight="1" hidden="1">
      <c r="A320" s="40" t="s">
        <v>700</v>
      </c>
      <c r="B320" s="43"/>
      <c r="C320" s="81" t="s">
        <v>701</v>
      </c>
      <c r="D320" s="81"/>
      <c r="E320" s="81"/>
      <c r="F320" s="68"/>
      <c r="G320" s="71">
        <f>SUM(G321+G325+G339+G332)</f>
        <v>0</v>
      </c>
      <c r="H320" s="82">
        <f>SUM(H321+H325+H339+H332)</f>
        <v>0</v>
      </c>
      <c r="I320" s="39" t="e">
        <f t="shared" si="10"/>
        <v>#DIV/0!</v>
      </c>
    </row>
    <row r="321" spans="1:9" ht="15" hidden="1">
      <c r="A321" s="40" t="s">
        <v>1083</v>
      </c>
      <c r="B321" s="128"/>
      <c r="C321" s="48" t="s">
        <v>701</v>
      </c>
      <c r="D321" s="48" t="s">
        <v>678</v>
      </c>
      <c r="E321" s="48"/>
      <c r="F321" s="133"/>
      <c r="G321" s="38">
        <f aca="true" t="shared" si="11" ref="G321:H323">SUM(G322)</f>
        <v>0</v>
      </c>
      <c r="H321" s="39">
        <f t="shared" si="11"/>
        <v>0</v>
      </c>
      <c r="I321" s="39" t="e">
        <f t="shared" si="10"/>
        <v>#DIV/0!</v>
      </c>
    </row>
    <row r="322" spans="1:9" ht="15" hidden="1">
      <c r="A322" s="40" t="s">
        <v>1084</v>
      </c>
      <c r="B322" s="128"/>
      <c r="C322" s="48" t="s">
        <v>701</v>
      </c>
      <c r="D322" s="48" t="s">
        <v>678</v>
      </c>
      <c r="E322" s="48" t="s">
        <v>1085</v>
      </c>
      <c r="F322" s="133"/>
      <c r="G322" s="38">
        <f t="shared" si="11"/>
        <v>0</v>
      </c>
      <c r="H322" s="39">
        <f t="shared" si="11"/>
        <v>0</v>
      </c>
      <c r="I322" s="39" t="e">
        <f t="shared" si="10"/>
        <v>#DIV/0!</v>
      </c>
    </row>
    <row r="323" spans="1:9" ht="28.5" hidden="1">
      <c r="A323" s="40" t="s">
        <v>780</v>
      </c>
      <c r="B323" s="128"/>
      <c r="C323" s="48" t="s">
        <v>701</v>
      </c>
      <c r="D323" s="48" t="s">
        <v>678</v>
      </c>
      <c r="E323" s="48" t="s">
        <v>1086</v>
      </c>
      <c r="F323" s="133"/>
      <c r="G323" s="38">
        <f t="shared" si="11"/>
        <v>0</v>
      </c>
      <c r="H323" s="39">
        <f t="shared" si="11"/>
        <v>0</v>
      </c>
      <c r="I323" s="39" t="e">
        <f t="shared" si="10"/>
        <v>#DIV/0!</v>
      </c>
    </row>
    <row r="324" spans="1:9" ht="15" hidden="1">
      <c r="A324" s="57" t="s">
        <v>782</v>
      </c>
      <c r="B324" s="72"/>
      <c r="C324" s="238" t="s">
        <v>701</v>
      </c>
      <c r="D324" s="238" t="s">
        <v>678</v>
      </c>
      <c r="E324" s="238" t="s">
        <v>1086</v>
      </c>
      <c r="F324" s="239" t="s">
        <v>783</v>
      </c>
      <c r="G324" s="38"/>
      <c r="H324" s="39"/>
      <c r="I324" s="39" t="e">
        <f t="shared" si="10"/>
        <v>#DIV/0!</v>
      </c>
    </row>
    <row r="325" spans="1:9" ht="15" hidden="1">
      <c r="A325" s="40" t="s">
        <v>1101</v>
      </c>
      <c r="B325" s="128"/>
      <c r="C325" s="53" t="s">
        <v>701</v>
      </c>
      <c r="D325" s="53" t="s">
        <v>680</v>
      </c>
      <c r="E325" s="53"/>
      <c r="F325" s="41"/>
      <c r="G325" s="38">
        <f>SUM(G326+G329)</f>
        <v>0</v>
      </c>
      <c r="H325" s="39">
        <f>SUM(H326+H329)</f>
        <v>0</v>
      </c>
      <c r="I325" s="39" t="e">
        <f t="shared" si="10"/>
        <v>#DIV/0!</v>
      </c>
    </row>
    <row r="326" spans="1:9" ht="14.25" customHeight="1" hidden="1">
      <c r="A326" s="34" t="s">
        <v>1126</v>
      </c>
      <c r="B326" s="128"/>
      <c r="C326" s="53" t="s">
        <v>701</v>
      </c>
      <c r="D326" s="53" t="s">
        <v>680</v>
      </c>
      <c r="E326" s="53" t="s">
        <v>1431</v>
      </c>
      <c r="F326" s="41"/>
      <c r="G326" s="38">
        <f>SUM(G327)</f>
        <v>0</v>
      </c>
      <c r="H326" s="39">
        <f>SUM(H327)</f>
        <v>0</v>
      </c>
      <c r="I326" s="39" t="e">
        <f t="shared" si="10"/>
        <v>#DIV/0!</v>
      </c>
    </row>
    <row r="327" spans="1:9" ht="28.5" hidden="1">
      <c r="A327" s="40" t="s">
        <v>780</v>
      </c>
      <c r="B327" s="128"/>
      <c r="C327" s="53" t="s">
        <v>701</v>
      </c>
      <c r="D327" s="53" t="s">
        <v>680</v>
      </c>
      <c r="E327" s="53" t="s">
        <v>1128</v>
      </c>
      <c r="F327" s="41"/>
      <c r="G327" s="38">
        <f>SUM(G328)</f>
        <v>0</v>
      </c>
      <c r="H327" s="39">
        <f>SUM(H328)</f>
        <v>0</v>
      </c>
      <c r="I327" s="39" t="e">
        <f t="shared" si="10"/>
        <v>#DIV/0!</v>
      </c>
    </row>
    <row r="328" spans="1:9" ht="15" customHeight="1" hidden="1">
      <c r="A328" s="57" t="s">
        <v>782</v>
      </c>
      <c r="B328" s="72"/>
      <c r="C328" s="73" t="s">
        <v>701</v>
      </c>
      <c r="D328" s="73" t="s">
        <v>680</v>
      </c>
      <c r="E328" s="53" t="s">
        <v>1128</v>
      </c>
      <c r="F328" s="42" t="s">
        <v>783</v>
      </c>
      <c r="G328" s="38"/>
      <c r="H328" s="39"/>
      <c r="I328" s="39" t="e">
        <f t="shared" si="10"/>
        <v>#DIV/0!</v>
      </c>
    </row>
    <row r="329" spans="1:9" ht="15" hidden="1">
      <c r="A329" s="57" t="s">
        <v>1147</v>
      </c>
      <c r="B329" s="72"/>
      <c r="C329" s="53" t="s">
        <v>701</v>
      </c>
      <c r="D329" s="53" t="s">
        <v>680</v>
      </c>
      <c r="E329" s="73" t="s">
        <v>1148</v>
      </c>
      <c r="F329" s="42"/>
      <c r="G329" s="131">
        <f>SUM(G330)</f>
        <v>0</v>
      </c>
      <c r="H329" s="240">
        <f>SUM(H330)</f>
        <v>0</v>
      </c>
      <c r="I329" s="39" t="e">
        <f t="shared" si="10"/>
        <v>#DIV/0!</v>
      </c>
    </row>
    <row r="330" spans="1:9" ht="57" hidden="1">
      <c r="A330" s="57" t="s">
        <v>1149</v>
      </c>
      <c r="B330" s="72"/>
      <c r="C330" s="53" t="s">
        <v>701</v>
      </c>
      <c r="D330" s="53" t="s">
        <v>680</v>
      </c>
      <c r="E330" s="73" t="s">
        <v>1150</v>
      </c>
      <c r="F330" s="42"/>
      <c r="G330" s="131">
        <f>SUM(G331)</f>
        <v>0</v>
      </c>
      <c r="H330" s="240">
        <f>SUM(H331)</f>
        <v>0</v>
      </c>
      <c r="I330" s="39" t="e">
        <f t="shared" si="10"/>
        <v>#DIV/0!</v>
      </c>
    </row>
    <row r="331" spans="1:9" s="116" customFormat="1" ht="20.25" customHeight="1" hidden="1">
      <c r="A331" s="57" t="s">
        <v>782</v>
      </c>
      <c r="B331" s="72"/>
      <c r="C331" s="53" t="s">
        <v>701</v>
      </c>
      <c r="D331" s="53" t="s">
        <v>680</v>
      </c>
      <c r="E331" s="73" t="s">
        <v>1150</v>
      </c>
      <c r="F331" s="42" t="s">
        <v>783</v>
      </c>
      <c r="G331" s="131"/>
      <c r="H331" s="240"/>
      <c r="I331" s="39" t="e">
        <f t="shared" si="10"/>
        <v>#DIV/0!</v>
      </c>
    </row>
    <row r="332" spans="1:9" s="55" customFormat="1" ht="17.25" customHeight="1" hidden="1">
      <c r="A332" s="40" t="s">
        <v>702</v>
      </c>
      <c r="B332" s="43"/>
      <c r="C332" s="36" t="s">
        <v>701</v>
      </c>
      <c r="D332" s="36" t="s">
        <v>701</v>
      </c>
      <c r="E332" s="36"/>
      <c r="F332" s="37"/>
      <c r="G332" s="38">
        <f>SUM(G336)+G333</f>
        <v>0</v>
      </c>
      <c r="H332" s="39">
        <f>SUM(H336)+H333</f>
        <v>0</v>
      </c>
      <c r="I332" s="39" t="e">
        <f t="shared" si="10"/>
        <v>#DIV/0!</v>
      </c>
    </row>
    <row r="333" spans="1:9" s="55" customFormat="1" ht="18.75" customHeight="1" hidden="1">
      <c r="A333" s="51" t="s">
        <v>1165</v>
      </c>
      <c r="B333" s="52"/>
      <c r="C333" s="53" t="s">
        <v>701</v>
      </c>
      <c r="D333" s="53" t="s">
        <v>701</v>
      </c>
      <c r="E333" s="53" t="s">
        <v>1166</v>
      </c>
      <c r="F333" s="41"/>
      <c r="G333" s="38">
        <f>SUM(G334)</f>
        <v>0</v>
      </c>
      <c r="H333" s="39">
        <f>SUM(H334)</f>
        <v>0</v>
      </c>
      <c r="I333" s="39" t="e">
        <f aca="true" t="shared" si="12" ref="I333:I396">SUM(H333/G333*100)</f>
        <v>#DIV/0!</v>
      </c>
    </row>
    <row r="334" spans="1:9" s="98" customFormat="1" ht="24.75" customHeight="1" hidden="1">
      <c r="A334" s="51" t="s">
        <v>1167</v>
      </c>
      <c r="B334" s="53"/>
      <c r="C334" s="53" t="s">
        <v>701</v>
      </c>
      <c r="D334" s="53" t="s">
        <v>701</v>
      </c>
      <c r="E334" s="53" t="s">
        <v>1168</v>
      </c>
      <c r="F334" s="41"/>
      <c r="G334" s="38">
        <f>SUM(G335)</f>
        <v>0</v>
      </c>
      <c r="H334" s="39">
        <f>SUM(H335)</f>
        <v>0</v>
      </c>
      <c r="I334" s="39" t="e">
        <f t="shared" si="12"/>
        <v>#DIV/0!</v>
      </c>
    </row>
    <row r="335" spans="1:9" s="98" customFormat="1" ht="27" customHeight="1" hidden="1">
      <c r="A335" s="40" t="s">
        <v>685</v>
      </c>
      <c r="B335" s="43"/>
      <c r="C335" s="53" t="s">
        <v>701</v>
      </c>
      <c r="D335" s="53" t="s">
        <v>701</v>
      </c>
      <c r="E335" s="53" t="s">
        <v>1168</v>
      </c>
      <c r="F335" s="37" t="s">
        <v>686</v>
      </c>
      <c r="G335" s="38"/>
      <c r="H335" s="39"/>
      <c r="I335" s="39" t="e">
        <f t="shared" si="12"/>
        <v>#DIV/0!</v>
      </c>
    </row>
    <row r="336" spans="1:9" s="45" customFormat="1" ht="28.5" hidden="1">
      <c r="A336" s="54" t="s">
        <v>1174</v>
      </c>
      <c r="B336" s="43"/>
      <c r="C336" s="36" t="s">
        <v>701</v>
      </c>
      <c r="D336" s="36" t="s">
        <v>701</v>
      </c>
      <c r="E336" s="36" t="s">
        <v>704</v>
      </c>
      <c r="F336" s="37"/>
      <c r="G336" s="38">
        <f>SUM(G337)</f>
        <v>0</v>
      </c>
      <c r="H336" s="39">
        <f>SUM(H337)</f>
        <v>0</v>
      </c>
      <c r="I336" s="39" t="e">
        <f t="shared" si="12"/>
        <v>#DIV/0!</v>
      </c>
    </row>
    <row r="337" spans="1:9" s="45" customFormat="1" ht="15" hidden="1">
      <c r="A337" s="54" t="s">
        <v>1175</v>
      </c>
      <c r="B337" s="43"/>
      <c r="C337" s="36" t="s">
        <v>701</v>
      </c>
      <c r="D337" s="36" t="s">
        <v>701</v>
      </c>
      <c r="E337" s="36" t="s">
        <v>1176</v>
      </c>
      <c r="F337" s="37"/>
      <c r="G337" s="38">
        <f>SUM(G338)</f>
        <v>0</v>
      </c>
      <c r="H337" s="39">
        <f>SUM(H338)</f>
        <v>0</v>
      </c>
      <c r="I337" s="39" t="e">
        <f t="shared" si="12"/>
        <v>#DIV/0!</v>
      </c>
    </row>
    <row r="338" spans="1:9" s="45" customFormat="1" ht="15" hidden="1">
      <c r="A338" s="57" t="s">
        <v>782</v>
      </c>
      <c r="B338" s="43"/>
      <c r="C338" s="36" t="s">
        <v>701</v>
      </c>
      <c r="D338" s="36" t="s">
        <v>701</v>
      </c>
      <c r="E338" s="36" t="s">
        <v>1176</v>
      </c>
      <c r="F338" s="37" t="s">
        <v>783</v>
      </c>
      <c r="G338" s="38"/>
      <c r="H338" s="39"/>
      <c r="I338" s="39" t="e">
        <f t="shared" si="12"/>
        <v>#DIV/0!</v>
      </c>
    </row>
    <row r="339" spans="1:9" s="45" customFormat="1" ht="21.75" customHeight="1" hidden="1">
      <c r="A339" s="34" t="s">
        <v>1188</v>
      </c>
      <c r="B339" s="35"/>
      <c r="C339" s="53" t="s">
        <v>701</v>
      </c>
      <c r="D339" s="53" t="s">
        <v>887</v>
      </c>
      <c r="E339" s="53"/>
      <c r="F339" s="41"/>
      <c r="G339" s="38">
        <f>SUM(G340+G343)</f>
        <v>0</v>
      </c>
      <c r="H339" s="39">
        <f>SUM(H340+H343)</f>
        <v>0</v>
      </c>
      <c r="I339" s="39" t="e">
        <f t="shared" si="12"/>
        <v>#DIV/0!</v>
      </c>
    </row>
    <row r="340" spans="1:9" s="45" customFormat="1" ht="15" customHeight="1" hidden="1">
      <c r="A340" s="51" t="s">
        <v>787</v>
      </c>
      <c r="B340" s="52"/>
      <c r="C340" s="53" t="s">
        <v>701</v>
      </c>
      <c r="D340" s="53" t="s">
        <v>887</v>
      </c>
      <c r="E340" s="53" t="s">
        <v>726</v>
      </c>
      <c r="F340" s="41"/>
      <c r="G340" s="38">
        <f>SUM(G341)</f>
        <v>0</v>
      </c>
      <c r="H340" s="39">
        <f>SUM(H341)</f>
        <v>0</v>
      </c>
      <c r="I340" s="39" t="e">
        <f t="shared" si="12"/>
        <v>#DIV/0!</v>
      </c>
    </row>
    <row r="341" spans="1:9" s="45" customFormat="1" ht="14.25" customHeight="1" hidden="1">
      <c r="A341" s="51" t="s">
        <v>1189</v>
      </c>
      <c r="B341" s="52"/>
      <c r="C341" s="53" t="s">
        <v>701</v>
      </c>
      <c r="D341" s="53" t="s">
        <v>887</v>
      </c>
      <c r="E341" s="53" t="s">
        <v>789</v>
      </c>
      <c r="F341" s="41"/>
      <c r="G341" s="38">
        <f>SUM(G342)</f>
        <v>0</v>
      </c>
      <c r="H341" s="39">
        <f>SUM(H342)</f>
        <v>0</v>
      </c>
      <c r="I341" s="39" t="e">
        <f t="shared" si="12"/>
        <v>#DIV/0!</v>
      </c>
    </row>
    <row r="342" spans="1:9" ht="14.25" customHeight="1" hidden="1">
      <c r="A342" s="51" t="s">
        <v>1042</v>
      </c>
      <c r="B342" s="52"/>
      <c r="C342" s="53" t="s">
        <v>701</v>
      </c>
      <c r="D342" s="53" t="s">
        <v>887</v>
      </c>
      <c r="E342" s="53" t="s">
        <v>789</v>
      </c>
      <c r="F342" s="41" t="s">
        <v>791</v>
      </c>
      <c r="G342" s="38"/>
      <c r="H342" s="39"/>
      <c r="I342" s="39" t="e">
        <f t="shared" si="12"/>
        <v>#DIV/0!</v>
      </c>
    </row>
    <row r="343" spans="1:9" s="55" customFormat="1" ht="15" hidden="1">
      <c r="A343" s="54" t="s">
        <v>906</v>
      </c>
      <c r="B343" s="52"/>
      <c r="C343" s="53" t="s">
        <v>701</v>
      </c>
      <c r="D343" s="53" t="s">
        <v>887</v>
      </c>
      <c r="E343" s="53" t="s">
        <v>907</v>
      </c>
      <c r="F343" s="41"/>
      <c r="G343" s="38">
        <f>SUM(G344)</f>
        <v>0</v>
      </c>
      <c r="H343" s="39">
        <f>SUM(H344)</f>
        <v>0</v>
      </c>
      <c r="I343" s="39" t="e">
        <f t="shared" si="12"/>
        <v>#DIV/0!</v>
      </c>
    </row>
    <row r="344" spans="1:9" s="55" customFormat="1" ht="42.75" hidden="1">
      <c r="A344" s="51" t="s">
        <v>1432</v>
      </c>
      <c r="B344" s="52"/>
      <c r="C344" s="53" t="s">
        <v>701</v>
      </c>
      <c r="D344" s="53" t="s">
        <v>887</v>
      </c>
      <c r="E344" s="53" t="s">
        <v>1100</v>
      </c>
      <c r="F344" s="41"/>
      <c r="G344" s="38">
        <f>SUM(G345)</f>
        <v>0</v>
      </c>
      <c r="H344" s="39">
        <f>SUM(H345)</f>
        <v>0</v>
      </c>
      <c r="I344" s="39" t="e">
        <f t="shared" si="12"/>
        <v>#DIV/0!</v>
      </c>
    </row>
    <row r="345" spans="1:9" s="55" customFormat="1" ht="15" hidden="1">
      <c r="A345" s="57" t="s">
        <v>782</v>
      </c>
      <c r="B345" s="72"/>
      <c r="C345" s="53" t="s">
        <v>701</v>
      </c>
      <c r="D345" s="53" t="s">
        <v>887</v>
      </c>
      <c r="E345" s="53" t="s">
        <v>1100</v>
      </c>
      <c r="F345" s="42" t="s">
        <v>783</v>
      </c>
      <c r="G345" s="38"/>
      <c r="H345" s="39"/>
      <c r="I345" s="39" t="e">
        <f t="shared" si="12"/>
        <v>#DIV/0!</v>
      </c>
    </row>
    <row r="346" spans="1:9" s="55" customFormat="1" ht="15">
      <c r="A346" s="57" t="s">
        <v>700</v>
      </c>
      <c r="B346" s="72"/>
      <c r="C346" s="53" t="s">
        <v>701</v>
      </c>
      <c r="D346" s="53"/>
      <c r="E346" s="53"/>
      <c r="F346" s="42"/>
      <c r="G346" s="38">
        <f aca="true" t="shared" si="13" ref="G346:H349">SUM(G347)</f>
        <v>3265.2</v>
      </c>
      <c r="H346" s="38">
        <f t="shared" si="13"/>
        <v>3265.2</v>
      </c>
      <c r="I346" s="39">
        <f t="shared" si="12"/>
        <v>100</v>
      </c>
    </row>
    <row r="347" spans="1:9" s="55" customFormat="1" ht="15">
      <c r="A347" s="57" t="s">
        <v>1188</v>
      </c>
      <c r="B347" s="72"/>
      <c r="C347" s="53" t="s">
        <v>701</v>
      </c>
      <c r="D347" s="53" t="s">
        <v>887</v>
      </c>
      <c r="E347" s="53"/>
      <c r="F347" s="42"/>
      <c r="G347" s="38">
        <f t="shared" si="13"/>
        <v>3265.2</v>
      </c>
      <c r="H347" s="38">
        <f t="shared" si="13"/>
        <v>3265.2</v>
      </c>
      <c r="I347" s="39">
        <f t="shared" si="12"/>
        <v>100</v>
      </c>
    </row>
    <row r="348" spans="1:10" s="77" customFormat="1" ht="15">
      <c r="A348" s="74" t="s">
        <v>742</v>
      </c>
      <c r="B348" s="75"/>
      <c r="C348" s="53" t="s">
        <v>701</v>
      </c>
      <c r="D348" s="53" t="s">
        <v>887</v>
      </c>
      <c r="E348" s="53" t="s">
        <v>743</v>
      </c>
      <c r="F348" s="42"/>
      <c r="G348" s="38">
        <f t="shared" si="13"/>
        <v>3265.2</v>
      </c>
      <c r="H348" s="38">
        <f t="shared" si="13"/>
        <v>3265.2</v>
      </c>
      <c r="I348" s="39">
        <f t="shared" si="12"/>
        <v>100</v>
      </c>
      <c r="J348" s="76"/>
    </row>
    <row r="349" spans="1:10" s="77" customFormat="1" ht="42.75" customHeight="1">
      <c r="A349" s="74" t="s">
        <v>901</v>
      </c>
      <c r="B349" s="75"/>
      <c r="C349" s="53" t="s">
        <v>701</v>
      </c>
      <c r="D349" s="53" t="s">
        <v>887</v>
      </c>
      <c r="E349" s="53" t="s">
        <v>902</v>
      </c>
      <c r="F349" s="42"/>
      <c r="G349" s="38">
        <f t="shared" si="13"/>
        <v>3265.2</v>
      </c>
      <c r="H349" s="38">
        <f t="shared" si="13"/>
        <v>3265.2</v>
      </c>
      <c r="I349" s="39">
        <f t="shared" si="12"/>
        <v>100</v>
      </c>
      <c r="J349" s="76"/>
    </row>
    <row r="350" spans="1:9" ht="18" customHeight="1">
      <c r="A350" s="34" t="s">
        <v>903</v>
      </c>
      <c r="B350" s="75"/>
      <c r="C350" s="53" t="s">
        <v>1212</v>
      </c>
      <c r="D350" s="53" t="s">
        <v>887</v>
      </c>
      <c r="E350" s="53" t="s">
        <v>902</v>
      </c>
      <c r="F350" s="42" t="s">
        <v>904</v>
      </c>
      <c r="G350" s="38">
        <f>2030+1235.2</f>
        <v>3265.2</v>
      </c>
      <c r="H350" s="38">
        <f>2030+1235.2</f>
        <v>3265.2</v>
      </c>
      <c r="I350" s="39">
        <f t="shared" si="12"/>
        <v>100</v>
      </c>
    </row>
    <row r="351" spans="1:9" s="45" customFormat="1" ht="28.5">
      <c r="A351" s="34" t="s">
        <v>1223</v>
      </c>
      <c r="B351" s="35"/>
      <c r="C351" s="53" t="s">
        <v>714</v>
      </c>
      <c r="D351" s="53"/>
      <c r="E351" s="53"/>
      <c r="F351" s="41"/>
      <c r="G351" s="38">
        <f>SUM(G352+G359+G363)</f>
        <v>645.7</v>
      </c>
      <c r="H351" s="38">
        <f>SUM(H352+H359+H363)</f>
        <v>645.7</v>
      </c>
      <c r="I351" s="39">
        <f t="shared" si="12"/>
        <v>100</v>
      </c>
    </row>
    <row r="352" spans="1:9" s="45" customFormat="1" ht="15">
      <c r="A352" s="34" t="s">
        <v>1224</v>
      </c>
      <c r="B352" s="35"/>
      <c r="C352" s="53" t="s">
        <v>714</v>
      </c>
      <c r="D352" s="53" t="s">
        <v>678</v>
      </c>
      <c r="E352" s="53"/>
      <c r="F352" s="41"/>
      <c r="G352" s="38">
        <f>SUM(G353+G356)</f>
        <v>150</v>
      </c>
      <c r="H352" s="39">
        <f>SUM(H353+H356)</f>
        <v>150</v>
      </c>
      <c r="I352" s="39">
        <f t="shared" si="12"/>
        <v>100</v>
      </c>
    </row>
    <row r="353" spans="1:9" s="45" customFormat="1" ht="28.5">
      <c r="A353" s="34" t="s">
        <v>792</v>
      </c>
      <c r="B353" s="35"/>
      <c r="C353" s="53" t="s">
        <v>714</v>
      </c>
      <c r="D353" s="53" t="s">
        <v>678</v>
      </c>
      <c r="E353" s="53" t="s">
        <v>793</v>
      </c>
      <c r="F353" s="41"/>
      <c r="G353" s="38">
        <f>SUM(G354)</f>
        <v>150</v>
      </c>
      <c r="H353" s="39">
        <f>SUM(H354)</f>
        <v>150</v>
      </c>
      <c r="I353" s="39">
        <f t="shared" si="12"/>
        <v>100</v>
      </c>
    </row>
    <row r="354" spans="1:9" s="45" customFormat="1" ht="27.75" customHeight="1">
      <c r="A354" s="40" t="s">
        <v>780</v>
      </c>
      <c r="B354" s="35"/>
      <c r="C354" s="53" t="s">
        <v>714</v>
      </c>
      <c r="D354" s="53" t="s">
        <v>678</v>
      </c>
      <c r="E354" s="53" t="s">
        <v>794</v>
      </c>
      <c r="F354" s="41"/>
      <c r="G354" s="38">
        <f>SUM(G355)</f>
        <v>150</v>
      </c>
      <c r="H354" s="39">
        <f>SUM(H355)</f>
        <v>150</v>
      </c>
      <c r="I354" s="39">
        <f t="shared" si="12"/>
        <v>100</v>
      </c>
    </row>
    <row r="355" spans="1:9" s="116" customFormat="1" ht="24" customHeight="1">
      <c r="A355" s="57" t="s">
        <v>782</v>
      </c>
      <c r="B355" s="114"/>
      <c r="C355" s="73" t="s">
        <v>714</v>
      </c>
      <c r="D355" s="73" t="s">
        <v>678</v>
      </c>
      <c r="E355" s="73" t="s">
        <v>794</v>
      </c>
      <c r="F355" s="42" t="s">
        <v>783</v>
      </c>
      <c r="G355" s="38">
        <v>150</v>
      </c>
      <c r="H355" s="39">
        <v>150</v>
      </c>
      <c r="I355" s="39">
        <f t="shared" si="12"/>
        <v>100</v>
      </c>
    </row>
    <row r="356" spans="1:9" s="116" customFormat="1" ht="27.75" customHeight="1" hidden="1">
      <c r="A356" s="74" t="s">
        <v>1232</v>
      </c>
      <c r="B356" s="114"/>
      <c r="C356" s="73" t="s">
        <v>714</v>
      </c>
      <c r="D356" s="73" t="s">
        <v>678</v>
      </c>
      <c r="E356" s="73" t="s">
        <v>1233</v>
      </c>
      <c r="F356" s="42"/>
      <c r="G356" s="38">
        <f>SUM(G357)</f>
        <v>0</v>
      </c>
      <c r="H356" s="39">
        <f>SUM(H357)</f>
        <v>0</v>
      </c>
      <c r="I356" s="39" t="e">
        <f t="shared" si="12"/>
        <v>#DIV/0!</v>
      </c>
    </row>
    <row r="357" spans="1:9" ht="27" customHeight="1" hidden="1">
      <c r="A357" s="57" t="s">
        <v>780</v>
      </c>
      <c r="B357" s="114"/>
      <c r="C357" s="73" t="s">
        <v>714</v>
      </c>
      <c r="D357" s="73" t="s">
        <v>678</v>
      </c>
      <c r="E357" s="73" t="s">
        <v>1234</v>
      </c>
      <c r="F357" s="42"/>
      <c r="G357" s="38">
        <f>SUM(G358)</f>
        <v>0</v>
      </c>
      <c r="H357" s="39">
        <f>SUM(H358)</f>
        <v>0</v>
      </c>
      <c r="I357" s="39" t="e">
        <f t="shared" si="12"/>
        <v>#DIV/0!</v>
      </c>
    </row>
    <row r="358" spans="1:9" s="55" customFormat="1" ht="27.75" customHeight="1" hidden="1">
      <c r="A358" s="57" t="s">
        <v>782</v>
      </c>
      <c r="B358" s="114"/>
      <c r="C358" s="73" t="s">
        <v>714</v>
      </c>
      <c r="D358" s="73" t="s">
        <v>678</v>
      </c>
      <c r="E358" s="73" t="s">
        <v>1234</v>
      </c>
      <c r="F358" s="42" t="s">
        <v>783</v>
      </c>
      <c r="G358" s="38"/>
      <c r="H358" s="39"/>
      <c r="I358" s="39" t="e">
        <f t="shared" si="12"/>
        <v>#DIV/0!</v>
      </c>
    </row>
    <row r="359" spans="1:9" ht="28.5" hidden="1">
      <c r="A359" s="54" t="s">
        <v>1242</v>
      </c>
      <c r="B359" s="59"/>
      <c r="C359" s="48" t="s">
        <v>714</v>
      </c>
      <c r="D359" s="48" t="s">
        <v>751</v>
      </c>
      <c r="E359" s="48"/>
      <c r="F359" s="133"/>
      <c r="G359" s="38">
        <f aca="true" t="shared" si="14" ref="G359:H361">SUM(G360)</f>
        <v>0</v>
      </c>
      <c r="H359" s="39">
        <f t="shared" si="14"/>
        <v>0</v>
      </c>
      <c r="I359" s="39" t="e">
        <f t="shared" si="12"/>
        <v>#DIV/0!</v>
      </c>
    </row>
    <row r="360" spans="1:9" s="55" customFormat="1" ht="42.75" hidden="1">
      <c r="A360" s="51" t="s">
        <v>787</v>
      </c>
      <c r="B360" s="52"/>
      <c r="C360" s="48" t="s">
        <v>714</v>
      </c>
      <c r="D360" s="48" t="s">
        <v>751</v>
      </c>
      <c r="E360" s="53" t="s">
        <v>726</v>
      </c>
      <c r="F360" s="41"/>
      <c r="G360" s="38">
        <f t="shared" si="14"/>
        <v>0</v>
      </c>
      <c r="H360" s="39">
        <f t="shared" si="14"/>
        <v>0</v>
      </c>
      <c r="I360" s="39" t="e">
        <f t="shared" si="12"/>
        <v>#DIV/0!</v>
      </c>
    </row>
    <row r="361" spans="1:9" ht="42.75" hidden="1">
      <c r="A361" s="51" t="s">
        <v>1189</v>
      </c>
      <c r="B361" s="52"/>
      <c r="C361" s="48" t="s">
        <v>714</v>
      </c>
      <c r="D361" s="48" t="s">
        <v>751</v>
      </c>
      <c r="E361" s="53" t="s">
        <v>789</v>
      </c>
      <c r="F361" s="41"/>
      <c r="G361" s="38">
        <f t="shared" si="14"/>
        <v>0</v>
      </c>
      <c r="H361" s="39">
        <f t="shared" si="14"/>
        <v>0</v>
      </c>
      <c r="I361" s="39" t="e">
        <f t="shared" si="12"/>
        <v>#DIV/0!</v>
      </c>
    </row>
    <row r="362" spans="1:9" s="55" customFormat="1" ht="18" customHeight="1" hidden="1">
      <c r="A362" s="51" t="s">
        <v>1042</v>
      </c>
      <c r="B362" s="52"/>
      <c r="C362" s="48" t="s">
        <v>714</v>
      </c>
      <c r="D362" s="48" t="s">
        <v>751</v>
      </c>
      <c r="E362" s="53" t="s">
        <v>789</v>
      </c>
      <c r="F362" s="41" t="s">
        <v>791</v>
      </c>
      <c r="G362" s="38"/>
      <c r="H362" s="39"/>
      <c r="I362" s="39" t="e">
        <f t="shared" si="12"/>
        <v>#DIV/0!</v>
      </c>
    </row>
    <row r="363" spans="1:9" s="55" customFormat="1" ht="28.5" customHeight="1">
      <c r="A363" s="51" t="s">
        <v>1433</v>
      </c>
      <c r="B363" s="52"/>
      <c r="C363" s="48" t="s">
        <v>714</v>
      </c>
      <c r="D363" s="48" t="s">
        <v>751</v>
      </c>
      <c r="E363" s="53"/>
      <c r="F363" s="41"/>
      <c r="G363" s="38">
        <f aca="true" t="shared" si="15" ref="G363:H365">SUM(G364)</f>
        <v>495.7</v>
      </c>
      <c r="H363" s="38">
        <f t="shared" si="15"/>
        <v>495.7</v>
      </c>
      <c r="I363" s="39">
        <f t="shared" si="12"/>
        <v>100</v>
      </c>
    </row>
    <row r="364" spans="1:9" s="55" customFormat="1" ht="18" customHeight="1">
      <c r="A364" s="74" t="s">
        <v>742</v>
      </c>
      <c r="B364" s="52"/>
      <c r="C364" s="48" t="s">
        <v>714</v>
      </c>
      <c r="D364" s="48" t="s">
        <v>751</v>
      </c>
      <c r="E364" s="53" t="s">
        <v>743</v>
      </c>
      <c r="F364" s="41"/>
      <c r="G364" s="38">
        <f t="shared" si="15"/>
        <v>495.7</v>
      </c>
      <c r="H364" s="38">
        <f t="shared" si="15"/>
        <v>495.7</v>
      </c>
      <c r="I364" s="39">
        <f t="shared" si="12"/>
        <v>100</v>
      </c>
    </row>
    <row r="365" spans="1:9" ht="61.5" customHeight="1">
      <c r="A365" s="46" t="s">
        <v>901</v>
      </c>
      <c r="B365" s="59"/>
      <c r="C365" s="48" t="s">
        <v>714</v>
      </c>
      <c r="D365" s="48" t="s">
        <v>751</v>
      </c>
      <c r="E365" s="48" t="s">
        <v>902</v>
      </c>
      <c r="F365" s="133"/>
      <c r="G365" s="71">
        <f t="shared" si="15"/>
        <v>495.7</v>
      </c>
      <c r="H365" s="71">
        <f t="shared" si="15"/>
        <v>495.7</v>
      </c>
      <c r="I365" s="39">
        <f t="shared" si="12"/>
        <v>100</v>
      </c>
    </row>
    <row r="366" spans="1:9" ht="24.75" customHeight="1">
      <c r="A366" s="34" t="s">
        <v>903</v>
      </c>
      <c r="B366" s="59"/>
      <c r="C366" s="48" t="s">
        <v>714</v>
      </c>
      <c r="D366" s="48" t="s">
        <v>751</v>
      </c>
      <c r="E366" s="48" t="s">
        <v>902</v>
      </c>
      <c r="F366" s="133" t="s">
        <v>904</v>
      </c>
      <c r="G366" s="71">
        <f>305+190.7</f>
        <v>495.7</v>
      </c>
      <c r="H366" s="82">
        <v>495.7</v>
      </c>
      <c r="I366" s="39">
        <f t="shared" si="12"/>
        <v>100</v>
      </c>
    </row>
    <row r="367" spans="1:9" s="55" customFormat="1" ht="14.25" customHeight="1">
      <c r="A367" s="34" t="s">
        <v>1434</v>
      </c>
      <c r="B367" s="35"/>
      <c r="C367" s="36" t="s">
        <v>887</v>
      </c>
      <c r="D367" s="36"/>
      <c r="E367" s="36"/>
      <c r="F367" s="37"/>
      <c r="G367" s="38">
        <f>SUM(G368+G391+G382+G378+G374)</f>
        <v>8557.699999999999</v>
      </c>
      <c r="H367" s="38">
        <f>SUM(H368+H391+H382+H378+H374)</f>
        <v>8376.699999999999</v>
      </c>
      <c r="I367" s="39">
        <f t="shared" si="12"/>
        <v>97.8849457213971</v>
      </c>
    </row>
    <row r="368" spans="1:9" s="55" customFormat="1" ht="14.25" customHeight="1">
      <c r="A368" s="34" t="s">
        <v>1254</v>
      </c>
      <c r="B368" s="35"/>
      <c r="C368" s="53" t="s">
        <v>887</v>
      </c>
      <c r="D368" s="53" t="s">
        <v>678</v>
      </c>
      <c r="E368" s="53"/>
      <c r="F368" s="41"/>
      <c r="G368" s="38">
        <f>SUM(G371)+G369</f>
        <v>3225.1</v>
      </c>
      <c r="H368" s="39">
        <f>SUM(H371)+H369</f>
        <v>3221.2</v>
      </c>
      <c r="I368" s="39">
        <f t="shared" si="12"/>
        <v>99.87907351710025</v>
      </c>
    </row>
    <row r="369" spans="1:9" s="2" customFormat="1" ht="16.5" customHeight="1" hidden="1">
      <c r="A369" s="34" t="s">
        <v>740</v>
      </c>
      <c r="B369" s="35"/>
      <c r="C369" s="53" t="s">
        <v>887</v>
      </c>
      <c r="D369" s="53" t="s">
        <v>678</v>
      </c>
      <c r="E369" s="53" t="s">
        <v>741</v>
      </c>
      <c r="F369" s="41"/>
      <c r="G369" s="38">
        <f>SUM(G370)</f>
        <v>0</v>
      </c>
      <c r="H369" s="39">
        <f>SUM(H370)</f>
        <v>0</v>
      </c>
      <c r="I369" s="39" t="e">
        <f t="shared" si="12"/>
        <v>#DIV/0!</v>
      </c>
    </row>
    <row r="370" spans="1:9" s="2" customFormat="1" ht="16.5" customHeight="1" hidden="1">
      <c r="A370" s="57" t="s">
        <v>782</v>
      </c>
      <c r="B370" s="35"/>
      <c r="C370" s="53" t="s">
        <v>887</v>
      </c>
      <c r="D370" s="53" t="s">
        <v>678</v>
      </c>
      <c r="E370" s="53" t="s">
        <v>741</v>
      </c>
      <c r="F370" s="41" t="s">
        <v>783</v>
      </c>
      <c r="G370" s="38"/>
      <c r="H370" s="39"/>
      <c r="I370" s="39" t="e">
        <f t="shared" si="12"/>
        <v>#DIV/0!</v>
      </c>
    </row>
    <row r="371" spans="1:9" s="2" customFormat="1" ht="15">
      <c r="A371" s="34" t="s">
        <v>1435</v>
      </c>
      <c r="B371" s="35"/>
      <c r="C371" s="53" t="s">
        <v>887</v>
      </c>
      <c r="D371" s="53" t="s">
        <v>678</v>
      </c>
      <c r="E371" s="53" t="s">
        <v>1259</v>
      </c>
      <c r="F371" s="41"/>
      <c r="G371" s="38">
        <f>SUM(G372)</f>
        <v>3225.1</v>
      </c>
      <c r="H371" s="39">
        <f>SUM(H372)</f>
        <v>3221.2</v>
      </c>
      <c r="I371" s="39">
        <f t="shared" si="12"/>
        <v>99.87907351710025</v>
      </c>
    </row>
    <row r="372" spans="1:9" s="2" customFormat="1" ht="26.25" customHeight="1">
      <c r="A372" s="40" t="s">
        <v>780</v>
      </c>
      <c r="B372" s="35"/>
      <c r="C372" s="53" t="s">
        <v>887</v>
      </c>
      <c r="D372" s="53" t="s">
        <v>678</v>
      </c>
      <c r="E372" s="53" t="s">
        <v>1260</v>
      </c>
      <c r="F372" s="41"/>
      <c r="G372" s="38">
        <f>SUM(G373)</f>
        <v>3225.1</v>
      </c>
      <c r="H372" s="39">
        <f>SUM(H373)</f>
        <v>3221.2</v>
      </c>
      <c r="I372" s="39">
        <f t="shared" si="12"/>
        <v>99.87907351710025</v>
      </c>
    </row>
    <row r="373" spans="1:9" s="2" customFormat="1" ht="15">
      <c r="A373" s="57" t="s">
        <v>782</v>
      </c>
      <c r="B373" s="114"/>
      <c r="C373" s="73" t="s">
        <v>887</v>
      </c>
      <c r="D373" s="73" t="s">
        <v>678</v>
      </c>
      <c r="E373" s="73" t="s">
        <v>1260</v>
      </c>
      <c r="F373" s="42" t="s">
        <v>783</v>
      </c>
      <c r="G373" s="38">
        <f>5143-1471.5+25.9-470-2.3</f>
        <v>3225.1</v>
      </c>
      <c r="H373" s="39">
        <v>3221.2</v>
      </c>
      <c r="I373" s="39">
        <f t="shared" si="12"/>
        <v>99.87907351710025</v>
      </c>
    </row>
    <row r="374" spans="1:9" s="2" customFormat="1" ht="15">
      <c r="A374" s="34" t="s">
        <v>1265</v>
      </c>
      <c r="B374" s="35"/>
      <c r="C374" s="53" t="s">
        <v>887</v>
      </c>
      <c r="D374" s="53" t="s">
        <v>680</v>
      </c>
      <c r="E374" s="53"/>
      <c r="F374" s="41"/>
      <c r="G374" s="38">
        <f>SUM(G375)</f>
        <v>23.80000000000001</v>
      </c>
      <c r="H374" s="39">
        <f>SUM(H375)</f>
        <v>23.80000000000001</v>
      </c>
      <c r="I374" s="39">
        <f t="shared" si="12"/>
        <v>100</v>
      </c>
    </row>
    <row r="375" spans="1:9" s="2" customFormat="1" ht="15">
      <c r="A375" s="34" t="s">
        <v>1258</v>
      </c>
      <c r="B375" s="35"/>
      <c r="C375" s="53" t="s">
        <v>887</v>
      </c>
      <c r="D375" s="53" t="s">
        <v>680</v>
      </c>
      <c r="E375" s="53" t="s">
        <v>1259</v>
      </c>
      <c r="F375" s="41"/>
      <c r="G375" s="38">
        <f>SUM(G376)</f>
        <v>23.80000000000001</v>
      </c>
      <c r="H375" s="39">
        <f>SUM(H376)</f>
        <v>23.80000000000001</v>
      </c>
      <c r="I375" s="39">
        <f t="shared" si="12"/>
        <v>100</v>
      </c>
    </row>
    <row r="376" spans="1:9" s="2" customFormat="1" ht="28.5">
      <c r="A376" s="40" t="s">
        <v>780</v>
      </c>
      <c r="B376" s="35"/>
      <c r="C376" s="53" t="s">
        <v>887</v>
      </c>
      <c r="D376" s="53" t="s">
        <v>680</v>
      </c>
      <c r="E376" s="53" t="s">
        <v>1260</v>
      </c>
      <c r="F376" s="41"/>
      <c r="G376" s="38">
        <f>SUM(G377:G380)</f>
        <v>23.80000000000001</v>
      </c>
      <c r="H376" s="39">
        <f>SUM(H377:H380)</f>
        <v>23.80000000000001</v>
      </c>
      <c r="I376" s="39">
        <f t="shared" si="12"/>
        <v>100</v>
      </c>
    </row>
    <row r="377" spans="1:9" s="2" customFormat="1" ht="15">
      <c r="A377" s="57" t="s">
        <v>782</v>
      </c>
      <c r="B377" s="35"/>
      <c r="C377" s="53" t="s">
        <v>887</v>
      </c>
      <c r="D377" s="53" t="s">
        <v>680</v>
      </c>
      <c r="E377" s="53" t="s">
        <v>1260</v>
      </c>
      <c r="F377" s="41" t="s">
        <v>783</v>
      </c>
      <c r="G377" s="38">
        <f>500-476.2</f>
        <v>23.80000000000001</v>
      </c>
      <c r="H377" s="39">
        <f>500-476.2</f>
        <v>23.80000000000001</v>
      </c>
      <c r="I377" s="39">
        <f t="shared" si="12"/>
        <v>100</v>
      </c>
    </row>
    <row r="378" spans="1:9" s="2" customFormat="1" ht="21" customHeight="1" hidden="1">
      <c r="A378" s="57" t="s">
        <v>1277</v>
      </c>
      <c r="B378" s="35"/>
      <c r="C378" s="53" t="s">
        <v>887</v>
      </c>
      <c r="D378" s="53" t="s">
        <v>712</v>
      </c>
      <c r="E378" s="53"/>
      <c r="F378" s="41"/>
      <c r="G378" s="38">
        <f aca="true" t="shared" si="16" ref="G378:H380">SUM(G379)</f>
        <v>0</v>
      </c>
      <c r="H378" s="39">
        <f t="shared" si="16"/>
        <v>0</v>
      </c>
      <c r="I378" s="39" t="e">
        <f t="shared" si="12"/>
        <v>#DIV/0!</v>
      </c>
    </row>
    <row r="379" spans="1:9" s="2" customFormat="1" ht="15" hidden="1">
      <c r="A379" s="74" t="s">
        <v>1278</v>
      </c>
      <c r="B379" s="114"/>
      <c r="C379" s="53" t="s">
        <v>887</v>
      </c>
      <c r="D379" s="53" t="s">
        <v>712</v>
      </c>
      <c r="E379" s="73" t="s">
        <v>1279</v>
      </c>
      <c r="F379" s="42"/>
      <c r="G379" s="38">
        <f t="shared" si="16"/>
        <v>0</v>
      </c>
      <c r="H379" s="39">
        <f t="shared" si="16"/>
        <v>0</v>
      </c>
      <c r="I379" s="39" t="e">
        <f t="shared" si="12"/>
        <v>#DIV/0!</v>
      </c>
    </row>
    <row r="380" spans="1:9" s="55" customFormat="1" ht="15.75" customHeight="1" hidden="1">
      <c r="A380" s="57" t="s">
        <v>780</v>
      </c>
      <c r="B380" s="114"/>
      <c r="C380" s="53" t="s">
        <v>887</v>
      </c>
      <c r="D380" s="53" t="s">
        <v>712</v>
      </c>
      <c r="E380" s="73" t="s">
        <v>1280</v>
      </c>
      <c r="F380" s="42"/>
      <c r="G380" s="38">
        <f t="shared" si="16"/>
        <v>0</v>
      </c>
      <c r="H380" s="39">
        <f t="shared" si="16"/>
        <v>0</v>
      </c>
      <c r="I380" s="39" t="e">
        <f t="shared" si="12"/>
        <v>#DIV/0!</v>
      </c>
    </row>
    <row r="381" spans="1:9" s="55" customFormat="1" ht="18.75" customHeight="1" hidden="1">
      <c r="A381" s="57" t="s">
        <v>782</v>
      </c>
      <c r="B381" s="114"/>
      <c r="C381" s="53" t="s">
        <v>887</v>
      </c>
      <c r="D381" s="53" t="s">
        <v>712</v>
      </c>
      <c r="E381" s="73" t="s">
        <v>1280</v>
      </c>
      <c r="F381" s="42" t="s">
        <v>783</v>
      </c>
      <c r="G381" s="38"/>
      <c r="H381" s="39"/>
      <c r="I381" s="39" t="e">
        <f t="shared" si="12"/>
        <v>#DIV/0!</v>
      </c>
    </row>
    <row r="382" spans="1:9" s="55" customFormat="1" ht="15">
      <c r="A382" s="34" t="s">
        <v>1281</v>
      </c>
      <c r="B382" s="35"/>
      <c r="C382" s="36" t="s">
        <v>887</v>
      </c>
      <c r="D382" s="36" t="s">
        <v>714</v>
      </c>
      <c r="E382" s="36"/>
      <c r="F382" s="37"/>
      <c r="G382" s="38">
        <f>SUM(G385+G388+G383)</f>
        <v>1550.1</v>
      </c>
      <c r="H382" s="39">
        <f>SUM(H385+H388+H383)</f>
        <v>1550.1</v>
      </c>
      <c r="I382" s="39">
        <f t="shared" si="12"/>
        <v>100</v>
      </c>
    </row>
    <row r="383" spans="1:9" ht="15">
      <c r="A383" s="57" t="s">
        <v>740</v>
      </c>
      <c r="B383" s="35"/>
      <c r="C383" s="36" t="s">
        <v>887</v>
      </c>
      <c r="D383" s="36" t="s">
        <v>714</v>
      </c>
      <c r="E383" s="53" t="s">
        <v>741</v>
      </c>
      <c r="F383" s="41"/>
      <c r="G383" s="38">
        <f>SUM(G384)</f>
        <v>199.5</v>
      </c>
      <c r="H383" s="39">
        <f>SUM(H384)</f>
        <v>199.5</v>
      </c>
      <c r="I383" s="39">
        <f t="shared" si="12"/>
        <v>100</v>
      </c>
    </row>
    <row r="384" spans="1:9" ht="28.5">
      <c r="A384" s="40" t="s">
        <v>685</v>
      </c>
      <c r="B384" s="35"/>
      <c r="C384" s="36" t="s">
        <v>887</v>
      </c>
      <c r="D384" s="36" t="s">
        <v>714</v>
      </c>
      <c r="E384" s="53" t="s">
        <v>741</v>
      </c>
      <c r="F384" s="41" t="s">
        <v>686</v>
      </c>
      <c r="G384" s="38">
        <f>250-50.3-0.2</f>
        <v>199.5</v>
      </c>
      <c r="H384" s="39">
        <v>199.5</v>
      </c>
      <c r="I384" s="39">
        <f t="shared" si="12"/>
        <v>100</v>
      </c>
    </row>
    <row r="385" spans="1:9" s="55" customFormat="1" ht="28.5">
      <c r="A385" s="34" t="s">
        <v>1282</v>
      </c>
      <c r="B385" s="35"/>
      <c r="C385" s="36" t="s">
        <v>887</v>
      </c>
      <c r="D385" s="36" t="s">
        <v>714</v>
      </c>
      <c r="E385" s="64" t="s">
        <v>1152</v>
      </c>
      <c r="F385" s="37"/>
      <c r="G385" s="38">
        <f>SUM(G386)</f>
        <v>1350.6</v>
      </c>
      <c r="H385" s="39">
        <f>SUM(H386)</f>
        <v>1350.6</v>
      </c>
      <c r="I385" s="39">
        <f t="shared" si="12"/>
        <v>100</v>
      </c>
    </row>
    <row r="386" spans="1:9" s="55" customFormat="1" ht="28.5">
      <c r="A386" s="34" t="s">
        <v>1110</v>
      </c>
      <c r="B386" s="35"/>
      <c r="C386" s="36" t="s">
        <v>887</v>
      </c>
      <c r="D386" s="36" t="s">
        <v>714</v>
      </c>
      <c r="E386" s="64" t="s">
        <v>1153</v>
      </c>
      <c r="F386" s="37"/>
      <c r="G386" s="38">
        <f>SUM(G387)</f>
        <v>1350.6</v>
      </c>
      <c r="H386" s="39">
        <f>SUM(H387)</f>
        <v>1350.6</v>
      </c>
      <c r="I386" s="39">
        <f t="shared" si="12"/>
        <v>100</v>
      </c>
    </row>
    <row r="387" spans="1:9" s="55" customFormat="1" ht="27.75" customHeight="1">
      <c r="A387" s="40" t="s">
        <v>685</v>
      </c>
      <c r="B387" s="35"/>
      <c r="C387" s="36" t="s">
        <v>887</v>
      </c>
      <c r="D387" s="36" t="s">
        <v>714</v>
      </c>
      <c r="E387" s="64" t="s">
        <v>1153</v>
      </c>
      <c r="F387" s="37" t="s">
        <v>686</v>
      </c>
      <c r="G387" s="38">
        <f>100+1738.6-499.6+2.8+8.8</f>
        <v>1350.6</v>
      </c>
      <c r="H387" s="39">
        <v>1350.6</v>
      </c>
      <c r="I387" s="39">
        <f t="shared" si="12"/>
        <v>100</v>
      </c>
    </row>
    <row r="388" spans="1:9" s="55" customFormat="1" ht="17.25" customHeight="1" hidden="1">
      <c r="A388" s="74" t="s">
        <v>742</v>
      </c>
      <c r="B388" s="52"/>
      <c r="C388" s="36" t="s">
        <v>887</v>
      </c>
      <c r="D388" s="36" t="s">
        <v>714</v>
      </c>
      <c r="E388" s="53" t="s">
        <v>743</v>
      </c>
      <c r="F388" s="41"/>
      <c r="G388" s="38">
        <f>SUM(G389)</f>
        <v>0</v>
      </c>
      <c r="H388" s="39">
        <f>SUM(H389)</f>
        <v>0</v>
      </c>
      <c r="I388" s="39" t="e">
        <f t="shared" si="12"/>
        <v>#DIV/0!</v>
      </c>
    </row>
    <row r="389" spans="1:9" s="55" customFormat="1" ht="28.5" hidden="1">
      <c r="A389" s="34" t="s">
        <v>1110</v>
      </c>
      <c r="B389" s="114"/>
      <c r="C389" s="36" t="s">
        <v>887</v>
      </c>
      <c r="D389" s="36" t="s">
        <v>714</v>
      </c>
      <c r="E389" s="73" t="s">
        <v>743</v>
      </c>
      <c r="F389" s="42" t="s">
        <v>1203</v>
      </c>
      <c r="G389" s="38">
        <f>SUM(G390)</f>
        <v>0</v>
      </c>
      <c r="H389" s="39">
        <f>SUM(H390)</f>
        <v>0</v>
      </c>
      <c r="I389" s="39" t="e">
        <f t="shared" si="12"/>
        <v>#DIV/0!</v>
      </c>
    </row>
    <row r="390" spans="1:9" s="55" customFormat="1" ht="29.25" customHeight="1" hidden="1">
      <c r="A390" s="40" t="s">
        <v>1283</v>
      </c>
      <c r="B390" s="35"/>
      <c r="C390" s="36" t="s">
        <v>887</v>
      </c>
      <c r="D390" s="36" t="s">
        <v>714</v>
      </c>
      <c r="E390" s="73" t="s">
        <v>1284</v>
      </c>
      <c r="F390" s="42" t="s">
        <v>1203</v>
      </c>
      <c r="G390" s="38">
        <f>1738.6-1738.6</f>
        <v>0</v>
      </c>
      <c r="H390" s="39">
        <f>1738.6-1738.6</f>
        <v>0</v>
      </c>
      <c r="I390" s="39" t="e">
        <f t="shared" si="12"/>
        <v>#DIV/0!</v>
      </c>
    </row>
    <row r="391" spans="1:9" s="55" customFormat="1" ht="28.5">
      <c r="A391" s="34" t="s">
        <v>1285</v>
      </c>
      <c r="B391" s="35"/>
      <c r="C391" s="53" t="s">
        <v>887</v>
      </c>
      <c r="D391" s="53" t="s">
        <v>910</v>
      </c>
      <c r="E391" s="53"/>
      <c r="F391" s="41"/>
      <c r="G391" s="38">
        <f>SUM(G395+G392)</f>
        <v>3758.7</v>
      </c>
      <c r="H391" s="39">
        <f>SUM(H395+H392)</f>
        <v>3581.6000000000004</v>
      </c>
      <c r="I391" s="39">
        <f t="shared" si="12"/>
        <v>95.28826455955517</v>
      </c>
    </row>
    <row r="392" spans="1:9" s="106" customFormat="1" ht="42.75" hidden="1">
      <c r="A392" s="51" t="s">
        <v>787</v>
      </c>
      <c r="B392" s="52"/>
      <c r="C392" s="53" t="s">
        <v>887</v>
      </c>
      <c r="D392" s="53" t="s">
        <v>910</v>
      </c>
      <c r="E392" s="53" t="s">
        <v>726</v>
      </c>
      <c r="F392" s="41"/>
      <c r="G392" s="38">
        <f>SUM(G393)</f>
        <v>0</v>
      </c>
      <c r="H392" s="39">
        <f>SUM(H393)</f>
        <v>0</v>
      </c>
      <c r="I392" s="39" t="e">
        <f t="shared" si="12"/>
        <v>#DIV/0!</v>
      </c>
    </row>
    <row r="393" spans="1:9" ht="42.75" hidden="1">
      <c r="A393" s="51" t="s">
        <v>1189</v>
      </c>
      <c r="B393" s="52"/>
      <c r="C393" s="53" t="s">
        <v>887</v>
      </c>
      <c r="D393" s="53" t="s">
        <v>910</v>
      </c>
      <c r="E393" s="53" t="s">
        <v>789</v>
      </c>
      <c r="F393" s="41"/>
      <c r="G393" s="38">
        <f>SUM(G394)</f>
        <v>0</v>
      </c>
      <c r="H393" s="39">
        <f>SUM(H394)</f>
        <v>0</v>
      </c>
      <c r="I393" s="39" t="e">
        <f t="shared" si="12"/>
        <v>#DIV/0!</v>
      </c>
    </row>
    <row r="394" spans="1:9" ht="15" hidden="1">
      <c r="A394" s="51" t="s">
        <v>1042</v>
      </c>
      <c r="B394" s="52"/>
      <c r="C394" s="53" t="s">
        <v>887</v>
      </c>
      <c r="D394" s="53" t="s">
        <v>910</v>
      </c>
      <c r="E394" s="53" t="s">
        <v>789</v>
      </c>
      <c r="F394" s="41" t="s">
        <v>791</v>
      </c>
      <c r="G394" s="38"/>
      <c r="H394" s="39"/>
      <c r="I394" s="39" t="e">
        <f t="shared" si="12"/>
        <v>#DIV/0!</v>
      </c>
    </row>
    <row r="395" spans="1:9" ht="15">
      <c r="A395" s="74" t="s">
        <v>742</v>
      </c>
      <c r="B395" s="52"/>
      <c r="C395" s="53" t="s">
        <v>887</v>
      </c>
      <c r="D395" s="53" t="s">
        <v>910</v>
      </c>
      <c r="E395" s="53" t="s">
        <v>743</v>
      </c>
      <c r="F395" s="41"/>
      <c r="G395" s="38">
        <f>SUM(G398)+G402+G404+G396</f>
        <v>3758.7</v>
      </c>
      <c r="H395" s="38">
        <f>SUM(H398)+H402+H404+H396</f>
        <v>3581.6000000000004</v>
      </c>
      <c r="I395" s="39">
        <f t="shared" si="12"/>
        <v>95.28826455955517</v>
      </c>
    </row>
    <row r="396" spans="1:9" ht="57">
      <c r="A396" s="46" t="s">
        <v>901</v>
      </c>
      <c r="B396" s="52"/>
      <c r="C396" s="53" t="s">
        <v>887</v>
      </c>
      <c r="D396" s="53" t="s">
        <v>910</v>
      </c>
      <c r="E396" s="53" t="s">
        <v>902</v>
      </c>
      <c r="F396" s="41"/>
      <c r="G396" s="38">
        <f>SUM(G397)</f>
        <v>1782.4999999999998</v>
      </c>
      <c r="H396" s="38">
        <f>SUM(H397)</f>
        <v>1782.5</v>
      </c>
      <c r="I396" s="39">
        <f t="shared" si="12"/>
        <v>100.00000000000003</v>
      </c>
    </row>
    <row r="397" spans="1:9" ht="15">
      <c r="A397" s="34" t="s">
        <v>903</v>
      </c>
      <c r="B397" s="52"/>
      <c r="C397" s="53" t="s">
        <v>887</v>
      </c>
      <c r="D397" s="53" t="s">
        <v>910</v>
      </c>
      <c r="E397" s="53" t="s">
        <v>902</v>
      </c>
      <c r="F397" s="41" t="s">
        <v>904</v>
      </c>
      <c r="G397" s="38">
        <f>3490.2-1707.7</f>
        <v>1782.4999999999998</v>
      </c>
      <c r="H397" s="39">
        <v>1782.5</v>
      </c>
      <c r="I397" s="39">
        <f aca="true" t="shared" si="17" ref="I397:I460">SUM(H397/G397*100)</f>
        <v>100.00000000000003</v>
      </c>
    </row>
    <row r="398" spans="1:9" ht="28.5">
      <c r="A398" s="34" t="s">
        <v>1288</v>
      </c>
      <c r="B398" s="52"/>
      <c r="C398" s="53" t="s">
        <v>887</v>
      </c>
      <c r="D398" s="53" t="s">
        <v>910</v>
      </c>
      <c r="E398" s="53" t="s">
        <v>1289</v>
      </c>
      <c r="F398" s="41"/>
      <c r="G398" s="38">
        <f>SUM(G399:G401)</f>
        <v>76.19999999999982</v>
      </c>
      <c r="H398" s="39">
        <f>SUM(H399:H401)</f>
        <v>76.2</v>
      </c>
      <c r="I398" s="39">
        <f t="shared" si="17"/>
        <v>100.00000000000024</v>
      </c>
    </row>
    <row r="399" spans="1:9" ht="0.75" customHeight="1" hidden="1">
      <c r="A399" s="51" t="s">
        <v>1042</v>
      </c>
      <c r="B399" s="35"/>
      <c r="C399" s="53" t="s">
        <v>887</v>
      </c>
      <c r="D399" s="53" t="s">
        <v>910</v>
      </c>
      <c r="E399" s="53" t="s">
        <v>1289</v>
      </c>
      <c r="F399" s="41" t="s">
        <v>791</v>
      </c>
      <c r="G399" s="38"/>
      <c r="H399" s="39"/>
      <c r="I399" s="39" t="e">
        <f t="shared" si="17"/>
        <v>#DIV/0!</v>
      </c>
    </row>
    <row r="400" spans="1:9" ht="28.5" hidden="1">
      <c r="A400" s="40" t="s">
        <v>685</v>
      </c>
      <c r="B400" s="114"/>
      <c r="C400" s="73" t="s">
        <v>887</v>
      </c>
      <c r="D400" s="53" t="s">
        <v>910</v>
      </c>
      <c r="E400" s="53" t="s">
        <v>1289</v>
      </c>
      <c r="F400" s="42" t="s">
        <v>686</v>
      </c>
      <c r="G400" s="38"/>
      <c r="H400" s="39"/>
      <c r="I400" s="39" t="e">
        <f t="shared" si="17"/>
        <v>#DIV/0!</v>
      </c>
    </row>
    <row r="401" spans="1:9" s="45" customFormat="1" ht="33" customHeight="1">
      <c r="A401" s="34" t="s">
        <v>1110</v>
      </c>
      <c r="B401" s="35"/>
      <c r="C401" s="53" t="s">
        <v>887</v>
      </c>
      <c r="D401" s="53" t="s">
        <v>910</v>
      </c>
      <c r="E401" s="53" t="s">
        <v>1289</v>
      </c>
      <c r="F401" s="133" t="s">
        <v>1203</v>
      </c>
      <c r="G401" s="71">
        <f>2076.2-2000</f>
        <v>76.19999999999982</v>
      </c>
      <c r="H401" s="82">
        <v>76.2</v>
      </c>
      <c r="I401" s="39">
        <f t="shared" si="17"/>
        <v>100.00000000000024</v>
      </c>
    </row>
    <row r="402" spans="1:9" ht="42.75" hidden="1">
      <c r="A402" s="93" t="s">
        <v>1213</v>
      </c>
      <c r="B402" s="35"/>
      <c r="C402" s="53" t="s">
        <v>887</v>
      </c>
      <c r="D402" s="53" t="s">
        <v>910</v>
      </c>
      <c r="E402" s="53" t="s">
        <v>1214</v>
      </c>
      <c r="F402" s="133"/>
      <c r="G402" s="71">
        <f>SUM(G403)</f>
        <v>0</v>
      </c>
      <c r="H402" s="82">
        <f>SUM(H403)</f>
        <v>0</v>
      </c>
      <c r="I402" s="39" t="e">
        <f t="shared" si="17"/>
        <v>#DIV/0!</v>
      </c>
    </row>
    <row r="403" spans="1:9" ht="28.5" hidden="1">
      <c r="A403" s="34" t="s">
        <v>1110</v>
      </c>
      <c r="B403" s="35"/>
      <c r="C403" s="53" t="s">
        <v>887</v>
      </c>
      <c r="D403" s="53" t="s">
        <v>910</v>
      </c>
      <c r="E403" s="53" t="s">
        <v>1214</v>
      </c>
      <c r="F403" s="133" t="s">
        <v>1203</v>
      </c>
      <c r="G403" s="71"/>
      <c r="H403" s="82"/>
      <c r="I403" s="39" t="e">
        <f t="shared" si="17"/>
        <v>#DIV/0!</v>
      </c>
    </row>
    <row r="404" spans="1:9" ht="29.25" customHeight="1">
      <c r="A404" s="34" t="s">
        <v>1301</v>
      </c>
      <c r="B404" s="35"/>
      <c r="C404" s="53" t="s">
        <v>1261</v>
      </c>
      <c r="D404" s="53" t="s">
        <v>910</v>
      </c>
      <c r="E404" s="53" t="s">
        <v>990</v>
      </c>
      <c r="F404" s="133"/>
      <c r="G404" s="71">
        <f>SUM(G405)</f>
        <v>1900</v>
      </c>
      <c r="H404" s="82">
        <f>SUM(H405)</f>
        <v>1722.9</v>
      </c>
      <c r="I404" s="39">
        <f t="shared" si="17"/>
        <v>90.67894736842106</v>
      </c>
    </row>
    <row r="405" spans="1:9" ht="16.5" customHeight="1">
      <c r="A405" s="51" t="s">
        <v>1042</v>
      </c>
      <c r="B405" s="35"/>
      <c r="C405" s="53" t="s">
        <v>887</v>
      </c>
      <c r="D405" s="53" t="s">
        <v>910</v>
      </c>
      <c r="E405" s="53" t="s">
        <v>990</v>
      </c>
      <c r="F405" s="133" t="s">
        <v>791</v>
      </c>
      <c r="G405" s="71">
        <v>1900</v>
      </c>
      <c r="H405" s="82">
        <v>1722.9</v>
      </c>
      <c r="I405" s="39">
        <f t="shared" si="17"/>
        <v>90.67894736842106</v>
      </c>
    </row>
    <row r="406" spans="1:9" ht="18" customHeight="1">
      <c r="A406" s="34" t="s">
        <v>1302</v>
      </c>
      <c r="B406" s="35"/>
      <c r="C406" s="36" t="s">
        <v>910</v>
      </c>
      <c r="D406" s="36"/>
      <c r="E406" s="36"/>
      <c r="F406" s="37"/>
      <c r="G406" s="38">
        <f>SUM(G410)</f>
        <v>15798.900000000001</v>
      </c>
      <c r="H406" s="39">
        <f>SUM(H410)</f>
        <v>15798.900000000001</v>
      </c>
      <c r="I406" s="39">
        <f t="shared" si="17"/>
        <v>100</v>
      </c>
    </row>
    <row r="407" spans="1:9" ht="15" hidden="1">
      <c r="A407" s="34" t="s">
        <v>1309</v>
      </c>
      <c r="B407" s="35"/>
      <c r="C407" s="36" t="s">
        <v>910</v>
      </c>
      <c r="D407" s="36" t="s">
        <v>680</v>
      </c>
      <c r="E407" s="36"/>
      <c r="F407" s="37"/>
      <c r="G407" s="38">
        <f>SUM(G408)</f>
        <v>0</v>
      </c>
      <c r="H407" s="39">
        <f>SUM(H408)</f>
        <v>0</v>
      </c>
      <c r="I407" s="39" t="e">
        <f t="shared" si="17"/>
        <v>#DIV/0!</v>
      </c>
    </row>
    <row r="408" spans="1:9" ht="19.5" customHeight="1" hidden="1">
      <c r="A408" s="34" t="s">
        <v>1310</v>
      </c>
      <c r="B408" s="35"/>
      <c r="C408" s="36" t="s">
        <v>910</v>
      </c>
      <c r="D408" s="36" t="s">
        <v>680</v>
      </c>
      <c r="E408" s="36" t="s">
        <v>1436</v>
      </c>
      <c r="F408" s="37"/>
      <c r="G408" s="38">
        <f>SUM(G409)</f>
        <v>0</v>
      </c>
      <c r="H408" s="39">
        <f>SUM(H409)</f>
        <v>0</v>
      </c>
      <c r="I408" s="39" t="e">
        <f t="shared" si="17"/>
        <v>#DIV/0!</v>
      </c>
    </row>
    <row r="409" spans="1:9" ht="28.5" hidden="1">
      <c r="A409" s="34" t="s">
        <v>780</v>
      </c>
      <c r="B409" s="35"/>
      <c r="C409" s="36" t="s">
        <v>910</v>
      </c>
      <c r="D409" s="36" t="s">
        <v>680</v>
      </c>
      <c r="E409" s="36" t="s">
        <v>1436</v>
      </c>
      <c r="F409" s="37" t="s">
        <v>1437</v>
      </c>
      <c r="G409" s="38"/>
      <c r="H409" s="39"/>
      <c r="I409" s="39" t="e">
        <f t="shared" si="17"/>
        <v>#DIV/0!</v>
      </c>
    </row>
    <row r="410" spans="1:9" ht="15">
      <c r="A410" s="54" t="s">
        <v>1320</v>
      </c>
      <c r="B410" s="35"/>
      <c r="C410" s="36" t="s">
        <v>910</v>
      </c>
      <c r="D410" s="53" t="s">
        <v>688</v>
      </c>
      <c r="E410" s="36"/>
      <c r="F410" s="37"/>
      <c r="G410" s="38">
        <f>SUM(G411+G414+G423+G432)</f>
        <v>15798.900000000001</v>
      </c>
      <c r="H410" s="38">
        <f>SUM(H411+H414+H423+H432)</f>
        <v>15798.900000000001</v>
      </c>
      <c r="I410" s="39">
        <f t="shared" si="17"/>
        <v>100</v>
      </c>
    </row>
    <row r="411" spans="1:9" ht="31.5" customHeight="1">
      <c r="A411" s="54" t="s">
        <v>1321</v>
      </c>
      <c r="B411" s="35"/>
      <c r="C411" s="36" t="s">
        <v>910</v>
      </c>
      <c r="D411" s="53" t="s">
        <v>688</v>
      </c>
      <c r="E411" s="36" t="s">
        <v>1047</v>
      </c>
      <c r="F411" s="37"/>
      <c r="G411" s="38">
        <f>SUM(G412)</f>
        <v>2387.8</v>
      </c>
      <c r="H411" s="39">
        <f>SUM(H412)</f>
        <v>2387.8</v>
      </c>
      <c r="I411" s="39">
        <f t="shared" si="17"/>
        <v>100</v>
      </c>
    </row>
    <row r="412" spans="1:9" ht="28.5" customHeight="1">
      <c r="A412" s="54" t="s">
        <v>1322</v>
      </c>
      <c r="B412" s="35"/>
      <c r="C412" s="36" t="s">
        <v>910</v>
      </c>
      <c r="D412" s="53" t="s">
        <v>688</v>
      </c>
      <c r="E412" s="36" t="s">
        <v>1323</v>
      </c>
      <c r="F412" s="37"/>
      <c r="G412" s="38">
        <f>SUM(G413)</f>
        <v>2387.8</v>
      </c>
      <c r="H412" s="39">
        <f>SUM(H413)</f>
        <v>2387.8</v>
      </c>
      <c r="I412" s="39">
        <f t="shared" si="17"/>
        <v>100</v>
      </c>
    </row>
    <row r="413" spans="1:9" ht="23.25" customHeight="1">
      <c r="A413" s="54" t="s">
        <v>1324</v>
      </c>
      <c r="B413" s="35"/>
      <c r="C413" s="36" t="s">
        <v>910</v>
      </c>
      <c r="D413" s="53" t="s">
        <v>688</v>
      </c>
      <c r="E413" s="36" t="s">
        <v>1323</v>
      </c>
      <c r="F413" s="37" t="s">
        <v>1325</v>
      </c>
      <c r="G413" s="38">
        <f>2387.8</f>
        <v>2387.8</v>
      </c>
      <c r="H413" s="39">
        <v>2387.8</v>
      </c>
      <c r="I413" s="39">
        <f t="shared" si="17"/>
        <v>100</v>
      </c>
    </row>
    <row r="414" spans="1:9" s="55" customFormat="1" ht="21.75" customHeight="1">
      <c r="A414" s="34" t="s">
        <v>1326</v>
      </c>
      <c r="B414" s="35"/>
      <c r="C414" s="36" t="s">
        <v>910</v>
      </c>
      <c r="D414" s="53" t="s">
        <v>688</v>
      </c>
      <c r="E414" s="36" t="s">
        <v>1327</v>
      </c>
      <c r="F414" s="37"/>
      <c r="G414" s="38">
        <f>SUM(G418+G421+G415)</f>
        <v>5628.5</v>
      </c>
      <c r="H414" s="39">
        <f>SUM(H418+H421+H415)</f>
        <v>5628.5</v>
      </c>
      <c r="I414" s="39">
        <f t="shared" si="17"/>
        <v>100</v>
      </c>
    </row>
    <row r="415" spans="1:9" s="55" customFormat="1" ht="18.75" customHeight="1" hidden="1">
      <c r="A415" s="54" t="s">
        <v>403</v>
      </c>
      <c r="B415" s="35"/>
      <c r="C415" s="36" t="s">
        <v>910</v>
      </c>
      <c r="D415" s="36" t="s">
        <v>688</v>
      </c>
      <c r="E415" s="36" t="s">
        <v>1438</v>
      </c>
      <c r="F415" s="37"/>
      <c r="G415" s="38">
        <f>SUM(G416)</f>
        <v>0</v>
      </c>
      <c r="H415" s="39">
        <f>SUM(H416)</f>
        <v>0</v>
      </c>
      <c r="I415" s="39" t="e">
        <f t="shared" si="17"/>
        <v>#DIV/0!</v>
      </c>
    </row>
    <row r="416" spans="1:9" s="55" customFormat="1" ht="20.25" customHeight="1" hidden="1">
      <c r="A416" s="145" t="s">
        <v>363</v>
      </c>
      <c r="B416" s="114"/>
      <c r="C416" s="73" t="s">
        <v>910</v>
      </c>
      <c r="D416" s="73" t="s">
        <v>688</v>
      </c>
      <c r="E416" s="73" t="s">
        <v>364</v>
      </c>
      <c r="F416" s="42"/>
      <c r="G416" s="38">
        <f>SUM(G417)</f>
        <v>0</v>
      </c>
      <c r="H416" s="39">
        <f>SUM(H417)</f>
        <v>0</v>
      </c>
      <c r="I416" s="39" t="e">
        <f t="shared" si="17"/>
        <v>#DIV/0!</v>
      </c>
    </row>
    <row r="417" spans="1:9" s="55" customFormat="1" ht="22.5" customHeight="1" hidden="1">
      <c r="A417" s="34" t="s">
        <v>879</v>
      </c>
      <c r="B417" s="114"/>
      <c r="C417" s="73" t="s">
        <v>910</v>
      </c>
      <c r="D417" s="73" t="s">
        <v>688</v>
      </c>
      <c r="E417" s="73" t="s">
        <v>364</v>
      </c>
      <c r="F417" s="42" t="s">
        <v>880</v>
      </c>
      <c r="G417" s="38"/>
      <c r="H417" s="39"/>
      <c r="I417" s="39" t="e">
        <f t="shared" si="17"/>
        <v>#DIV/0!</v>
      </c>
    </row>
    <row r="418" spans="1:9" ht="68.25" customHeight="1">
      <c r="A418" s="34" t="s">
        <v>1439</v>
      </c>
      <c r="B418" s="35"/>
      <c r="C418" s="53" t="s">
        <v>910</v>
      </c>
      <c r="D418" s="53" t="s">
        <v>688</v>
      </c>
      <c r="E418" s="36" t="s">
        <v>368</v>
      </c>
      <c r="F418" s="37"/>
      <c r="G418" s="38">
        <f>SUM(G419)</f>
        <v>5628.5</v>
      </c>
      <c r="H418" s="39">
        <f>SUM(H419)</f>
        <v>5628.5</v>
      </c>
      <c r="I418" s="39">
        <f t="shared" si="17"/>
        <v>100</v>
      </c>
    </row>
    <row r="419" spans="1:9" ht="75" customHeight="1">
      <c r="A419" s="54" t="s">
        <v>369</v>
      </c>
      <c r="B419" s="35"/>
      <c r="C419" s="53" t="s">
        <v>910</v>
      </c>
      <c r="D419" s="53" t="s">
        <v>688</v>
      </c>
      <c r="E419" s="36" t="s">
        <v>370</v>
      </c>
      <c r="F419" s="41"/>
      <c r="G419" s="38">
        <f>SUM(G420)</f>
        <v>5628.5</v>
      </c>
      <c r="H419" s="39">
        <f>SUM(H420)</f>
        <v>5628.5</v>
      </c>
      <c r="I419" s="39">
        <f t="shared" si="17"/>
        <v>100</v>
      </c>
    </row>
    <row r="420" spans="1:9" ht="15" customHeight="1">
      <c r="A420" s="34" t="s">
        <v>879</v>
      </c>
      <c r="B420" s="123"/>
      <c r="C420" s="53" t="s">
        <v>910</v>
      </c>
      <c r="D420" s="53" t="s">
        <v>688</v>
      </c>
      <c r="E420" s="36" t="s">
        <v>370</v>
      </c>
      <c r="F420" s="133" t="s">
        <v>880</v>
      </c>
      <c r="G420" s="71">
        <v>5628.5</v>
      </c>
      <c r="H420" s="82">
        <v>5628.5</v>
      </c>
      <c r="I420" s="39">
        <f t="shared" si="17"/>
        <v>100</v>
      </c>
    </row>
    <row r="421" spans="1:9" s="55" customFormat="1" ht="15" hidden="1">
      <c r="A421" s="54" t="s">
        <v>399</v>
      </c>
      <c r="B421" s="35"/>
      <c r="C421" s="53" t="s">
        <v>910</v>
      </c>
      <c r="D421" s="53" t="s">
        <v>688</v>
      </c>
      <c r="E421" s="36" t="s">
        <v>1440</v>
      </c>
      <c r="F421" s="41"/>
      <c r="G421" s="38">
        <f>SUM(G422)</f>
        <v>0</v>
      </c>
      <c r="H421" s="39">
        <f>SUM(H422)</f>
        <v>0</v>
      </c>
      <c r="I421" s="39" t="e">
        <f t="shared" si="17"/>
        <v>#DIV/0!</v>
      </c>
    </row>
    <row r="422" spans="1:9" ht="18" customHeight="1" hidden="1">
      <c r="A422" s="34" t="s">
        <v>879</v>
      </c>
      <c r="B422" s="123"/>
      <c r="C422" s="53" t="s">
        <v>910</v>
      </c>
      <c r="D422" s="53" t="s">
        <v>688</v>
      </c>
      <c r="E422" s="36" t="s">
        <v>1440</v>
      </c>
      <c r="F422" s="133" t="s">
        <v>880</v>
      </c>
      <c r="G422" s="71"/>
      <c r="H422" s="82"/>
      <c r="I422" s="39" t="e">
        <f t="shared" si="17"/>
        <v>#DIV/0!</v>
      </c>
    </row>
    <row r="423" spans="1:9" ht="15">
      <c r="A423" s="40" t="s">
        <v>906</v>
      </c>
      <c r="B423" s="72"/>
      <c r="C423" s="53" t="s">
        <v>910</v>
      </c>
      <c r="D423" s="53" t="s">
        <v>688</v>
      </c>
      <c r="E423" s="53" t="s">
        <v>907</v>
      </c>
      <c r="F423" s="133"/>
      <c r="G423" s="71">
        <f>SUM(G424)</f>
        <v>4943.3</v>
      </c>
      <c r="H423" s="82">
        <f>SUM(H424)</f>
        <v>4943.3</v>
      </c>
      <c r="I423" s="39">
        <f t="shared" si="17"/>
        <v>100</v>
      </c>
    </row>
    <row r="424" spans="1:9" ht="71.25">
      <c r="A424" s="34" t="s">
        <v>1441</v>
      </c>
      <c r="B424" s="123"/>
      <c r="C424" s="53" t="s">
        <v>910</v>
      </c>
      <c r="D424" s="53" t="s">
        <v>688</v>
      </c>
      <c r="E424" s="53" t="s">
        <v>966</v>
      </c>
      <c r="F424" s="133"/>
      <c r="G424" s="71">
        <f>SUM(G425)+G428</f>
        <v>4943.3</v>
      </c>
      <c r="H424" s="82">
        <f>SUM(H425)+H428</f>
        <v>4943.3</v>
      </c>
      <c r="I424" s="39">
        <f t="shared" si="17"/>
        <v>100</v>
      </c>
    </row>
    <row r="425" spans="1:9" s="55" customFormat="1" ht="28.5">
      <c r="A425" s="34" t="s">
        <v>406</v>
      </c>
      <c r="B425" s="123"/>
      <c r="C425" s="53" t="s">
        <v>910</v>
      </c>
      <c r="D425" s="53" t="s">
        <v>688</v>
      </c>
      <c r="E425" s="53" t="s">
        <v>407</v>
      </c>
      <c r="F425" s="133"/>
      <c r="G425" s="71">
        <f>SUM(G426+G427)</f>
        <v>2986.1</v>
      </c>
      <c r="H425" s="82">
        <f>SUM(H426+H427)</f>
        <v>2986.1</v>
      </c>
      <c r="I425" s="39">
        <f t="shared" si="17"/>
        <v>100</v>
      </c>
    </row>
    <row r="426" spans="1:9" ht="28.5" hidden="1">
      <c r="A426" s="46" t="s">
        <v>685</v>
      </c>
      <c r="B426" s="123"/>
      <c r="C426" s="53" t="s">
        <v>910</v>
      </c>
      <c r="D426" s="53" t="s">
        <v>688</v>
      </c>
      <c r="E426" s="53" t="s">
        <v>407</v>
      </c>
      <c r="F426" s="133" t="s">
        <v>686</v>
      </c>
      <c r="G426" s="71"/>
      <c r="H426" s="82"/>
      <c r="I426" s="39" t="e">
        <f t="shared" si="17"/>
        <v>#DIV/0!</v>
      </c>
    </row>
    <row r="427" spans="1:9" ht="21" customHeight="1">
      <c r="A427" s="34" t="s">
        <v>1324</v>
      </c>
      <c r="B427" s="123"/>
      <c r="C427" s="53" t="s">
        <v>910</v>
      </c>
      <c r="D427" s="53" t="s">
        <v>688</v>
      </c>
      <c r="E427" s="53" t="s">
        <v>407</v>
      </c>
      <c r="F427" s="133" t="s">
        <v>1325</v>
      </c>
      <c r="G427" s="71">
        <v>2986.1</v>
      </c>
      <c r="H427" s="82">
        <v>2986.1</v>
      </c>
      <c r="I427" s="39">
        <f t="shared" si="17"/>
        <v>100</v>
      </c>
    </row>
    <row r="428" spans="1:9" ht="47.25" customHeight="1">
      <c r="A428" s="34" t="s">
        <v>1348</v>
      </c>
      <c r="B428" s="123"/>
      <c r="C428" s="53" t="s">
        <v>910</v>
      </c>
      <c r="D428" s="53" t="s">
        <v>688</v>
      </c>
      <c r="E428" s="53" t="s">
        <v>1349</v>
      </c>
      <c r="F428" s="133"/>
      <c r="G428" s="71">
        <f>SUM(G429)</f>
        <v>1957.2</v>
      </c>
      <c r="H428" s="82">
        <f>SUM(H429)</f>
        <v>1957.2</v>
      </c>
      <c r="I428" s="39">
        <f t="shared" si="17"/>
        <v>100</v>
      </c>
    </row>
    <row r="429" spans="1:9" ht="17.25" customHeight="1">
      <c r="A429" s="34" t="s">
        <v>1324</v>
      </c>
      <c r="B429" s="123"/>
      <c r="C429" s="53" t="s">
        <v>910</v>
      </c>
      <c r="D429" s="53" t="s">
        <v>688</v>
      </c>
      <c r="E429" s="53" t="s">
        <v>1349</v>
      </c>
      <c r="F429" s="133" t="s">
        <v>1325</v>
      </c>
      <c r="G429" s="71">
        <v>1957.2</v>
      </c>
      <c r="H429" s="82">
        <v>1957.2</v>
      </c>
      <c r="I429" s="39">
        <f t="shared" si="17"/>
        <v>100</v>
      </c>
    </row>
    <row r="430" spans="1:9" ht="55.5" customHeight="1" hidden="1">
      <c r="A430" s="34" t="s">
        <v>1442</v>
      </c>
      <c r="B430" s="123"/>
      <c r="C430" s="53" t="s">
        <v>910</v>
      </c>
      <c r="D430" s="53" t="s">
        <v>688</v>
      </c>
      <c r="E430" s="53" t="s">
        <v>1349</v>
      </c>
      <c r="F430" s="133"/>
      <c r="G430" s="71">
        <f>SUM(G431)</f>
        <v>0</v>
      </c>
      <c r="H430" s="82">
        <f>SUM(H431)</f>
        <v>1957.2</v>
      </c>
      <c r="I430" s="39" t="e">
        <f t="shared" si="17"/>
        <v>#DIV/0!</v>
      </c>
    </row>
    <row r="431" spans="1:9" ht="25.5" customHeight="1" hidden="1">
      <c r="A431" s="34" t="s">
        <v>1324</v>
      </c>
      <c r="B431" s="123"/>
      <c r="C431" s="53" t="s">
        <v>910</v>
      </c>
      <c r="D431" s="53" t="s">
        <v>688</v>
      </c>
      <c r="E431" s="53" t="s">
        <v>1349</v>
      </c>
      <c r="F431" s="133" t="s">
        <v>1325</v>
      </c>
      <c r="G431" s="71"/>
      <c r="H431" s="82">
        <v>1957.2</v>
      </c>
      <c r="I431" s="39" t="e">
        <f t="shared" si="17"/>
        <v>#DIV/0!</v>
      </c>
    </row>
    <row r="432" spans="1:9" ht="22.5" customHeight="1">
      <c r="A432" s="74" t="s">
        <v>742</v>
      </c>
      <c r="B432" s="52"/>
      <c r="C432" s="53" t="s">
        <v>910</v>
      </c>
      <c r="D432" s="53" t="s">
        <v>688</v>
      </c>
      <c r="E432" s="53" t="s">
        <v>743</v>
      </c>
      <c r="F432" s="41"/>
      <c r="G432" s="38">
        <f>SUM(G433)</f>
        <v>2839.3</v>
      </c>
      <c r="H432" s="39">
        <f>SUM(H433)</f>
        <v>2839.3</v>
      </c>
      <c r="I432" s="39">
        <f t="shared" si="17"/>
        <v>100</v>
      </c>
    </row>
    <row r="433" spans="1:9" ht="28.5">
      <c r="A433" s="46" t="s">
        <v>685</v>
      </c>
      <c r="B433" s="35"/>
      <c r="C433" s="53" t="s">
        <v>910</v>
      </c>
      <c r="D433" s="53" t="s">
        <v>688</v>
      </c>
      <c r="E433" s="53" t="s">
        <v>743</v>
      </c>
      <c r="F433" s="41" t="s">
        <v>686</v>
      </c>
      <c r="G433" s="38">
        <f>SUM(G434)</f>
        <v>2839.3</v>
      </c>
      <c r="H433" s="39">
        <f>SUM(H434)</f>
        <v>2839.3</v>
      </c>
      <c r="I433" s="39">
        <f t="shared" si="17"/>
        <v>100</v>
      </c>
    </row>
    <row r="434" spans="1:9" ht="42.75">
      <c r="A434" s="46" t="s">
        <v>1013</v>
      </c>
      <c r="B434" s="35"/>
      <c r="C434" s="53" t="s">
        <v>910</v>
      </c>
      <c r="D434" s="53" t="s">
        <v>688</v>
      </c>
      <c r="E434" s="48" t="s">
        <v>1014</v>
      </c>
      <c r="F434" s="37" t="s">
        <v>686</v>
      </c>
      <c r="G434" s="38">
        <f>SUM(G435:G436)</f>
        <v>2839.3</v>
      </c>
      <c r="H434" s="39">
        <f>SUM(H435:H436)</f>
        <v>2839.3</v>
      </c>
      <c r="I434" s="39">
        <f t="shared" si="17"/>
        <v>100</v>
      </c>
    </row>
    <row r="435" spans="1:9" ht="28.5">
      <c r="A435" s="34" t="s">
        <v>406</v>
      </c>
      <c r="B435" s="52"/>
      <c r="C435" s="53" t="s">
        <v>910</v>
      </c>
      <c r="D435" s="53" t="s">
        <v>688</v>
      </c>
      <c r="E435" s="48" t="s">
        <v>1353</v>
      </c>
      <c r="F435" s="37" t="s">
        <v>686</v>
      </c>
      <c r="G435" s="71">
        <f>2000-59.3+22+3.3-491.1+491.1-105.3</f>
        <v>1860.7</v>
      </c>
      <c r="H435" s="82">
        <v>1860.7</v>
      </c>
      <c r="I435" s="39">
        <f t="shared" si="17"/>
        <v>100</v>
      </c>
    </row>
    <row r="436" spans="1:9" ht="42.75">
      <c r="A436" s="34" t="s">
        <v>1354</v>
      </c>
      <c r="B436" s="52"/>
      <c r="C436" s="53" t="s">
        <v>910</v>
      </c>
      <c r="D436" s="53" t="s">
        <v>688</v>
      </c>
      <c r="E436" s="48" t="s">
        <v>1355</v>
      </c>
      <c r="F436" s="37" t="s">
        <v>686</v>
      </c>
      <c r="G436" s="71">
        <f>1000+59.3-80.7</f>
        <v>978.5999999999999</v>
      </c>
      <c r="H436" s="82">
        <v>978.6</v>
      </c>
      <c r="I436" s="39">
        <f t="shared" si="17"/>
        <v>100.00000000000003</v>
      </c>
    </row>
    <row r="437" spans="1:9" ht="30">
      <c r="A437" s="232" t="s">
        <v>1443</v>
      </c>
      <c r="B437" s="128" t="s">
        <v>1444</v>
      </c>
      <c r="C437" s="64"/>
      <c r="D437" s="126"/>
      <c r="E437" s="126"/>
      <c r="F437" s="127"/>
      <c r="G437" s="230">
        <f>SUM(G438)+G457+G462</f>
        <v>20836.8</v>
      </c>
      <c r="H437" s="231">
        <f>SUM(H438)+H457+H462</f>
        <v>19819.3</v>
      </c>
      <c r="I437" s="63">
        <f t="shared" si="17"/>
        <v>95.11681256238961</v>
      </c>
    </row>
    <row r="438" spans="1:9" ht="15">
      <c r="A438" s="34" t="s">
        <v>677</v>
      </c>
      <c r="B438" s="35"/>
      <c r="C438" s="36" t="s">
        <v>678</v>
      </c>
      <c r="D438" s="36"/>
      <c r="E438" s="36"/>
      <c r="F438" s="37"/>
      <c r="G438" s="38">
        <f>SUM(G439+G449+G453+G445)</f>
        <v>20836.8</v>
      </c>
      <c r="H438" s="39">
        <f>SUM(H439+H449+H453+H445)</f>
        <v>19819.3</v>
      </c>
      <c r="I438" s="39">
        <f t="shared" si="17"/>
        <v>95.11681256238961</v>
      </c>
    </row>
    <row r="439" spans="1:9" ht="42.75">
      <c r="A439" s="34" t="s">
        <v>750</v>
      </c>
      <c r="B439" s="35"/>
      <c r="C439" s="36" t="s">
        <v>678</v>
      </c>
      <c r="D439" s="36" t="s">
        <v>751</v>
      </c>
      <c r="E439" s="36"/>
      <c r="F439" s="37"/>
      <c r="G439" s="38">
        <f>SUM(G440)</f>
        <v>13866.4</v>
      </c>
      <c r="H439" s="39">
        <f>SUM(H440)</f>
        <v>13866.4</v>
      </c>
      <c r="I439" s="39">
        <f t="shared" si="17"/>
        <v>100</v>
      </c>
    </row>
    <row r="440" spans="1:9" ht="45.75" customHeight="1">
      <c r="A440" s="34" t="s">
        <v>681</v>
      </c>
      <c r="B440" s="35"/>
      <c r="C440" s="36" t="s">
        <v>678</v>
      </c>
      <c r="D440" s="36" t="s">
        <v>751</v>
      </c>
      <c r="E440" s="36" t="s">
        <v>682</v>
      </c>
      <c r="F440" s="37"/>
      <c r="G440" s="38">
        <f>SUM(G441)</f>
        <v>13866.4</v>
      </c>
      <c r="H440" s="39">
        <f>SUM(H441)</f>
        <v>13866.4</v>
      </c>
      <c r="I440" s="39">
        <f t="shared" si="17"/>
        <v>100</v>
      </c>
    </row>
    <row r="441" spans="1:9" ht="15">
      <c r="A441" s="34" t="s">
        <v>689</v>
      </c>
      <c r="B441" s="35"/>
      <c r="C441" s="36" t="s">
        <v>678</v>
      </c>
      <c r="D441" s="36" t="s">
        <v>751</v>
      </c>
      <c r="E441" s="36" t="s">
        <v>691</v>
      </c>
      <c r="F441" s="37"/>
      <c r="G441" s="38">
        <f>SUM(G442+G443)</f>
        <v>13866.4</v>
      </c>
      <c r="H441" s="39">
        <f>SUM(H442+H443)</f>
        <v>13866.4</v>
      </c>
      <c r="I441" s="39">
        <f t="shared" si="17"/>
        <v>100</v>
      </c>
    </row>
    <row r="442" spans="1:9" s="155" customFormat="1" ht="27" customHeight="1">
      <c r="A442" s="40" t="s">
        <v>685</v>
      </c>
      <c r="B442" s="35"/>
      <c r="C442" s="36" t="s">
        <v>690</v>
      </c>
      <c r="D442" s="36" t="s">
        <v>751</v>
      </c>
      <c r="E442" s="36" t="s">
        <v>691</v>
      </c>
      <c r="F442" s="42" t="s">
        <v>686</v>
      </c>
      <c r="G442" s="38">
        <f>879.8-300</f>
        <v>579.8</v>
      </c>
      <c r="H442" s="39">
        <v>579.8</v>
      </c>
      <c r="I442" s="39">
        <f t="shared" si="17"/>
        <v>100</v>
      </c>
    </row>
    <row r="443" spans="1:9" s="155" customFormat="1" ht="44.25" customHeight="1">
      <c r="A443" s="40" t="s">
        <v>752</v>
      </c>
      <c r="B443" s="35"/>
      <c r="C443" s="36" t="s">
        <v>690</v>
      </c>
      <c r="D443" s="36" t="s">
        <v>751</v>
      </c>
      <c r="E443" s="36" t="s">
        <v>753</v>
      </c>
      <c r="F443" s="37"/>
      <c r="G443" s="38">
        <f>SUM(G444)</f>
        <v>13286.6</v>
      </c>
      <c r="H443" s="39">
        <f>SUM(H444)</f>
        <v>13286.6</v>
      </c>
      <c r="I443" s="39">
        <f t="shared" si="17"/>
        <v>100</v>
      </c>
    </row>
    <row r="444" spans="1:9" ht="27" customHeight="1">
      <c r="A444" s="40" t="s">
        <v>685</v>
      </c>
      <c r="B444" s="35"/>
      <c r="C444" s="36" t="s">
        <v>690</v>
      </c>
      <c r="D444" s="36" t="s">
        <v>751</v>
      </c>
      <c r="E444" s="36" t="s">
        <v>753</v>
      </c>
      <c r="F444" s="42" t="s">
        <v>686</v>
      </c>
      <c r="G444" s="38">
        <f>12938.6+348</f>
        <v>13286.6</v>
      </c>
      <c r="H444" s="39">
        <v>13286.6</v>
      </c>
      <c r="I444" s="39">
        <f t="shared" si="17"/>
        <v>100</v>
      </c>
    </row>
    <row r="445" spans="1:9" ht="26.25" customHeight="1">
      <c r="A445" s="40" t="s">
        <v>762</v>
      </c>
      <c r="B445" s="35"/>
      <c r="C445" s="36" t="s">
        <v>678</v>
      </c>
      <c r="D445" s="36" t="s">
        <v>720</v>
      </c>
      <c r="E445" s="36"/>
      <c r="F445" s="42"/>
      <c r="G445" s="38">
        <f>SUM(G446)</f>
        <v>5372.9</v>
      </c>
      <c r="H445" s="39">
        <f>SUM(H446)</f>
        <v>5372.9</v>
      </c>
      <c r="I445" s="39">
        <f t="shared" si="17"/>
        <v>100</v>
      </c>
    </row>
    <row r="446" spans="1:9" ht="17.25" customHeight="1">
      <c r="A446" s="40" t="s">
        <v>763</v>
      </c>
      <c r="B446" s="35"/>
      <c r="C446" s="36" t="s">
        <v>678</v>
      </c>
      <c r="D446" s="36" t="s">
        <v>720</v>
      </c>
      <c r="E446" s="36" t="s">
        <v>764</v>
      </c>
      <c r="F446" s="42"/>
      <c r="G446" s="38">
        <f>SUM(G448)</f>
        <v>5372.9</v>
      </c>
      <c r="H446" s="39">
        <f>SUM(H448)</f>
        <v>5372.9</v>
      </c>
      <c r="I446" s="39">
        <f t="shared" si="17"/>
        <v>100</v>
      </c>
    </row>
    <row r="447" spans="1:9" ht="15.75" customHeight="1">
      <c r="A447" s="40" t="s">
        <v>765</v>
      </c>
      <c r="B447" s="35"/>
      <c r="C447" s="36" t="s">
        <v>678</v>
      </c>
      <c r="D447" s="36" t="s">
        <v>720</v>
      </c>
      <c r="E447" s="36" t="s">
        <v>766</v>
      </c>
      <c r="F447" s="42"/>
      <c r="G447" s="38">
        <f>SUM(G448)</f>
        <v>5372.9</v>
      </c>
      <c r="H447" s="39">
        <f>SUM(H448)</f>
        <v>5372.9</v>
      </c>
      <c r="I447" s="39">
        <f t="shared" si="17"/>
        <v>100</v>
      </c>
    </row>
    <row r="448" spans="1:9" ht="15" customHeight="1">
      <c r="A448" s="40" t="s">
        <v>767</v>
      </c>
      <c r="B448" s="35"/>
      <c r="C448" s="36" t="s">
        <v>678</v>
      </c>
      <c r="D448" s="36" t="s">
        <v>720</v>
      </c>
      <c r="E448" s="36" t="s">
        <v>766</v>
      </c>
      <c r="F448" s="42" t="s">
        <v>768</v>
      </c>
      <c r="G448" s="38">
        <f>12000-2500-10-570-619.5-239-27-1399-1262.6</f>
        <v>5372.9</v>
      </c>
      <c r="H448" s="39">
        <v>5372.9</v>
      </c>
      <c r="I448" s="39">
        <f t="shared" si="17"/>
        <v>100</v>
      </c>
    </row>
    <row r="449" spans="1:9" ht="15">
      <c r="A449" s="34" t="s">
        <v>769</v>
      </c>
      <c r="B449" s="35"/>
      <c r="C449" s="36" t="s">
        <v>678</v>
      </c>
      <c r="D449" s="36" t="s">
        <v>770</v>
      </c>
      <c r="E449" s="36"/>
      <c r="F449" s="37"/>
      <c r="G449" s="38">
        <f>SUM(G450)</f>
        <v>1017.5000000000007</v>
      </c>
      <c r="H449" s="39">
        <f>SUM(H450)</f>
        <v>0</v>
      </c>
      <c r="I449" s="39">
        <f t="shared" si="17"/>
        <v>0</v>
      </c>
    </row>
    <row r="450" spans="1:9" ht="15">
      <c r="A450" s="34" t="s">
        <v>769</v>
      </c>
      <c r="B450" s="35"/>
      <c r="C450" s="36" t="s">
        <v>678</v>
      </c>
      <c r="D450" s="36" t="s">
        <v>770</v>
      </c>
      <c r="E450" s="36" t="s">
        <v>771</v>
      </c>
      <c r="F450" s="37"/>
      <c r="G450" s="38">
        <f>SUM(G452)</f>
        <v>1017.5000000000007</v>
      </c>
      <c r="H450" s="39">
        <f>SUM(H452)</f>
        <v>0</v>
      </c>
      <c r="I450" s="39">
        <f t="shared" si="17"/>
        <v>0</v>
      </c>
    </row>
    <row r="451" spans="1:9" ht="15">
      <c r="A451" s="34" t="s">
        <v>740</v>
      </c>
      <c r="B451" s="35"/>
      <c r="C451" s="36" t="s">
        <v>678</v>
      </c>
      <c r="D451" s="36" t="s">
        <v>770</v>
      </c>
      <c r="E451" s="36" t="s">
        <v>741</v>
      </c>
      <c r="F451" s="37"/>
      <c r="G451" s="38">
        <f>SUM(G452)</f>
        <v>1017.5000000000007</v>
      </c>
      <c r="H451" s="39">
        <f>SUM(H452)</f>
        <v>0</v>
      </c>
      <c r="I451" s="39">
        <f t="shared" si="17"/>
        <v>0</v>
      </c>
    </row>
    <row r="452" spans="1:9" ht="13.5" customHeight="1">
      <c r="A452" s="51" t="s">
        <v>772</v>
      </c>
      <c r="B452" s="52"/>
      <c r="C452" s="36" t="s">
        <v>678</v>
      </c>
      <c r="D452" s="36" t="s">
        <v>770</v>
      </c>
      <c r="E452" s="36" t="s">
        <v>741</v>
      </c>
      <c r="F452" s="41" t="s">
        <v>768</v>
      </c>
      <c r="G452" s="38">
        <f>8845.2-500-1000-800-3000-2470.4+1800+80.6+5-200-1038.5-250-202.3-193.8-70+46.7-35</f>
        <v>1017.5000000000007</v>
      </c>
      <c r="H452" s="39"/>
      <c r="I452" s="39">
        <f t="shared" si="17"/>
        <v>0</v>
      </c>
    </row>
    <row r="453" spans="1:9" ht="15">
      <c r="A453" s="40" t="s">
        <v>694</v>
      </c>
      <c r="B453" s="35"/>
      <c r="C453" s="36" t="s">
        <v>678</v>
      </c>
      <c r="D453" s="36" t="s">
        <v>773</v>
      </c>
      <c r="E453" s="36"/>
      <c r="F453" s="41"/>
      <c r="G453" s="38">
        <f aca="true" t="shared" si="18" ref="G453:H455">SUM(G454)</f>
        <v>580</v>
      </c>
      <c r="H453" s="39">
        <f t="shared" si="18"/>
        <v>580</v>
      </c>
      <c r="I453" s="39">
        <f t="shared" si="17"/>
        <v>100</v>
      </c>
    </row>
    <row r="454" spans="1:9" ht="28.5">
      <c r="A454" s="40" t="s">
        <v>696</v>
      </c>
      <c r="B454" s="35"/>
      <c r="C454" s="36" t="s">
        <v>678</v>
      </c>
      <c r="D454" s="36" t="s">
        <v>773</v>
      </c>
      <c r="E454" s="36" t="s">
        <v>697</v>
      </c>
      <c r="F454" s="42"/>
      <c r="G454" s="38">
        <f t="shared" si="18"/>
        <v>580</v>
      </c>
      <c r="H454" s="39">
        <f t="shared" si="18"/>
        <v>580</v>
      </c>
      <c r="I454" s="39">
        <f t="shared" si="17"/>
        <v>100</v>
      </c>
    </row>
    <row r="455" spans="1:9" ht="15">
      <c r="A455" s="40" t="s">
        <v>698</v>
      </c>
      <c r="B455" s="35"/>
      <c r="C455" s="36" t="s">
        <v>678</v>
      </c>
      <c r="D455" s="36" t="s">
        <v>773</v>
      </c>
      <c r="E455" s="36" t="s">
        <v>786</v>
      </c>
      <c r="F455" s="42"/>
      <c r="G455" s="38">
        <f t="shared" si="18"/>
        <v>580</v>
      </c>
      <c r="H455" s="39">
        <f t="shared" si="18"/>
        <v>580</v>
      </c>
      <c r="I455" s="39">
        <f t="shared" si="17"/>
        <v>100</v>
      </c>
    </row>
    <row r="456" spans="1:9" ht="27" customHeight="1">
      <c r="A456" s="40" t="s">
        <v>685</v>
      </c>
      <c r="B456" s="35"/>
      <c r="C456" s="36" t="s">
        <v>678</v>
      </c>
      <c r="D456" s="36" t="s">
        <v>773</v>
      </c>
      <c r="E456" s="36" t="s">
        <v>786</v>
      </c>
      <c r="F456" s="42" t="s">
        <v>686</v>
      </c>
      <c r="G456" s="38">
        <f>10+570</f>
        <v>580</v>
      </c>
      <c r="H456" s="39">
        <v>580</v>
      </c>
      <c r="I456" s="39">
        <f t="shared" si="17"/>
        <v>100</v>
      </c>
    </row>
    <row r="457" spans="1:9" ht="15.75" customHeight="1" hidden="1">
      <c r="A457" s="34" t="s">
        <v>700</v>
      </c>
      <c r="B457" s="35"/>
      <c r="C457" s="53" t="s">
        <v>701</v>
      </c>
      <c r="D457" s="118"/>
      <c r="E457" s="118"/>
      <c r="F457" s="124"/>
      <c r="G457" s="71">
        <f aca="true" t="shared" si="19" ref="G457:H460">SUM(G458)</f>
        <v>0</v>
      </c>
      <c r="H457" s="82">
        <f t="shared" si="19"/>
        <v>0</v>
      </c>
      <c r="I457" s="39" t="e">
        <f t="shared" si="17"/>
        <v>#DIV/0!</v>
      </c>
    </row>
    <row r="458" spans="1:9" ht="15" hidden="1">
      <c r="A458" s="40" t="s">
        <v>702</v>
      </c>
      <c r="B458" s="43"/>
      <c r="C458" s="36" t="s">
        <v>701</v>
      </c>
      <c r="D458" s="36" t="s">
        <v>701</v>
      </c>
      <c r="E458" s="118"/>
      <c r="F458" s="124"/>
      <c r="G458" s="71">
        <f t="shared" si="19"/>
        <v>0</v>
      </c>
      <c r="H458" s="82">
        <f t="shared" si="19"/>
        <v>0</v>
      </c>
      <c r="I458" s="39" t="e">
        <f t="shared" si="17"/>
        <v>#DIV/0!</v>
      </c>
    </row>
    <row r="459" spans="1:9" ht="28.5" hidden="1">
      <c r="A459" s="54" t="s">
        <v>1174</v>
      </c>
      <c r="B459" s="43"/>
      <c r="C459" s="36" t="s">
        <v>701</v>
      </c>
      <c r="D459" s="36" t="s">
        <v>701</v>
      </c>
      <c r="E459" s="36" t="s">
        <v>704</v>
      </c>
      <c r="F459" s="37"/>
      <c r="G459" s="71">
        <f t="shared" si="19"/>
        <v>0</v>
      </c>
      <c r="H459" s="82">
        <f t="shared" si="19"/>
        <v>0</v>
      </c>
      <c r="I459" s="39" t="e">
        <f t="shared" si="17"/>
        <v>#DIV/0!</v>
      </c>
    </row>
    <row r="460" spans="1:9" ht="15" hidden="1">
      <c r="A460" s="54" t="s">
        <v>1175</v>
      </c>
      <c r="B460" s="43"/>
      <c r="C460" s="36" t="s">
        <v>701</v>
      </c>
      <c r="D460" s="36" t="s">
        <v>701</v>
      </c>
      <c r="E460" s="36" t="s">
        <v>1176</v>
      </c>
      <c r="F460" s="37"/>
      <c r="G460" s="71">
        <f t="shared" si="19"/>
        <v>0</v>
      </c>
      <c r="H460" s="82">
        <f t="shared" si="19"/>
        <v>0</v>
      </c>
      <c r="I460" s="39" t="e">
        <f t="shared" si="17"/>
        <v>#DIV/0!</v>
      </c>
    </row>
    <row r="461" spans="1:9" ht="18" customHeight="1" hidden="1">
      <c r="A461" s="57" t="s">
        <v>782</v>
      </c>
      <c r="B461" s="43"/>
      <c r="C461" s="36" t="s">
        <v>701</v>
      </c>
      <c r="D461" s="36" t="s">
        <v>701</v>
      </c>
      <c r="E461" s="36" t="s">
        <v>1176</v>
      </c>
      <c r="F461" s="37" t="s">
        <v>783</v>
      </c>
      <c r="G461" s="71"/>
      <c r="H461" s="82"/>
      <c r="I461" s="39" t="e">
        <f aca="true" t="shared" si="20" ref="I461:I524">SUM(H461/G461*100)</f>
        <v>#DIV/0!</v>
      </c>
    </row>
    <row r="462" spans="1:9" ht="15" hidden="1">
      <c r="A462" s="46" t="s">
        <v>1302</v>
      </c>
      <c r="B462" s="35"/>
      <c r="C462" s="81" t="s">
        <v>910</v>
      </c>
      <c r="D462" s="81" t="s">
        <v>1303</v>
      </c>
      <c r="E462" s="81"/>
      <c r="F462" s="68"/>
      <c r="G462" s="71">
        <f aca="true" t="shared" si="21" ref="G462:H466">SUM(G463)</f>
        <v>0</v>
      </c>
      <c r="H462" s="82">
        <f t="shared" si="21"/>
        <v>0</v>
      </c>
      <c r="I462" s="39" t="e">
        <f t="shared" si="20"/>
        <v>#DIV/0!</v>
      </c>
    </row>
    <row r="463" spans="1:9" ht="15" hidden="1">
      <c r="A463" s="46" t="s">
        <v>1377</v>
      </c>
      <c r="B463" s="35"/>
      <c r="C463" s="81" t="s">
        <v>910</v>
      </c>
      <c r="D463" s="81" t="s">
        <v>751</v>
      </c>
      <c r="E463" s="36"/>
      <c r="F463" s="37"/>
      <c r="G463" s="71">
        <f t="shared" si="21"/>
        <v>0</v>
      </c>
      <c r="H463" s="82">
        <f t="shared" si="21"/>
        <v>0</v>
      </c>
      <c r="I463" s="39" t="e">
        <f t="shared" si="20"/>
        <v>#DIV/0!</v>
      </c>
    </row>
    <row r="464" spans="1:9" ht="28.5" hidden="1">
      <c r="A464" s="57" t="s">
        <v>1385</v>
      </c>
      <c r="B464" s="43"/>
      <c r="C464" s="81" t="s">
        <v>910</v>
      </c>
      <c r="D464" s="81" t="s">
        <v>751</v>
      </c>
      <c r="E464" s="36" t="s">
        <v>1386</v>
      </c>
      <c r="F464" s="37"/>
      <c r="G464" s="71">
        <f t="shared" si="21"/>
        <v>0</v>
      </c>
      <c r="H464" s="82">
        <f t="shared" si="21"/>
        <v>0</v>
      </c>
      <c r="I464" s="39" t="e">
        <f t="shared" si="20"/>
        <v>#DIV/0!</v>
      </c>
    </row>
    <row r="465" spans="1:9" ht="15" hidden="1">
      <c r="A465" s="57" t="s">
        <v>1387</v>
      </c>
      <c r="B465" s="43"/>
      <c r="C465" s="81" t="s">
        <v>910</v>
      </c>
      <c r="D465" s="81" t="s">
        <v>751</v>
      </c>
      <c r="E465" s="36" t="s">
        <v>1388</v>
      </c>
      <c r="F465" s="37"/>
      <c r="G465" s="71">
        <f t="shared" si="21"/>
        <v>0</v>
      </c>
      <c r="H465" s="82">
        <f t="shared" si="21"/>
        <v>0</v>
      </c>
      <c r="I465" s="39" t="e">
        <f t="shared" si="20"/>
        <v>#DIV/0!</v>
      </c>
    </row>
    <row r="466" spans="1:9" ht="87.75" customHeight="1" hidden="1">
      <c r="A466" s="57" t="s">
        <v>1389</v>
      </c>
      <c r="B466" s="241"/>
      <c r="C466" s="238" t="s">
        <v>910</v>
      </c>
      <c r="D466" s="238" t="s">
        <v>751</v>
      </c>
      <c r="E466" s="73" t="s">
        <v>1390</v>
      </c>
      <c r="F466" s="42"/>
      <c r="G466" s="71">
        <f t="shared" si="21"/>
        <v>0</v>
      </c>
      <c r="H466" s="82">
        <f t="shared" si="21"/>
        <v>0</v>
      </c>
      <c r="I466" s="39" t="e">
        <f t="shared" si="20"/>
        <v>#DIV/0!</v>
      </c>
    </row>
    <row r="467" spans="1:9" ht="21.75" customHeight="1" hidden="1">
      <c r="A467" s="57" t="s">
        <v>782</v>
      </c>
      <c r="B467" s="241"/>
      <c r="C467" s="238" t="s">
        <v>910</v>
      </c>
      <c r="D467" s="238" t="s">
        <v>751</v>
      </c>
      <c r="E467" s="73" t="s">
        <v>1390</v>
      </c>
      <c r="F467" s="42" t="s">
        <v>783</v>
      </c>
      <c r="G467" s="71"/>
      <c r="H467" s="82"/>
      <c r="I467" s="39" t="e">
        <f t="shared" si="20"/>
        <v>#DIV/0!</v>
      </c>
    </row>
    <row r="468" spans="1:9" ht="30.75" customHeight="1">
      <c r="A468" s="232" t="s">
        <v>1445</v>
      </c>
      <c r="B468" s="128" t="s">
        <v>1446</v>
      </c>
      <c r="C468" s="64"/>
      <c r="D468" s="126"/>
      <c r="E468" s="126"/>
      <c r="F468" s="127"/>
      <c r="G468" s="230">
        <f>SUM(G506+G617)+G469+G495+G486+G501+G545+G569</f>
        <v>769188.7</v>
      </c>
      <c r="H468" s="230">
        <f>SUM(H506+H617)+H469+H495+H486+H501+H545+H569</f>
        <v>754614.1999999998</v>
      </c>
      <c r="I468" s="63">
        <f t="shared" si="20"/>
        <v>98.10521137401003</v>
      </c>
    </row>
    <row r="469" spans="1:9" ht="15">
      <c r="A469" s="34" t="s">
        <v>677</v>
      </c>
      <c r="B469" s="35"/>
      <c r="C469" s="36" t="s">
        <v>678</v>
      </c>
      <c r="D469" s="36"/>
      <c r="E469" s="36"/>
      <c r="F469" s="37"/>
      <c r="G469" s="38">
        <f>SUM(G470+G474+G478+G482)</f>
        <v>96.6</v>
      </c>
      <c r="H469" s="38">
        <f>SUM(H470+H474+H478+H482)</f>
        <v>96.6</v>
      </c>
      <c r="I469" s="39">
        <f t="shared" si="20"/>
        <v>100</v>
      </c>
    </row>
    <row r="470" spans="1:9" ht="59.25" customHeight="1">
      <c r="A470" s="40" t="s">
        <v>687</v>
      </c>
      <c r="B470" s="35"/>
      <c r="C470" s="36" t="s">
        <v>678</v>
      </c>
      <c r="D470" s="36" t="s">
        <v>688</v>
      </c>
      <c r="E470" s="36"/>
      <c r="F470" s="37"/>
      <c r="G470" s="38">
        <f aca="true" t="shared" si="22" ref="G470:H472">SUM(G471)</f>
        <v>2.3</v>
      </c>
      <c r="H470" s="38">
        <f t="shared" si="22"/>
        <v>2.3</v>
      </c>
      <c r="I470" s="39">
        <f t="shared" si="20"/>
        <v>100</v>
      </c>
    </row>
    <row r="471" spans="1:9" ht="42.75" customHeight="1">
      <c r="A471" s="40" t="s">
        <v>681</v>
      </c>
      <c r="B471" s="35"/>
      <c r="C471" s="36" t="s">
        <v>678</v>
      </c>
      <c r="D471" s="36" t="s">
        <v>688</v>
      </c>
      <c r="E471" s="36" t="s">
        <v>682</v>
      </c>
      <c r="F471" s="41"/>
      <c r="G471" s="38">
        <f t="shared" si="22"/>
        <v>2.3</v>
      </c>
      <c r="H471" s="38">
        <f t="shared" si="22"/>
        <v>2.3</v>
      </c>
      <c r="I471" s="39">
        <f t="shared" si="20"/>
        <v>100</v>
      </c>
    </row>
    <row r="472" spans="1:9" ht="15">
      <c r="A472" s="40" t="s">
        <v>689</v>
      </c>
      <c r="B472" s="35"/>
      <c r="C472" s="36" t="s">
        <v>690</v>
      </c>
      <c r="D472" s="36" t="s">
        <v>688</v>
      </c>
      <c r="E472" s="36" t="s">
        <v>691</v>
      </c>
      <c r="F472" s="41"/>
      <c r="G472" s="38">
        <f t="shared" si="22"/>
        <v>2.3</v>
      </c>
      <c r="H472" s="38">
        <f t="shared" si="22"/>
        <v>2.3</v>
      </c>
      <c r="I472" s="39">
        <f t="shared" si="20"/>
        <v>100</v>
      </c>
    </row>
    <row r="473" spans="1:9" ht="28.5" customHeight="1">
      <c r="A473" s="40" t="s">
        <v>685</v>
      </c>
      <c r="B473" s="35"/>
      <c r="C473" s="36" t="s">
        <v>678</v>
      </c>
      <c r="D473" s="36" t="s">
        <v>688</v>
      </c>
      <c r="E473" s="36" t="s">
        <v>691</v>
      </c>
      <c r="F473" s="37" t="s">
        <v>686</v>
      </c>
      <c r="G473" s="38">
        <v>2.3</v>
      </c>
      <c r="H473" s="38">
        <v>2.3</v>
      </c>
      <c r="I473" s="39">
        <f t="shared" si="20"/>
        <v>100</v>
      </c>
    </row>
    <row r="474" spans="1:9" ht="42.75">
      <c r="A474" s="40" t="s">
        <v>729</v>
      </c>
      <c r="B474" s="35"/>
      <c r="C474" s="36" t="s">
        <v>678</v>
      </c>
      <c r="D474" s="36" t="s">
        <v>712</v>
      </c>
      <c r="E474" s="36"/>
      <c r="F474" s="37"/>
      <c r="G474" s="38">
        <f aca="true" t="shared" si="23" ref="G474:H476">SUM(G475)</f>
        <v>69</v>
      </c>
      <c r="H474" s="38">
        <f t="shared" si="23"/>
        <v>69</v>
      </c>
      <c r="I474" s="39">
        <f t="shared" si="20"/>
        <v>100</v>
      </c>
    </row>
    <row r="475" spans="1:9" ht="43.5" customHeight="1">
      <c r="A475" s="40" t="s">
        <v>681</v>
      </c>
      <c r="B475" s="35"/>
      <c r="C475" s="36" t="s">
        <v>678</v>
      </c>
      <c r="D475" s="36" t="s">
        <v>712</v>
      </c>
      <c r="E475" s="36" t="s">
        <v>682</v>
      </c>
      <c r="F475" s="41"/>
      <c r="G475" s="38">
        <f t="shared" si="23"/>
        <v>69</v>
      </c>
      <c r="H475" s="38">
        <f t="shared" si="23"/>
        <v>69</v>
      </c>
      <c r="I475" s="39">
        <f t="shared" si="20"/>
        <v>100</v>
      </c>
    </row>
    <row r="476" spans="1:9" ht="14.25" customHeight="1">
      <c r="A476" s="40" t="s">
        <v>689</v>
      </c>
      <c r="B476" s="35"/>
      <c r="C476" s="36" t="s">
        <v>678</v>
      </c>
      <c r="D476" s="36" t="s">
        <v>712</v>
      </c>
      <c r="E476" s="36" t="s">
        <v>691</v>
      </c>
      <c r="F476" s="41"/>
      <c r="G476" s="38">
        <f t="shared" si="23"/>
        <v>69</v>
      </c>
      <c r="H476" s="38">
        <f t="shared" si="23"/>
        <v>69</v>
      </c>
      <c r="I476" s="39">
        <f t="shared" si="20"/>
        <v>100</v>
      </c>
    </row>
    <row r="477" spans="1:9" ht="29.25" customHeight="1">
      <c r="A477" s="40" t="s">
        <v>685</v>
      </c>
      <c r="B477" s="35"/>
      <c r="C477" s="36" t="s">
        <v>678</v>
      </c>
      <c r="D477" s="36" t="s">
        <v>712</v>
      </c>
      <c r="E477" s="36" t="s">
        <v>691</v>
      </c>
      <c r="F477" s="37" t="s">
        <v>686</v>
      </c>
      <c r="G477" s="38">
        <v>69</v>
      </c>
      <c r="H477" s="38">
        <v>69</v>
      </c>
      <c r="I477" s="39">
        <f t="shared" si="20"/>
        <v>100</v>
      </c>
    </row>
    <row r="478" spans="1:9" ht="42.75">
      <c r="A478" s="34" t="s">
        <v>750</v>
      </c>
      <c r="B478" s="35"/>
      <c r="C478" s="36" t="s">
        <v>678</v>
      </c>
      <c r="D478" s="36" t="s">
        <v>751</v>
      </c>
      <c r="E478" s="36"/>
      <c r="F478" s="37"/>
      <c r="G478" s="38">
        <f aca="true" t="shared" si="24" ref="G478:H480">SUM(G479)</f>
        <v>6.9</v>
      </c>
      <c r="H478" s="38">
        <f t="shared" si="24"/>
        <v>6.9</v>
      </c>
      <c r="I478" s="39">
        <f t="shared" si="20"/>
        <v>100</v>
      </c>
    </row>
    <row r="479" spans="1:9" ht="45.75" customHeight="1">
      <c r="A479" s="34" t="s">
        <v>681</v>
      </c>
      <c r="B479" s="35"/>
      <c r="C479" s="36" t="s">
        <v>678</v>
      </c>
      <c r="D479" s="36" t="s">
        <v>751</v>
      </c>
      <c r="E479" s="36" t="s">
        <v>682</v>
      </c>
      <c r="F479" s="37"/>
      <c r="G479" s="38">
        <f t="shared" si="24"/>
        <v>6.9</v>
      </c>
      <c r="H479" s="38">
        <f t="shared" si="24"/>
        <v>6.9</v>
      </c>
      <c r="I479" s="39">
        <f t="shared" si="20"/>
        <v>100</v>
      </c>
    </row>
    <row r="480" spans="1:9" ht="15">
      <c r="A480" s="34" t="s">
        <v>689</v>
      </c>
      <c r="B480" s="35"/>
      <c r="C480" s="36" t="s">
        <v>678</v>
      </c>
      <c r="D480" s="36" t="s">
        <v>751</v>
      </c>
      <c r="E480" s="36" t="s">
        <v>691</v>
      </c>
      <c r="F480" s="37"/>
      <c r="G480" s="38">
        <f t="shared" si="24"/>
        <v>6.9</v>
      </c>
      <c r="H480" s="38">
        <f t="shared" si="24"/>
        <v>6.9</v>
      </c>
      <c r="I480" s="39">
        <f t="shared" si="20"/>
        <v>100</v>
      </c>
    </row>
    <row r="481" spans="1:9" s="155" customFormat="1" ht="27" customHeight="1">
      <c r="A481" s="40" t="s">
        <v>685</v>
      </c>
      <c r="B481" s="35"/>
      <c r="C481" s="36" t="s">
        <v>690</v>
      </c>
      <c r="D481" s="36" t="s">
        <v>751</v>
      </c>
      <c r="E481" s="36" t="s">
        <v>691</v>
      </c>
      <c r="F481" s="42" t="s">
        <v>686</v>
      </c>
      <c r="G481" s="38">
        <v>6.9</v>
      </c>
      <c r="H481" s="38">
        <v>6.9</v>
      </c>
      <c r="I481" s="39">
        <f t="shared" si="20"/>
        <v>100</v>
      </c>
    </row>
    <row r="482" spans="1:9" ht="15">
      <c r="A482" s="40" t="s">
        <v>694</v>
      </c>
      <c r="B482" s="35"/>
      <c r="C482" s="36" t="s">
        <v>678</v>
      </c>
      <c r="D482" s="36" t="s">
        <v>773</v>
      </c>
      <c r="E482" s="36"/>
      <c r="F482" s="37"/>
      <c r="G482" s="38">
        <f aca="true" t="shared" si="25" ref="G482:H484">SUM(G483)</f>
        <v>18.4</v>
      </c>
      <c r="H482" s="38">
        <f t="shared" si="25"/>
        <v>18.4</v>
      </c>
      <c r="I482" s="39">
        <f t="shared" si="20"/>
        <v>100</v>
      </c>
    </row>
    <row r="483" spans="1:9" ht="30.75" customHeight="1">
      <c r="A483" s="40" t="s">
        <v>774</v>
      </c>
      <c r="B483" s="35"/>
      <c r="C483" s="36" t="s">
        <v>678</v>
      </c>
      <c r="D483" s="36" t="s">
        <v>773</v>
      </c>
      <c r="E483" s="36" t="s">
        <v>793</v>
      </c>
      <c r="F483" s="41"/>
      <c r="G483" s="38">
        <f t="shared" si="25"/>
        <v>18.4</v>
      </c>
      <c r="H483" s="38">
        <f t="shared" si="25"/>
        <v>18.4</v>
      </c>
      <c r="I483" s="39">
        <f t="shared" si="20"/>
        <v>100</v>
      </c>
    </row>
    <row r="484" spans="1:9" ht="14.25" customHeight="1">
      <c r="A484" s="40" t="s">
        <v>689</v>
      </c>
      <c r="B484" s="35"/>
      <c r="C484" s="36" t="s">
        <v>678</v>
      </c>
      <c r="D484" s="36" t="s">
        <v>773</v>
      </c>
      <c r="E484" s="36" t="s">
        <v>794</v>
      </c>
      <c r="F484" s="41"/>
      <c r="G484" s="38">
        <f t="shared" si="25"/>
        <v>18.4</v>
      </c>
      <c r="H484" s="38">
        <f t="shared" si="25"/>
        <v>18.4</v>
      </c>
      <c r="I484" s="39">
        <f t="shared" si="20"/>
        <v>100</v>
      </c>
    </row>
    <row r="485" spans="1:9" ht="29.25" customHeight="1">
      <c r="A485" s="40" t="s">
        <v>685</v>
      </c>
      <c r="B485" s="35"/>
      <c r="C485" s="36" t="s">
        <v>678</v>
      </c>
      <c r="D485" s="36" t="s">
        <v>773</v>
      </c>
      <c r="E485" s="36" t="s">
        <v>794</v>
      </c>
      <c r="F485" s="37" t="s">
        <v>783</v>
      </c>
      <c r="G485" s="38">
        <v>18.4</v>
      </c>
      <c r="H485" s="38">
        <v>18.4</v>
      </c>
      <c r="I485" s="39">
        <f t="shared" si="20"/>
        <v>100</v>
      </c>
    </row>
    <row r="486" spans="1:9" ht="30" customHeight="1">
      <c r="A486" s="34" t="s">
        <v>799</v>
      </c>
      <c r="B486" s="35"/>
      <c r="C486" s="36" t="s">
        <v>688</v>
      </c>
      <c r="D486" s="36"/>
      <c r="E486" s="36"/>
      <c r="F486" s="37"/>
      <c r="G486" s="38">
        <f>SUM(G487+G491)</f>
        <v>142.6</v>
      </c>
      <c r="H486" s="38">
        <f>SUM(H487+H491)</f>
        <v>142.5</v>
      </c>
      <c r="I486" s="39">
        <f t="shared" si="20"/>
        <v>99.92987377279103</v>
      </c>
    </row>
    <row r="487" spans="1:9" ht="21" customHeight="1">
      <c r="A487" s="34" t="s">
        <v>800</v>
      </c>
      <c r="B487" s="35"/>
      <c r="C487" s="36" t="s">
        <v>688</v>
      </c>
      <c r="D487" s="36" t="s">
        <v>680</v>
      </c>
      <c r="E487" s="36"/>
      <c r="F487" s="37"/>
      <c r="G487" s="38">
        <f aca="true" t="shared" si="26" ref="G487:H489">SUM(G488)</f>
        <v>62.1</v>
      </c>
      <c r="H487" s="38">
        <f t="shared" si="26"/>
        <v>62.1</v>
      </c>
      <c r="I487" s="39">
        <f t="shared" si="20"/>
        <v>100</v>
      </c>
    </row>
    <row r="488" spans="1:9" ht="18" customHeight="1">
      <c r="A488" s="54" t="s">
        <v>801</v>
      </c>
      <c r="B488" s="35"/>
      <c r="C488" s="36" t="s">
        <v>688</v>
      </c>
      <c r="D488" s="36" t="s">
        <v>680</v>
      </c>
      <c r="E488" s="64" t="s">
        <v>802</v>
      </c>
      <c r="F488" s="37"/>
      <c r="G488" s="38">
        <f t="shared" si="26"/>
        <v>62.1</v>
      </c>
      <c r="H488" s="38">
        <f t="shared" si="26"/>
        <v>62.1</v>
      </c>
      <c r="I488" s="39">
        <f t="shared" si="20"/>
        <v>100</v>
      </c>
    </row>
    <row r="489" spans="1:10" ht="28.5">
      <c r="A489" s="54" t="s">
        <v>864</v>
      </c>
      <c r="B489" s="35"/>
      <c r="C489" s="36" t="s">
        <v>688</v>
      </c>
      <c r="D489" s="36" t="s">
        <v>680</v>
      </c>
      <c r="E489" s="64" t="s">
        <v>865</v>
      </c>
      <c r="F489" s="37"/>
      <c r="G489" s="38">
        <f t="shared" si="26"/>
        <v>62.1</v>
      </c>
      <c r="H489" s="38">
        <f t="shared" si="26"/>
        <v>62.1</v>
      </c>
      <c r="I489" s="39">
        <f t="shared" si="20"/>
        <v>100</v>
      </c>
      <c r="J489" s="6"/>
    </row>
    <row r="490" spans="1:10" ht="42.75">
      <c r="A490" s="54" t="s">
        <v>805</v>
      </c>
      <c r="B490" s="35"/>
      <c r="C490" s="36" t="s">
        <v>688</v>
      </c>
      <c r="D490" s="36" t="s">
        <v>680</v>
      </c>
      <c r="E490" s="64" t="s">
        <v>865</v>
      </c>
      <c r="F490" s="37" t="s">
        <v>806</v>
      </c>
      <c r="G490" s="38">
        <v>62.1</v>
      </c>
      <c r="H490" s="38">
        <v>62.1</v>
      </c>
      <c r="I490" s="39">
        <f t="shared" si="20"/>
        <v>100</v>
      </c>
      <c r="J490" s="6"/>
    </row>
    <row r="491" spans="1:10" ht="45.75" customHeight="1">
      <c r="A491" s="54" t="s">
        <v>886</v>
      </c>
      <c r="B491" s="35"/>
      <c r="C491" s="53" t="s">
        <v>688</v>
      </c>
      <c r="D491" s="53" t="s">
        <v>887</v>
      </c>
      <c r="E491" s="53"/>
      <c r="F491" s="41"/>
      <c r="G491" s="38">
        <f aca="true" t="shared" si="27" ref="G491:H493">SUM(G492)</f>
        <v>80.5</v>
      </c>
      <c r="H491" s="38">
        <f t="shared" si="27"/>
        <v>80.4</v>
      </c>
      <c r="I491" s="39">
        <f t="shared" si="20"/>
        <v>99.87577639751554</v>
      </c>
      <c r="J491" s="6"/>
    </row>
    <row r="492" spans="1:10" ht="51" customHeight="1">
      <c r="A492" s="34" t="s">
        <v>898</v>
      </c>
      <c r="B492" s="35"/>
      <c r="C492" s="53" t="s">
        <v>688</v>
      </c>
      <c r="D492" s="53" t="s">
        <v>887</v>
      </c>
      <c r="E492" s="53" t="s">
        <v>899</v>
      </c>
      <c r="F492" s="41"/>
      <c r="G492" s="38">
        <f t="shared" si="27"/>
        <v>80.5</v>
      </c>
      <c r="H492" s="38">
        <f t="shared" si="27"/>
        <v>80.4</v>
      </c>
      <c r="I492" s="39">
        <f t="shared" si="20"/>
        <v>99.87577639751554</v>
      </c>
      <c r="J492" s="6"/>
    </row>
    <row r="493" spans="1:10" ht="29.25" customHeight="1">
      <c r="A493" s="34" t="s">
        <v>780</v>
      </c>
      <c r="B493" s="35"/>
      <c r="C493" s="53" t="s">
        <v>688</v>
      </c>
      <c r="D493" s="53" t="s">
        <v>887</v>
      </c>
      <c r="E493" s="53" t="s">
        <v>900</v>
      </c>
      <c r="F493" s="41"/>
      <c r="G493" s="38">
        <f t="shared" si="27"/>
        <v>80.5</v>
      </c>
      <c r="H493" s="38">
        <f t="shared" si="27"/>
        <v>80.4</v>
      </c>
      <c r="I493" s="39">
        <f t="shared" si="20"/>
        <v>99.87577639751554</v>
      </c>
      <c r="J493" s="6"/>
    </row>
    <row r="494" spans="1:10" ht="15.75" customHeight="1">
      <c r="A494" s="57" t="s">
        <v>782</v>
      </c>
      <c r="B494" s="72"/>
      <c r="C494" s="73" t="s">
        <v>688</v>
      </c>
      <c r="D494" s="73" t="s">
        <v>887</v>
      </c>
      <c r="E494" s="73" t="s">
        <v>900</v>
      </c>
      <c r="F494" s="42" t="s">
        <v>783</v>
      </c>
      <c r="G494" s="38">
        <v>80.5</v>
      </c>
      <c r="H494" s="38">
        <v>80.4</v>
      </c>
      <c r="I494" s="39">
        <f t="shared" si="20"/>
        <v>99.87577639751554</v>
      </c>
      <c r="J494" s="6"/>
    </row>
    <row r="495" spans="1:9" ht="18.75" customHeight="1">
      <c r="A495" s="46" t="s">
        <v>711</v>
      </c>
      <c r="B495" s="47"/>
      <c r="C495" s="81" t="s">
        <v>712</v>
      </c>
      <c r="D495" s="81"/>
      <c r="E495" s="81"/>
      <c r="F495" s="68"/>
      <c r="G495" s="71">
        <f>SUM(G496)</f>
        <v>4369</v>
      </c>
      <c r="H495" s="71">
        <f>SUM(H496)</f>
        <v>4369</v>
      </c>
      <c r="I495" s="39">
        <f t="shared" si="20"/>
        <v>100</v>
      </c>
    </row>
    <row r="496" spans="1:9" ht="18" customHeight="1">
      <c r="A496" s="34" t="s">
        <v>713</v>
      </c>
      <c r="B496" s="35"/>
      <c r="C496" s="36" t="s">
        <v>712</v>
      </c>
      <c r="D496" s="36" t="s">
        <v>714</v>
      </c>
      <c r="E496" s="36"/>
      <c r="F496" s="37"/>
      <c r="G496" s="38">
        <f>SUM(G497)</f>
        <v>4369</v>
      </c>
      <c r="H496" s="38">
        <f>SUM(H497)</f>
        <v>4369</v>
      </c>
      <c r="I496" s="39">
        <f t="shared" si="20"/>
        <v>100</v>
      </c>
    </row>
    <row r="497" spans="1:9" ht="28.5" customHeight="1">
      <c r="A497" s="34" t="s">
        <v>911</v>
      </c>
      <c r="B497" s="35"/>
      <c r="C497" s="36" t="s">
        <v>712</v>
      </c>
      <c r="D497" s="36" t="s">
        <v>714</v>
      </c>
      <c r="E497" s="53" t="s">
        <v>912</v>
      </c>
      <c r="F497" s="41"/>
      <c r="G497" s="38">
        <f>SUM(G498+G499)</f>
        <v>4369</v>
      </c>
      <c r="H497" s="38">
        <f>SUM(H498+H499)</f>
        <v>4369</v>
      </c>
      <c r="I497" s="39">
        <f t="shared" si="20"/>
        <v>100</v>
      </c>
    </row>
    <row r="498" spans="1:9" ht="18" customHeight="1">
      <c r="A498" s="34" t="s">
        <v>903</v>
      </c>
      <c r="B498" s="35"/>
      <c r="C498" s="36" t="s">
        <v>712</v>
      </c>
      <c r="D498" s="36" t="s">
        <v>714</v>
      </c>
      <c r="E498" s="53" t="s">
        <v>912</v>
      </c>
      <c r="F498" s="37" t="s">
        <v>904</v>
      </c>
      <c r="G498" s="38">
        <v>2239.5</v>
      </c>
      <c r="H498" s="38">
        <v>2239.5</v>
      </c>
      <c r="I498" s="39">
        <f t="shared" si="20"/>
        <v>100</v>
      </c>
    </row>
    <row r="499" spans="1:9" ht="87.75" customHeight="1">
      <c r="A499" s="80" t="s">
        <v>915</v>
      </c>
      <c r="B499" s="35"/>
      <c r="C499" s="36" t="s">
        <v>712</v>
      </c>
      <c r="D499" s="36" t="s">
        <v>714</v>
      </c>
      <c r="E499" s="53" t="s">
        <v>916</v>
      </c>
      <c r="F499" s="41"/>
      <c r="G499" s="38">
        <f>SUM(G500)</f>
        <v>2129.5</v>
      </c>
      <c r="H499" s="38">
        <f>SUM(H500)</f>
        <v>2129.5</v>
      </c>
      <c r="I499" s="39">
        <f t="shared" si="20"/>
        <v>100</v>
      </c>
    </row>
    <row r="500" spans="1:9" ht="16.5" customHeight="1">
      <c r="A500" s="34" t="s">
        <v>903</v>
      </c>
      <c r="B500" s="35"/>
      <c r="C500" s="36" t="s">
        <v>712</v>
      </c>
      <c r="D500" s="36" t="s">
        <v>714</v>
      </c>
      <c r="E500" s="53" t="s">
        <v>916</v>
      </c>
      <c r="F500" s="41" t="s">
        <v>904</v>
      </c>
      <c r="G500" s="38">
        <v>2129.5</v>
      </c>
      <c r="H500" s="38">
        <v>2129.5</v>
      </c>
      <c r="I500" s="39">
        <f t="shared" si="20"/>
        <v>100</v>
      </c>
    </row>
    <row r="501" spans="1:10" s="83" customFormat="1" ht="15">
      <c r="A501" s="46" t="s">
        <v>1061</v>
      </c>
      <c r="B501" s="47"/>
      <c r="C501" s="81" t="s">
        <v>751</v>
      </c>
      <c r="D501" s="81"/>
      <c r="E501" s="81"/>
      <c r="F501" s="68"/>
      <c r="G501" s="71">
        <f>SUM(G502)</f>
        <v>29.9</v>
      </c>
      <c r="H501" s="71">
        <f>SUM(H502)</f>
        <v>29.9</v>
      </c>
      <c r="I501" s="39">
        <f t="shared" si="20"/>
        <v>100</v>
      </c>
      <c r="J501" s="147"/>
    </row>
    <row r="502" spans="1:10" ht="27.75" customHeight="1">
      <c r="A502" s="34" t="s">
        <v>1062</v>
      </c>
      <c r="B502" s="35"/>
      <c r="C502" s="36" t="s">
        <v>751</v>
      </c>
      <c r="D502" s="36" t="s">
        <v>688</v>
      </c>
      <c r="E502" s="36"/>
      <c r="F502" s="37"/>
      <c r="G502" s="38">
        <f>SUM(G505)</f>
        <v>29.9</v>
      </c>
      <c r="H502" s="38">
        <f>SUM(H505)</f>
        <v>29.9</v>
      </c>
      <c r="I502" s="39">
        <f t="shared" si="20"/>
        <v>100</v>
      </c>
      <c r="J502" s="6"/>
    </row>
    <row r="503" spans="1:10" ht="15">
      <c r="A503" s="34" t="s">
        <v>1063</v>
      </c>
      <c r="B503" s="35"/>
      <c r="C503" s="36" t="s">
        <v>751</v>
      </c>
      <c r="D503" s="36" t="s">
        <v>688</v>
      </c>
      <c r="E503" s="36" t="s">
        <v>1064</v>
      </c>
      <c r="F503" s="37"/>
      <c r="G503" s="38">
        <f>SUM(G504)</f>
        <v>29.9</v>
      </c>
      <c r="H503" s="38">
        <f>SUM(H504)</f>
        <v>29.9</v>
      </c>
      <c r="I503" s="39">
        <f t="shared" si="20"/>
        <v>100</v>
      </c>
      <c r="J503" s="6"/>
    </row>
    <row r="504" spans="1:10" ht="27.75" customHeight="1">
      <c r="A504" s="74" t="s">
        <v>780</v>
      </c>
      <c r="B504" s="114"/>
      <c r="C504" s="73" t="s">
        <v>751</v>
      </c>
      <c r="D504" s="73" t="s">
        <v>688</v>
      </c>
      <c r="E504" s="73" t="s">
        <v>1065</v>
      </c>
      <c r="F504" s="42"/>
      <c r="G504" s="38">
        <f>SUM(G505)</f>
        <v>29.9</v>
      </c>
      <c r="H504" s="38">
        <f>SUM(H505)</f>
        <v>29.9</v>
      </c>
      <c r="I504" s="39">
        <f t="shared" si="20"/>
        <v>100</v>
      </c>
      <c r="J504" s="6"/>
    </row>
    <row r="505" spans="1:10" ht="15.75" customHeight="1">
      <c r="A505" s="57" t="s">
        <v>782</v>
      </c>
      <c r="B505" s="35"/>
      <c r="C505" s="36" t="s">
        <v>751</v>
      </c>
      <c r="D505" s="36" t="s">
        <v>688</v>
      </c>
      <c r="E505" s="73" t="s">
        <v>1065</v>
      </c>
      <c r="F505" s="42" t="s">
        <v>783</v>
      </c>
      <c r="G505" s="38">
        <v>29.9</v>
      </c>
      <c r="H505" s="38">
        <v>29.9</v>
      </c>
      <c r="I505" s="39">
        <f t="shared" si="20"/>
        <v>100</v>
      </c>
      <c r="J505" s="6"/>
    </row>
    <row r="506" spans="1:9" ht="15">
      <c r="A506" s="121" t="s">
        <v>700</v>
      </c>
      <c r="B506" s="35"/>
      <c r="C506" s="81" t="s">
        <v>701</v>
      </c>
      <c r="D506" s="81"/>
      <c r="E506" s="81"/>
      <c r="F506" s="68"/>
      <c r="G506" s="71">
        <f>SUM(G507+G511+G535+G541)</f>
        <v>53383</v>
      </c>
      <c r="H506" s="71">
        <f>SUM(H507+H511+H535+H541)</f>
        <v>53362.3</v>
      </c>
      <c r="I506" s="39">
        <f t="shared" si="20"/>
        <v>99.96122361051272</v>
      </c>
    </row>
    <row r="507" spans="1:10" s="106" customFormat="1" ht="15">
      <c r="A507" s="40" t="s">
        <v>1083</v>
      </c>
      <c r="B507" s="128"/>
      <c r="C507" s="53" t="s">
        <v>701</v>
      </c>
      <c r="D507" s="53" t="s">
        <v>678</v>
      </c>
      <c r="E507" s="53"/>
      <c r="F507" s="41"/>
      <c r="G507" s="38">
        <f aca="true" t="shared" si="28" ref="G507:H509">SUM(G508)</f>
        <v>5543</v>
      </c>
      <c r="H507" s="38">
        <f t="shared" si="28"/>
        <v>5540.6</v>
      </c>
      <c r="I507" s="39">
        <f t="shared" si="20"/>
        <v>99.9567021468519</v>
      </c>
      <c r="J507" s="129"/>
    </row>
    <row r="508" spans="1:10" s="106" customFormat="1" ht="15">
      <c r="A508" s="40" t="s">
        <v>1084</v>
      </c>
      <c r="B508" s="128"/>
      <c r="C508" s="53" t="s">
        <v>701</v>
      </c>
      <c r="D508" s="53" t="s">
        <v>678</v>
      </c>
      <c r="E508" s="53" t="s">
        <v>1085</v>
      </c>
      <c r="F508" s="41"/>
      <c r="G508" s="38">
        <f t="shared" si="28"/>
        <v>5543</v>
      </c>
      <c r="H508" s="38">
        <f t="shared" si="28"/>
        <v>5540.6</v>
      </c>
      <c r="I508" s="39">
        <f t="shared" si="20"/>
        <v>99.9567021468519</v>
      </c>
      <c r="J508" s="129"/>
    </row>
    <row r="509" spans="1:10" s="106" customFormat="1" ht="29.25" customHeight="1">
      <c r="A509" s="40" t="s">
        <v>780</v>
      </c>
      <c r="B509" s="128"/>
      <c r="C509" s="53" t="s">
        <v>701</v>
      </c>
      <c r="D509" s="53" t="s">
        <v>678</v>
      </c>
      <c r="E509" s="53" t="s">
        <v>1086</v>
      </c>
      <c r="F509" s="41"/>
      <c r="G509" s="38">
        <f t="shared" si="28"/>
        <v>5543</v>
      </c>
      <c r="H509" s="38">
        <f t="shared" si="28"/>
        <v>5540.6</v>
      </c>
      <c r="I509" s="39">
        <f t="shared" si="20"/>
        <v>99.9567021468519</v>
      </c>
      <c r="J509" s="129"/>
    </row>
    <row r="510" spans="1:10" s="106" customFormat="1" ht="14.25" customHeight="1">
      <c r="A510" s="57" t="s">
        <v>782</v>
      </c>
      <c r="B510" s="72"/>
      <c r="C510" s="73" t="s">
        <v>701</v>
      </c>
      <c r="D510" s="73" t="s">
        <v>678</v>
      </c>
      <c r="E510" s="73" t="s">
        <v>1086</v>
      </c>
      <c r="F510" s="42" t="s">
        <v>783</v>
      </c>
      <c r="G510" s="38">
        <v>5543</v>
      </c>
      <c r="H510" s="38">
        <v>5540.6</v>
      </c>
      <c r="I510" s="39">
        <f t="shared" si="20"/>
        <v>99.9567021468519</v>
      </c>
      <c r="J510" s="129"/>
    </row>
    <row r="511" spans="1:9" ht="15">
      <c r="A511" s="40" t="s">
        <v>1101</v>
      </c>
      <c r="B511" s="35"/>
      <c r="C511" s="53" t="s">
        <v>701</v>
      </c>
      <c r="D511" s="53" t="s">
        <v>680</v>
      </c>
      <c r="E511" s="81"/>
      <c r="F511" s="68"/>
      <c r="G511" s="38">
        <f>SUM(G518)+G512+G515+G525</f>
        <v>47402.8</v>
      </c>
      <c r="H511" s="38">
        <f>SUM(H518)+H512+H515+H525</f>
        <v>47386.9</v>
      </c>
      <c r="I511" s="39">
        <f t="shared" si="20"/>
        <v>99.96645767760553</v>
      </c>
    </row>
    <row r="512" spans="1:10" s="106" customFormat="1" ht="28.5" customHeight="1">
      <c r="A512" s="40" t="s">
        <v>1104</v>
      </c>
      <c r="B512" s="128"/>
      <c r="C512" s="53" t="s">
        <v>701</v>
      </c>
      <c r="D512" s="53" t="s">
        <v>680</v>
      </c>
      <c r="E512" s="53" t="s">
        <v>1105</v>
      </c>
      <c r="F512" s="41"/>
      <c r="G512" s="38">
        <f>SUM(G513)</f>
        <v>4452.8</v>
      </c>
      <c r="H512" s="38">
        <f>SUM(H513)</f>
        <v>4450.9</v>
      </c>
      <c r="I512" s="39">
        <f t="shared" si="20"/>
        <v>99.95733021918791</v>
      </c>
      <c r="J512" s="129"/>
    </row>
    <row r="513" spans="1:10" s="106" customFormat="1" ht="29.25" customHeight="1">
      <c r="A513" s="40" t="s">
        <v>780</v>
      </c>
      <c r="B513" s="128"/>
      <c r="C513" s="53" t="s">
        <v>701</v>
      </c>
      <c r="D513" s="53" t="s">
        <v>680</v>
      </c>
      <c r="E513" s="53" t="s">
        <v>1106</v>
      </c>
      <c r="F513" s="41"/>
      <c r="G513" s="38">
        <f>SUM(G514)</f>
        <v>4452.8</v>
      </c>
      <c r="H513" s="38">
        <f>SUM(H514)</f>
        <v>4450.9</v>
      </c>
      <c r="I513" s="39">
        <f t="shared" si="20"/>
        <v>99.95733021918791</v>
      </c>
      <c r="J513" s="129"/>
    </row>
    <row r="514" spans="1:10" s="106" customFormat="1" ht="21" customHeight="1">
      <c r="A514" s="57" t="s">
        <v>782</v>
      </c>
      <c r="B514" s="72"/>
      <c r="C514" s="53" t="s">
        <v>701</v>
      </c>
      <c r="D514" s="53" t="s">
        <v>680</v>
      </c>
      <c r="E514" s="53" t="s">
        <v>1106</v>
      </c>
      <c r="F514" s="42" t="s">
        <v>783</v>
      </c>
      <c r="G514" s="38">
        <v>4452.8</v>
      </c>
      <c r="H514" s="38">
        <v>4450.9</v>
      </c>
      <c r="I514" s="39">
        <f t="shared" si="20"/>
        <v>99.95733021918791</v>
      </c>
      <c r="J514" s="129"/>
    </row>
    <row r="515" spans="1:10" ht="18" customHeight="1">
      <c r="A515" s="34" t="s">
        <v>1126</v>
      </c>
      <c r="B515" s="35"/>
      <c r="C515" s="53" t="s">
        <v>701</v>
      </c>
      <c r="D515" s="53" t="s">
        <v>680</v>
      </c>
      <c r="E515" s="53" t="s">
        <v>1127</v>
      </c>
      <c r="F515" s="41"/>
      <c r="G515" s="38">
        <f>SUM(G516)</f>
        <v>1361.6</v>
      </c>
      <c r="H515" s="38">
        <f>SUM(H516)</f>
        <v>1354.1</v>
      </c>
      <c r="I515" s="39">
        <f t="shared" si="20"/>
        <v>99.44917743830788</v>
      </c>
      <c r="J515" s="6"/>
    </row>
    <row r="516" spans="1:10" ht="33" customHeight="1">
      <c r="A516" s="40" t="s">
        <v>780</v>
      </c>
      <c r="B516" s="128"/>
      <c r="C516" s="53" t="s">
        <v>701</v>
      </c>
      <c r="D516" s="53" t="s">
        <v>680</v>
      </c>
      <c r="E516" s="53" t="s">
        <v>1128</v>
      </c>
      <c r="F516" s="41"/>
      <c r="G516" s="38">
        <f>SUM(G517)</f>
        <v>1361.6</v>
      </c>
      <c r="H516" s="38">
        <f>SUM(H517)</f>
        <v>1354.1</v>
      </c>
      <c r="I516" s="39">
        <f t="shared" si="20"/>
        <v>99.44917743830788</v>
      </c>
      <c r="J516" s="6"/>
    </row>
    <row r="517" spans="1:10" ht="15.75" customHeight="1">
      <c r="A517" s="57" t="s">
        <v>782</v>
      </c>
      <c r="B517" s="72"/>
      <c r="C517" s="53" t="s">
        <v>701</v>
      </c>
      <c r="D517" s="53" t="s">
        <v>680</v>
      </c>
      <c r="E517" s="53" t="s">
        <v>1128</v>
      </c>
      <c r="F517" s="42" t="s">
        <v>783</v>
      </c>
      <c r="G517" s="38">
        <v>1361.6</v>
      </c>
      <c r="H517" s="38">
        <v>1354.1</v>
      </c>
      <c r="I517" s="39">
        <f t="shared" si="20"/>
        <v>99.44917743830788</v>
      </c>
      <c r="J517" s="6"/>
    </row>
    <row r="518" spans="1:9" ht="15">
      <c r="A518" s="34" t="s">
        <v>1133</v>
      </c>
      <c r="B518" s="35"/>
      <c r="C518" s="53" t="s">
        <v>701</v>
      </c>
      <c r="D518" s="53" t="s">
        <v>680</v>
      </c>
      <c r="E518" s="53" t="s">
        <v>1134</v>
      </c>
      <c r="F518" s="68"/>
      <c r="G518" s="38">
        <f>SUM(G519)</f>
        <v>41328.5</v>
      </c>
      <c r="H518" s="38">
        <f>SUM(H519)</f>
        <v>41322.1</v>
      </c>
      <c r="I518" s="39">
        <f t="shared" si="20"/>
        <v>99.98451431820656</v>
      </c>
    </row>
    <row r="519" spans="1:9" ht="28.5">
      <c r="A519" s="40" t="s">
        <v>780</v>
      </c>
      <c r="B519" s="35"/>
      <c r="C519" s="53" t="s">
        <v>701</v>
      </c>
      <c r="D519" s="53" t="s">
        <v>680</v>
      </c>
      <c r="E519" s="53" t="s">
        <v>1135</v>
      </c>
      <c r="F519" s="68"/>
      <c r="G519" s="38">
        <f>SUM(G523+G521+G520)</f>
        <v>41328.5</v>
      </c>
      <c r="H519" s="38">
        <f>SUM(H523+H521+H520)</f>
        <v>41322.1</v>
      </c>
      <c r="I519" s="39">
        <f t="shared" si="20"/>
        <v>99.98451431820656</v>
      </c>
    </row>
    <row r="520" spans="1:9" ht="23.25" customHeight="1">
      <c r="A520" s="57" t="s">
        <v>782</v>
      </c>
      <c r="B520" s="35"/>
      <c r="C520" s="53" t="s">
        <v>701</v>
      </c>
      <c r="D520" s="53" t="s">
        <v>680</v>
      </c>
      <c r="E520" s="36" t="s">
        <v>1135</v>
      </c>
      <c r="F520" s="41" t="s">
        <v>783</v>
      </c>
      <c r="G520" s="38">
        <v>342.7</v>
      </c>
      <c r="H520" s="38">
        <v>342.5</v>
      </c>
      <c r="I520" s="39">
        <f t="shared" si="20"/>
        <v>99.94163991829589</v>
      </c>
    </row>
    <row r="521" spans="1:9" ht="57">
      <c r="A521" s="57" t="s">
        <v>1116</v>
      </c>
      <c r="B521" s="72"/>
      <c r="C521" s="53" t="s">
        <v>701</v>
      </c>
      <c r="D521" s="53" t="s">
        <v>680</v>
      </c>
      <c r="E521" s="53" t="s">
        <v>1137</v>
      </c>
      <c r="F521" s="42"/>
      <c r="G521" s="38">
        <f>SUM(G522)</f>
        <v>42.4</v>
      </c>
      <c r="H521" s="38">
        <f>SUM(H522)</f>
        <v>36.2</v>
      </c>
      <c r="I521" s="39">
        <f t="shared" si="20"/>
        <v>85.37735849056605</v>
      </c>
    </row>
    <row r="522" spans="1:9" ht="15">
      <c r="A522" s="57" t="s">
        <v>782</v>
      </c>
      <c r="B522" s="72"/>
      <c r="C522" s="53" t="s">
        <v>701</v>
      </c>
      <c r="D522" s="53" t="s">
        <v>680</v>
      </c>
      <c r="E522" s="53" t="s">
        <v>1137</v>
      </c>
      <c r="F522" s="42" t="s">
        <v>783</v>
      </c>
      <c r="G522" s="38">
        <f>19.7+22.7</f>
        <v>42.4</v>
      </c>
      <c r="H522" s="38">
        <v>36.2</v>
      </c>
      <c r="I522" s="39">
        <f t="shared" si="20"/>
        <v>85.37735849056605</v>
      </c>
    </row>
    <row r="523" spans="1:9" ht="42.75">
      <c r="A523" s="40" t="s">
        <v>1138</v>
      </c>
      <c r="B523" s="35"/>
      <c r="C523" s="53" t="s">
        <v>701</v>
      </c>
      <c r="D523" s="53" t="s">
        <v>680</v>
      </c>
      <c r="E523" s="53" t="s">
        <v>1139</v>
      </c>
      <c r="F523" s="68"/>
      <c r="G523" s="38">
        <f>SUM(G524)</f>
        <v>40943.4</v>
      </c>
      <c r="H523" s="38">
        <f>SUM(H524)</f>
        <v>40943.4</v>
      </c>
      <c r="I523" s="39">
        <f t="shared" si="20"/>
        <v>100</v>
      </c>
    </row>
    <row r="524" spans="1:9" ht="15">
      <c r="A524" s="54" t="s">
        <v>782</v>
      </c>
      <c r="B524" s="35"/>
      <c r="C524" s="53" t="s">
        <v>701</v>
      </c>
      <c r="D524" s="53" t="s">
        <v>680</v>
      </c>
      <c r="E524" s="53" t="s">
        <v>1139</v>
      </c>
      <c r="F524" s="68" t="s">
        <v>783</v>
      </c>
      <c r="G524" s="38">
        <v>40943.4</v>
      </c>
      <c r="H524" s="38">
        <v>40943.4</v>
      </c>
      <c r="I524" s="39">
        <f t="shared" si="20"/>
        <v>100</v>
      </c>
    </row>
    <row r="525" spans="1:10" ht="18" customHeight="1">
      <c r="A525" s="40" t="s">
        <v>1140</v>
      </c>
      <c r="B525" s="53"/>
      <c r="C525" s="53" t="s">
        <v>701</v>
      </c>
      <c r="D525" s="53" t="s">
        <v>680</v>
      </c>
      <c r="E525" s="53" t="s">
        <v>1141</v>
      </c>
      <c r="F525" s="41"/>
      <c r="G525" s="38">
        <f>SUM(G526)</f>
        <v>259.9</v>
      </c>
      <c r="H525" s="38">
        <f>SUM(H526)</f>
        <v>259.8</v>
      </c>
      <c r="I525" s="39">
        <f aca="true" t="shared" si="29" ref="I525:I588">SUM(H525/G525*100)</f>
        <v>99.9615236629473</v>
      </c>
      <c r="J525" s="6"/>
    </row>
    <row r="526" spans="1:10" ht="28.5" customHeight="1">
      <c r="A526" s="40" t="s">
        <v>780</v>
      </c>
      <c r="B526" s="128"/>
      <c r="C526" s="53" t="s">
        <v>701</v>
      </c>
      <c r="D526" s="53" t="s">
        <v>680</v>
      </c>
      <c r="E526" s="53" t="s">
        <v>1142</v>
      </c>
      <c r="F526" s="41"/>
      <c r="G526" s="38">
        <f>SUM(G527)</f>
        <v>259.9</v>
      </c>
      <c r="H526" s="38">
        <f>SUM(H527)</f>
        <v>259.8</v>
      </c>
      <c r="I526" s="39">
        <f t="shared" si="29"/>
        <v>99.9615236629473</v>
      </c>
      <c r="J526" s="6"/>
    </row>
    <row r="527" spans="1:10" ht="27.75" customHeight="1">
      <c r="A527" s="57" t="s">
        <v>782</v>
      </c>
      <c r="B527" s="72"/>
      <c r="C527" s="53" t="s">
        <v>701</v>
      </c>
      <c r="D527" s="53" t="s">
        <v>680</v>
      </c>
      <c r="E527" s="53" t="s">
        <v>1142</v>
      </c>
      <c r="F527" s="42" t="s">
        <v>783</v>
      </c>
      <c r="G527" s="38">
        <v>259.9</v>
      </c>
      <c r="H527" s="38">
        <v>259.8</v>
      </c>
      <c r="I527" s="39">
        <f t="shared" si="29"/>
        <v>99.9615236629473</v>
      </c>
      <c r="J527" s="6"/>
    </row>
    <row r="528" spans="1:9" ht="15" hidden="1">
      <c r="A528" s="40" t="s">
        <v>702</v>
      </c>
      <c r="B528" s="43"/>
      <c r="C528" s="36" t="s">
        <v>701</v>
      </c>
      <c r="D528" s="36" t="s">
        <v>701</v>
      </c>
      <c r="E528" s="53"/>
      <c r="F528" s="68"/>
      <c r="G528" s="38">
        <f>SUM(G532+G529)</f>
        <v>0</v>
      </c>
      <c r="H528" s="38">
        <f>SUM(H532+H529)</f>
        <v>0</v>
      </c>
      <c r="I528" s="39" t="e">
        <f t="shared" si="29"/>
        <v>#DIV/0!</v>
      </c>
    </row>
    <row r="529" spans="1:9" ht="28.5" hidden="1">
      <c r="A529" s="51" t="s">
        <v>1165</v>
      </c>
      <c r="B529" s="52"/>
      <c r="C529" s="53" t="s">
        <v>701</v>
      </c>
      <c r="D529" s="53" t="s">
        <v>701</v>
      </c>
      <c r="E529" s="53" t="s">
        <v>1166</v>
      </c>
      <c r="F529" s="41"/>
      <c r="G529" s="38">
        <f>SUM(G530)</f>
        <v>0</v>
      </c>
      <c r="H529" s="38">
        <f>SUM(H530)</f>
        <v>0</v>
      </c>
      <c r="I529" s="39" t="e">
        <f t="shared" si="29"/>
        <v>#DIV/0!</v>
      </c>
    </row>
    <row r="530" spans="1:9" ht="15" hidden="1">
      <c r="A530" s="51" t="s">
        <v>1167</v>
      </c>
      <c r="B530" s="53"/>
      <c r="C530" s="53" t="s">
        <v>701</v>
      </c>
      <c r="D530" s="53" t="s">
        <v>701</v>
      </c>
      <c r="E530" s="53" t="s">
        <v>1168</v>
      </c>
      <c r="F530" s="41"/>
      <c r="G530" s="38">
        <f>SUM(G531)</f>
        <v>0</v>
      </c>
      <c r="H530" s="38">
        <f>SUM(H531)</f>
        <v>0</v>
      </c>
      <c r="I530" s="39" t="e">
        <f t="shared" si="29"/>
        <v>#DIV/0!</v>
      </c>
    </row>
    <row r="531" spans="1:9" ht="15" hidden="1">
      <c r="A531" s="57" t="s">
        <v>782</v>
      </c>
      <c r="B531" s="52"/>
      <c r="C531" s="53" t="s">
        <v>701</v>
      </c>
      <c r="D531" s="53" t="s">
        <v>701</v>
      </c>
      <c r="E531" s="53" t="s">
        <v>1168</v>
      </c>
      <c r="F531" s="41" t="s">
        <v>783</v>
      </c>
      <c r="G531" s="38"/>
      <c r="H531" s="38"/>
      <c r="I531" s="39" t="e">
        <f t="shared" si="29"/>
        <v>#DIV/0!</v>
      </c>
    </row>
    <row r="532" spans="1:9" ht="28.5" hidden="1">
      <c r="A532" s="54" t="s">
        <v>1174</v>
      </c>
      <c r="B532" s="43"/>
      <c r="C532" s="36" t="s">
        <v>701</v>
      </c>
      <c r="D532" s="36" t="s">
        <v>701</v>
      </c>
      <c r="E532" s="36" t="s">
        <v>704</v>
      </c>
      <c r="F532" s="68"/>
      <c r="G532" s="38">
        <f>SUM(G533)</f>
        <v>0</v>
      </c>
      <c r="H532" s="38">
        <f>SUM(H533)</f>
        <v>0</v>
      </c>
      <c r="I532" s="39" t="e">
        <f t="shared" si="29"/>
        <v>#DIV/0!</v>
      </c>
    </row>
    <row r="533" spans="1:9" ht="15" customHeight="1" hidden="1">
      <c r="A533" s="54" t="s">
        <v>1175</v>
      </c>
      <c r="B533" s="43"/>
      <c r="C533" s="36" t="s">
        <v>701</v>
      </c>
      <c r="D533" s="36" t="s">
        <v>701</v>
      </c>
      <c r="E533" s="36" t="s">
        <v>1176</v>
      </c>
      <c r="F533" s="68"/>
      <c r="G533" s="38">
        <f>SUM(G534)</f>
        <v>0</v>
      </c>
      <c r="H533" s="38">
        <f>SUM(H534)</f>
        <v>0</v>
      </c>
      <c r="I533" s="39" t="e">
        <f t="shared" si="29"/>
        <v>#DIV/0!</v>
      </c>
    </row>
    <row r="534" spans="1:9" s="116" customFormat="1" ht="15" customHeight="1" hidden="1">
      <c r="A534" s="57" t="s">
        <v>782</v>
      </c>
      <c r="B534" s="43"/>
      <c r="C534" s="36" t="s">
        <v>701</v>
      </c>
      <c r="D534" s="36" t="s">
        <v>701</v>
      </c>
      <c r="E534" s="36" t="s">
        <v>1176</v>
      </c>
      <c r="F534" s="37" t="s">
        <v>783</v>
      </c>
      <c r="G534" s="38"/>
      <c r="H534" s="38"/>
      <c r="I534" s="39" t="e">
        <f t="shared" si="29"/>
        <v>#DIV/0!</v>
      </c>
    </row>
    <row r="535" spans="1:9" s="116" customFormat="1" ht="15" customHeight="1">
      <c r="A535" s="57" t="s">
        <v>702</v>
      </c>
      <c r="B535" s="43"/>
      <c r="C535" s="36" t="s">
        <v>701</v>
      </c>
      <c r="D535" s="36" t="s">
        <v>701</v>
      </c>
      <c r="E535" s="36"/>
      <c r="F535" s="37"/>
      <c r="G535" s="38">
        <f>SUM(G536+G538)</f>
        <v>133.6</v>
      </c>
      <c r="H535" s="38">
        <f>SUM(H536+H538)</f>
        <v>131.3</v>
      </c>
      <c r="I535" s="39">
        <f t="shared" si="29"/>
        <v>98.27844311377247</v>
      </c>
    </row>
    <row r="536" spans="1:9" s="116" customFormat="1" ht="15" customHeight="1">
      <c r="A536" s="57" t="s">
        <v>740</v>
      </c>
      <c r="B536" s="43"/>
      <c r="C536" s="36" t="s">
        <v>701</v>
      </c>
      <c r="D536" s="36" t="s">
        <v>701</v>
      </c>
      <c r="E536" s="36" t="s">
        <v>741</v>
      </c>
      <c r="F536" s="37"/>
      <c r="G536" s="38">
        <f>SUM(G537)</f>
        <v>119.8</v>
      </c>
      <c r="H536" s="38">
        <f>SUM(H537)</f>
        <v>119.8</v>
      </c>
      <c r="I536" s="39">
        <f t="shared" si="29"/>
        <v>100</v>
      </c>
    </row>
    <row r="537" spans="1:9" s="116" customFormat="1" ht="15" customHeight="1">
      <c r="A537" s="57" t="s">
        <v>1163</v>
      </c>
      <c r="B537" s="43"/>
      <c r="C537" s="36" t="s">
        <v>701</v>
      </c>
      <c r="D537" s="36" t="s">
        <v>701</v>
      </c>
      <c r="E537" s="36" t="s">
        <v>741</v>
      </c>
      <c r="F537" s="37" t="s">
        <v>1164</v>
      </c>
      <c r="G537" s="38">
        <v>119.8</v>
      </c>
      <c r="H537" s="38">
        <v>119.8</v>
      </c>
      <c r="I537" s="39">
        <f t="shared" si="29"/>
        <v>100</v>
      </c>
    </row>
    <row r="538" spans="1:9" ht="28.5">
      <c r="A538" s="51" t="s">
        <v>1165</v>
      </c>
      <c r="B538" s="52"/>
      <c r="C538" s="53" t="s">
        <v>701</v>
      </c>
      <c r="D538" s="53" t="s">
        <v>701</v>
      </c>
      <c r="E538" s="53" t="s">
        <v>1166</v>
      </c>
      <c r="F538" s="41"/>
      <c r="G538" s="38">
        <f>SUM(G539)</f>
        <v>13.8</v>
      </c>
      <c r="H538" s="38">
        <f>SUM(H539)</f>
        <v>11.5</v>
      </c>
      <c r="I538" s="39">
        <f t="shared" si="29"/>
        <v>83.33333333333333</v>
      </c>
    </row>
    <row r="539" spans="1:10" ht="26.25" customHeight="1">
      <c r="A539" s="34" t="s">
        <v>780</v>
      </c>
      <c r="B539" s="52"/>
      <c r="C539" s="53" t="s">
        <v>701</v>
      </c>
      <c r="D539" s="53" t="s">
        <v>701</v>
      </c>
      <c r="E539" s="53" t="s">
        <v>1173</v>
      </c>
      <c r="F539" s="41"/>
      <c r="G539" s="38">
        <f>SUM(G540)</f>
        <v>13.8</v>
      </c>
      <c r="H539" s="38">
        <f>SUM(H540)</f>
        <v>11.5</v>
      </c>
      <c r="I539" s="39">
        <f t="shared" si="29"/>
        <v>83.33333333333333</v>
      </c>
      <c r="J539" s="6"/>
    </row>
    <row r="540" spans="1:10" ht="18.75" customHeight="1">
      <c r="A540" s="57" t="s">
        <v>782</v>
      </c>
      <c r="B540" s="52"/>
      <c r="C540" s="53" t="s">
        <v>701</v>
      </c>
      <c r="D540" s="53" t="s">
        <v>701</v>
      </c>
      <c r="E540" s="53" t="s">
        <v>1173</v>
      </c>
      <c r="F540" s="41" t="s">
        <v>783</v>
      </c>
      <c r="G540" s="38">
        <v>13.8</v>
      </c>
      <c r="H540" s="38">
        <v>11.5</v>
      </c>
      <c r="I540" s="39">
        <f t="shared" si="29"/>
        <v>83.33333333333333</v>
      </c>
      <c r="J540" s="6"/>
    </row>
    <row r="541" spans="1:10" ht="15">
      <c r="A541" s="34" t="s">
        <v>1188</v>
      </c>
      <c r="B541" s="35"/>
      <c r="C541" s="53" t="s">
        <v>701</v>
      </c>
      <c r="D541" s="53" t="s">
        <v>887</v>
      </c>
      <c r="E541" s="53"/>
      <c r="F541" s="41"/>
      <c r="G541" s="38">
        <f aca="true" t="shared" si="30" ref="G541:H543">SUM(G542)</f>
        <v>303.6</v>
      </c>
      <c r="H541" s="38">
        <f t="shared" si="30"/>
        <v>303.5</v>
      </c>
      <c r="I541" s="39">
        <f t="shared" si="29"/>
        <v>99.96706192358366</v>
      </c>
      <c r="J541" s="6"/>
    </row>
    <row r="542" spans="1:10" ht="71.25" customHeight="1">
      <c r="A542" s="54" t="s">
        <v>1194</v>
      </c>
      <c r="B542" s="35"/>
      <c r="C542" s="53" t="s">
        <v>701</v>
      </c>
      <c r="D542" s="53" t="s">
        <v>887</v>
      </c>
      <c r="E542" s="53" t="s">
        <v>1195</v>
      </c>
      <c r="F542" s="41"/>
      <c r="G542" s="38">
        <f t="shared" si="30"/>
        <v>303.6</v>
      </c>
      <c r="H542" s="38">
        <f t="shared" si="30"/>
        <v>303.5</v>
      </c>
      <c r="I542" s="39">
        <f t="shared" si="29"/>
        <v>99.96706192358366</v>
      </c>
      <c r="J542" s="6"/>
    </row>
    <row r="543" spans="1:10" ht="27.75" customHeight="1">
      <c r="A543" s="40" t="s">
        <v>780</v>
      </c>
      <c r="B543" s="92"/>
      <c r="C543" s="53" t="s">
        <v>701</v>
      </c>
      <c r="D543" s="53" t="s">
        <v>887</v>
      </c>
      <c r="E543" s="53" t="s">
        <v>1196</v>
      </c>
      <c r="F543" s="41"/>
      <c r="G543" s="38">
        <f t="shared" si="30"/>
        <v>303.6</v>
      </c>
      <c r="H543" s="38">
        <f t="shared" si="30"/>
        <v>303.5</v>
      </c>
      <c r="I543" s="39">
        <f t="shared" si="29"/>
        <v>99.96706192358366</v>
      </c>
      <c r="J543" s="6"/>
    </row>
    <row r="544" spans="1:10" ht="18" customHeight="1">
      <c r="A544" s="57" t="s">
        <v>782</v>
      </c>
      <c r="B544" s="92"/>
      <c r="C544" s="53" t="s">
        <v>701</v>
      </c>
      <c r="D544" s="53" t="s">
        <v>887</v>
      </c>
      <c r="E544" s="53" t="s">
        <v>1196</v>
      </c>
      <c r="F544" s="41" t="s">
        <v>783</v>
      </c>
      <c r="G544" s="38">
        <v>303.6</v>
      </c>
      <c r="H544" s="38">
        <v>303.5</v>
      </c>
      <c r="I544" s="39">
        <f t="shared" si="29"/>
        <v>99.96706192358366</v>
      </c>
      <c r="J544" s="6"/>
    </row>
    <row r="545" spans="1:10" s="83" customFormat="1" ht="28.5">
      <c r="A545" s="46" t="s">
        <v>1223</v>
      </c>
      <c r="B545" s="47"/>
      <c r="C545" s="48" t="s">
        <v>714</v>
      </c>
      <c r="D545" s="48"/>
      <c r="E545" s="48"/>
      <c r="F545" s="133"/>
      <c r="G545" s="71">
        <f>SUM(G546+G565)</f>
        <v>844.0999999999999</v>
      </c>
      <c r="H545" s="71">
        <f>SUM(H546+H565)</f>
        <v>843.6999999999999</v>
      </c>
      <c r="I545" s="39">
        <f t="shared" si="29"/>
        <v>99.95261224973345</v>
      </c>
      <c r="J545" s="147"/>
    </row>
    <row r="546" spans="1:10" ht="15">
      <c r="A546" s="34" t="s">
        <v>1224</v>
      </c>
      <c r="B546" s="35"/>
      <c r="C546" s="53" t="s">
        <v>714</v>
      </c>
      <c r="D546" s="53" t="s">
        <v>678</v>
      </c>
      <c r="E546" s="53"/>
      <c r="F546" s="41"/>
      <c r="G546" s="38">
        <f>SUM(G559+G553+G547)</f>
        <v>802.6999999999999</v>
      </c>
      <c r="H546" s="38">
        <f>SUM(H559+H553+H547)</f>
        <v>802.3</v>
      </c>
      <c r="I546" s="39">
        <f t="shared" si="29"/>
        <v>99.95016818238446</v>
      </c>
      <c r="J546" s="6"/>
    </row>
    <row r="547" spans="1:10" ht="28.5">
      <c r="A547" s="34" t="s">
        <v>792</v>
      </c>
      <c r="B547" s="35"/>
      <c r="C547" s="53" t="s">
        <v>714</v>
      </c>
      <c r="D547" s="53" t="s">
        <v>678</v>
      </c>
      <c r="E547" s="53" t="s">
        <v>793</v>
      </c>
      <c r="F547" s="41"/>
      <c r="G547" s="38">
        <f>SUM(G548)</f>
        <v>455.4</v>
      </c>
      <c r="H547" s="38">
        <f>SUM(H548)</f>
        <v>455.2</v>
      </c>
      <c r="I547" s="39">
        <f t="shared" si="29"/>
        <v>99.95608256477821</v>
      </c>
      <c r="J547" s="6"/>
    </row>
    <row r="548" spans="1:10" ht="31.5" customHeight="1">
      <c r="A548" s="40" t="s">
        <v>780</v>
      </c>
      <c r="B548" s="128"/>
      <c r="C548" s="53" t="s">
        <v>714</v>
      </c>
      <c r="D548" s="53" t="s">
        <v>678</v>
      </c>
      <c r="E548" s="53" t="s">
        <v>794</v>
      </c>
      <c r="F548" s="41"/>
      <c r="G548" s="38">
        <f>SUM(G549:G551)</f>
        <v>455.4</v>
      </c>
      <c r="H548" s="38">
        <f>SUM(H549:H551)</f>
        <v>455.2</v>
      </c>
      <c r="I548" s="39">
        <f t="shared" si="29"/>
        <v>99.95608256477821</v>
      </c>
      <c r="J548" s="6"/>
    </row>
    <row r="549" spans="1:10" ht="15" customHeight="1">
      <c r="A549" s="57" t="s">
        <v>782</v>
      </c>
      <c r="B549" s="72"/>
      <c r="C549" s="53" t="s">
        <v>714</v>
      </c>
      <c r="D549" s="53" t="s">
        <v>678</v>
      </c>
      <c r="E549" s="53" t="s">
        <v>794</v>
      </c>
      <c r="F549" s="42" t="s">
        <v>783</v>
      </c>
      <c r="G549" s="38">
        <v>455.4</v>
      </c>
      <c r="H549" s="38">
        <v>455.2</v>
      </c>
      <c r="I549" s="39">
        <f t="shared" si="29"/>
        <v>99.95608256477821</v>
      </c>
      <c r="J549" s="6"/>
    </row>
    <row r="550" spans="1:10" ht="46.5" customHeight="1" hidden="1">
      <c r="A550" s="57" t="s">
        <v>1225</v>
      </c>
      <c r="B550" s="72"/>
      <c r="C550" s="53" t="s">
        <v>714</v>
      </c>
      <c r="D550" s="53" t="s">
        <v>678</v>
      </c>
      <c r="E550" s="53" t="s">
        <v>794</v>
      </c>
      <c r="F550" s="42" t="s">
        <v>1226</v>
      </c>
      <c r="G550" s="38"/>
      <c r="H550" s="38"/>
      <c r="I550" s="39" t="e">
        <f t="shared" si="29"/>
        <v>#DIV/0!</v>
      </c>
      <c r="J550" s="6"/>
    </row>
    <row r="551" spans="1:10" ht="57.75" customHeight="1" hidden="1">
      <c r="A551" s="40" t="s">
        <v>1114</v>
      </c>
      <c r="B551" s="43"/>
      <c r="C551" s="53" t="s">
        <v>714</v>
      </c>
      <c r="D551" s="53" t="s">
        <v>678</v>
      </c>
      <c r="E551" s="53" t="s">
        <v>1227</v>
      </c>
      <c r="F551" s="42"/>
      <c r="G551" s="38">
        <f>SUM(G552)</f>
        <v>0</v>
      </c>
      <c r="H551" s="38">
        <f>SUM(H552)</f>
        <v>0</v>
      </c>
      <c r="I551" s="39" t="e">
        <f t="shared" si="29"/>
        <v>#DIV/0!</v>
      </c>
      <c r="J551" s="6"/>
    </row>
    <row r="552" spans="1:10" ht="1.5" customHeight="1" hidden="1">
      <c r="A552" s="57" t="s">
        <v>782</v>
      </c>
      <c r="B552" s="72"/>
      <c r="C552" s="53" t="s">
        <v>714</v>
      </c>
      <c r="D552" s="53" t="s">
        <v>678</v>
      </c>
      <c r="E552" s="53" t="s">
        <v>1227</v>
      </c>
      <c r="F552" s="42" t="s">
        <v>783</v>
      </c>
      <c r="G552" s="38"/>
      <c r="H552" s="38"/>
      <c r="I552" s="39" t="e">
        <f t="shared" si="29"/>
        <v>#DIV/0!</v>
      </c>
      <c r="J552" s="6"/>
    </row>
    <row r="553" spans="1:10" ht="15">
      <c r="A553" s="34" t="s">
        <v>1228</v>
      </c>
      <c r="B553" s="35"/>
      <c r="C553" s="53" t="s">
        <v>714</v>
      </c>
      <c r="D553" s="53" t="s">
        <v>678</v>
      </c>
      <c r="E553" s="53" t="s">
        <v>1229</v>
      </c>
      <c r="F553" s="41"/>
      <c r="G553" s="38">
        <f>SUM(G554)</f>
        <v>52.9</v>
      </c>
      <c r="H553" s="38">
        <f>SUM(H554)</f>
        <v>52.9</v>
      </c>
      <c r="I553" s="39">
        <f t="shared" si="29"/>
        <v>100</v>
      </c>
      <c r="J553" s="6"/>
    </row>
    <row r="554" spans="1:10" ht="28.5" customHeight="1">
      <c r="A554" s="40" t="s">
        <v>780</v>
      </c>
      <c r="B554" s="128"/>
      <c r="C554" s="53" t="s">
        <v>714</v>
      </c>
      <c r="D554" s="53" t="s">
        <v>678</v>
      </c>
      <c r="E554" s="53" t="s">
        <v>1230</v>
      </c>
      <c r="F554" s="41"/>
      <c r="G554" s="38">
        <f>SUM(G555)+G557</f>
        <v>52.9</v>
      </c>
      <c r="H554" s="38">
        <f>SUM(H555)+H557</f>
        <v>52.9</v>
      </c>
      <c r="I554" s="39">
        <f t="shared" si="29"/>
        <v>100</v>
      </c>
      <c r="J554" s="6"/>
    </row>
    <row r="555" spans="1:10" ht="17.25" customHeight="1">
      <c r="A555" s="57" t="s">
        <v>782</v>
      </c>
      <c r="B555" s="72"/>
      <c r="C555" s="53" t="s">
        <v>714</v>
      </c>
      <c r="D555" s="53" t="s">
        <v>678</v>
      </c>
      <c r="E555" s="53" t="s">
        <v>1230</v>
      </c>
      <c r="F555" s="42" t="s">
        <v>783</v>
      </c>
      <c r="G555" s="38">
        <v>52.9</v>
      </c>
      <c r="H555" s="38">
        <v>52.9</v>
      </c>
      <c r="I555" s="39">
        <f t="shared" si="29"/>
        <v>100</v>
      </c>
      <c r="J555" s="6"/>
    </row>
    <row r="556" spans="1:10" ht="46.5" customHeight="1" hidden="1">
      <c r="A556" s="57" t="s">
        <v>1225</v>
      </c>
      <c r="B556" s="72"/>
      <c r="C556" s="53" t="s">
        <v>714</v>
      </c>
      <c r="D556" s="53" t="s">
        <v>678</v>
      </c>
      <c r="E556" s="53" t="s">
        <v>1230</v>
      </c>
      <c r="F556" s="42" t="s">
        <v>1226</v>
      </c>
      <c r="G556" s="38"/>
      <c r="H556" s="38"/>
      <c r="I556" s="39" t="e">
        <f t="shared" si="29"/>
        <v>#DIV/0!</v>
      </c>
      <c r="J556" s="6"/>
    </row>
    <row r="557" spans="1:10" ht="57" customHeight="1" hidden="1">
      <c r="A557" s="40" t="s">
        <v>1114</v>
      </c>
      <c r="B557" s="43"/>
      <c r="C557" s="53" t="s">
        <v>714</v>
      </c>
      <c r="D557" s="53" t="s">
        <v>678</v>
      </c>
      <c r="E557" s="53" t="s">
        <v>1231</v>
      </c>
      <c r="F557" s="42"/>
      <c r="G557" s="38">
        <f>SUM(G558)</f>
        <v>0</v>
      </c>
      <c r="H557" s="38">
        <f>SUM(H558)</f>
        <v>0</v>
      </c>
      <c r="I557" s="39" t="e">
        <f t="shared" si="29"/>
        <v>#DIV/0!</v>
      </c>
      <c r="J557" s="6"/>
    </row>
    <row r="558" spans="1:10" ht="18.75" customHeight="1" hidden="1">
      <c r="A558" s="57" t="s">
        <v>782</v>
      </c>
      <c r="B558" s="72"/>
      <c r="C558" s="53" t="s">
        <v>714</v>
      </c>
      <c r="D558" s="53" t="s">
        <v>678</v>
      </c>
      <c r="E558" s="53" t="s">
        <v>1231</v>
      </c>
      <c r="F558" s="42" t="s">
        <v>783</v>
      </c>
      <c r="G558" s="38"/>
      <c r="H558" s="38"/>
      <c r="I558" s="39" t="e">
        <f t="shared" si="29"/>
        <v>#DIV/0!</v>
      </c>
      <c r="J558" s="6"/>
    </row>
    <row r="559" spans="1:10" ht="15">
      <c r="A559" s="34" t="s">
        <v>1232</v>
      </c>
      <c r="B559" s="35"/>
      <c r="C559" s="53" t="s">
        <v>714</v>
      </c>
      <c r="D559" s="53" t="s">
        <v>678</v>
      </c>
      <c r="E559" s="53" t="s">
        <v>1233</v>
      </c>
      <c r="F559" s="41"/>
      <c r="G559" s="38">
        <f>SUM(G560)</f>
        <v>294.4</v>
      </c>
      <c r="H559" s="38">
        <f>SUM(H560)</f>
        <v>294.2</v>
      </c>
      <c r="I559" s="39">
        <f t="shared" si="29"/>
        <v>99.93206521739131</v>
      </c>
      <c r="J559" s="6"/>
    </row>
    <row r="560" spans="1:10" ht="27.75" customHeight="1">
      <c r="A560" s="40" t="s">
        <v>780</v>
      </c>
      <c r="B560" s="128"/>
      <c r="C560" s="53" t="s">
        <v>714</v>
      </c>
      <c r="D560" s="53" t="s">
        <v>678</v>
      </c>
      <c r="E560" s="53" t="s">
        <v>1234</v>
      </c>
      <c r="F560" s="41"/>
      <c r="G560" s="38">
        <f>SUM(G561)</f>
        <v>294.4</v>
      </c>
      <c r="H560" s="38">
        <f>SUM(H561)</f>
        <v>294.2</v>
      </c>
      <c r="I560" s="39">
        <f t="shared" si="29"/>
        <v>99.93206521739131</v>
      </c>
      <c r="J560" s="6"/>
    </row>
    <row r="561" spans="1:10" ht="15.75" customHeight="1">
      <c r="A561" s="57" t="s">
        <v>782</v>
      </c>
      <c r="B561" s="72"/>
      <c r="C561" s="53" t="s">
        <v>714</v>
      </c>
      <c r="D561" s="53" t="s">
        <v>678</v>
      </c>
      <c r="E561" s="53" t="s">
        <v>1234</v>
      </c>
      <c r="F561" s="42" t="s">
        <v>783</v>
      </c>
      <c r="G561" s="38">
        <v>294.4</v>
      </c>
      <c r="H561" s="38">
        <v>294.2</v>
      </c>
      <c r="I561" s="39">
        <f t="shared" si="29"/>
        <v>99.93206521739131</v>
      </c>
      <c r="J561" s="6"/>
    </row>
    <row r="562" spans="1:10" ht="43.5" customHeight="1" hidden="1">
      <c r="A562" s="57" t="s">
        <v>1225</v>
      </c>
      <c r="B562" s="72"/>
      <c r="C562" s="53" t="s">
        <v>714</v>
      </c>
      <c r="D562" s="53" t="s">
        <v>678</v>
      </c>
      <c r="E562" s="53" t="s">
        <v>1234</v>
      </c>
      <c r="F562" s="42" t="s">
        <v>1226</v>
      </c>
      <c r="G562" s="38"/>
      <c r="H562" s="38"/>
      <c r="I562" s="39" t="e">
        <f t="shared" si="29"/>
        <v>#DIV/0!</v>
      </c>
      <c r="J562" s="6"/>
    </row>
    <row r="563" spans="1:10" ht="57.75" customHeight="1" hidden="1">
      <c r="A563" s="40" t="s">
        <v>1114</v>
      </c>
      <c r="B563" s="43"/>
      <c r="C563" s="53" t="s">
        <v>714</v>
      </c>
      <c r="D563" s="53" t="s">
        <v>678</v>
      </c>
      <c r="E563" s="53" t="s">
        <v>1235</v>
      </c>
      <c r="F563" s="42"/>
      <c r="G563" s="38">
        <f>SUM(G564)</f>
        <v>0</v>
      </c>
      <c r="H563" s="38">
        <f>SUM(H564)</f>
        <v>0</v>
      </c>
      <c r="I563" s="39" t="e">
        <f t="shared" si="29"/>
        <v>#DIV/0!</v>
      </c>
      <c r="J563" s="6"/>
    </row>
    <row r="564" spans="1:10" ht="16.5" customHeight="1" hidden="1">
      <c r="A564" s="57" t="s">
        <v>782</v>
      </c>
      <c r="B564" s="72"/>
      <c r="C564" s="53" t="s">
        <v>714</v>
      </c>
      <c r="D564" s="53" t="s">
        <v>678</v>
      </c>
      <c r="E564" s="53" t="s">
        <v>1235</v>
      </c>
      <c r="F564" s="42" t="s">
        <v>783</v>
      </c>
      <c r="G564" s="38"/>
      <c r="H564" s="38"/>
      <c r="I564" s="39" t="e">
        <f t="shared" si="29"/>
        <v>#DIV/0!</v>
      </c>
      <c r="J564" s="6"/>
    </row>
    <row r="565" spans="1:10" ht="28.5" customHeight="1">
      <c r="A565" s="54" t="s">
        <v>1242</v>
      </c>
      <c r="B565" s="59"/>
      <c r="C565" s="48" t="s">
        <v>714</v>
      </c>
      <c r="D565" s="48" t="s">
        <v>751</v>
      </c>
      <c r="E565" s="48"/>
      <c r="F565" s="133"/>
      <c r="G565" s="38">
        <f aca="true" t="shared" si="31" ref="G565:H567">SUM(G566)</f>
        <v>41.4</v>
      </c>
      <c r="H565" s="38">
        <f t="shared" si="31"/>
        <v>41.4</v>
      </c>
      <c r="I565" s="39">
        <f t="shared" si="29"/>
        <v>100</v>
      </c>
      <c r="J565" s="6"/>
    </row>
    <row r="566" spans="1:10" ht="70.5" customHeight="1">
      <c r="A566" s="54" t="s">
        <v>1194</v>
      </c>
      <c r="B566" s="128"/>
      <c r="C566" s="53" t="s">
        <v>714</v>
      </c>
      <c r="D566" s="53" t="s">
        <v>751</v>
      </c>
      <c r="E566" s="53" t="s">
        <v>1195</v>
      </c>
      <c r="F566" s="41"/>
      <c r="G566" s="38">
        <f t="shared" si="31"/>
        <v>41.4</v>
      </c>
      <c r="H566" s="38">
        <f t="shared" si="31"/>
        <v>41.4</v>
      </c>
      <c r="I566" s="39">
        <f t="shared" si="29"/>
        <v>100</v>
      </c>
      <c r="J566" s="6"/>
    </row>
    <row r="567" spans="1:10" ht="33.75" customHeight="1">
      <c r="A567" s="40" t="s">
        <v>780</v>
      </c>
      <c r="B567" s="128"/>
      <c r="C567" s="53" t="s">
        <v>714</v>
      </c>
      <c r="D567" s="53" t="s">
        <v>751</v>
      </c>
      <c r="E567" s="53" t="s">
        <v>1196</v>
      </c>
      <c r="F567" s="41"/>
      <c r="G567" s="38">
        <f t="shared" si="31"/>
        <v>41.4</v>
      </c>
      <c r="H567" s="38">
        <f t="shared" si="31"/>
        <v>41.4</v>
      </c>
      <c r="I567" s="39">
        <f t="shared" si="29"/>
        <v>100</v>
      </c>
      <c r="J567" s="6"/>
    </row>
    <row r="568" spans="1:10" ht="17.25" customHeight="1">
      <c r="A568" s="57" t="s">
        <v>782</v>
      </c>
      <c r="B568" s="72"/>
      <c r="C568" s="53" t="s">
        <v>714</v>
      </c>
      <c r="D568" s="53" t="s">
        <v>751</v>
      </c>
      <c r="E568" s="53" t="s">
        <v>1196</v>
      </c>
      <c r="F568" s="42" t="s">
        <v>783</v>
      </c>
      <c r="G568" s="38">
        <v>41.4</v>
      </c>
      <c r="H568" s="38">
        <v>41.4</v>
      </c>
      <c r="I568" s="39">
        <f t="shared" si="29"/>
        <v>100</v>
      </c>
      <c r="J568" s="6"/>
    </row>
    <row r="569" spans="1:10" s="83" customFormat="1" ht="15">
      <c r="A569" s="46" t="s">
        <v>1253</v>
      </c>
      <c r="B569" s="47"/>
      <c r="C569" s="48" t="s">
        <v>887</v>
      </c>
      <c r="D569" s="48"/>
      <c r="E569" s="48"/>
      <c r="F569" s="133"/>
      <c r="G569" s="71">
        <f>SUM(G570+G581+G597+G602+G610)</f>
        <v>6596.400000000001</v>
      </c>
      <c r="H569" s="71">
        <f>SUM(H570+H581+H597+H602+H610)</f>
        <v>6593.500000000001</v>
      </c>
      <c r="I569" s="39">
        <f t="shared" si="29"/>
        <v>99.95603662603844</v>
      </c>
      <c r="J569" s="147"/>
    </row>
    <row r="570" spans="1:10" ht="16.5" customHeight="1">
      <c r="A570" s="34" t="s">
        <v>1254</v>
      </c>
      <c r="B570" s="35"/>
      <c r="C570" s="53" t="s">
        <v>887</v>
      </c>
      <c r="D570" s="53" t="s">
        <v>678</v>
      </c>
      <c r="E570" s="53"/>
      <c r="F570" s="41"/>
      <c r="G570" s="38">
        <f>SUM(G574)</f>
        <v>2787.6</v>
      </c>
      <c r="H570" s="38">
        <f>SUM(H574)</f>
        <v>2786.4</v>
      </c>
      <c r="I570" s="39">
        <f t="shared" si="29"/>
        <v>99.95695221696084</v>
      </c>
      <c r="J570" s="6"/>
    </row>
    <row r="571" spans="1:10" ht="19.5" customHeight="1" hidden="1">
      <c r="A571" s="84" t="s">
        <v>1255</v>
      </c>
      <c r="B571" s="35"/>
      <c r="C571" s="53" t="s">
        <v>887</v>
      </c>
      <c r="D571" s="53" t="s">
        <v>678</v>
      </c>
      <c r="E571" s="53" t="s">
        <v>1256</v>
      </c>
      <c r="F571" s="41"/>
      <c r="G571" s="38">
        <f>SUM(G572)</f>
        <v>0</v>
      </c>
      <c r="H571" s="38">
        <f>SUM(H572)</f>
        <v>0</v>
      </c>
      <c r="I571" s="39" t="e">
        <f t="shared" si="29"/>
        <v>#DIV/0!</v>
      </c>
      <c r="J571" s="6"/>
    </row>
    <row r="572" spans="1:10" ht="18.75" customHeight="1" hidden="1">
      <c r="A572" s="40" t="s">
        <v>780</v>
      </c>
      <c r="B572" s="35"/>
      <c r="C572" s="53" t="s">
        <v>887</v>
      </c>
      <c r="D572" s="53" t="s">
        <v>678</v>
      </c>
      <c r="E572" s="53" t="s">
        <v>1257</v>
      </c>
      <c r="F572" s="41"/>
      <c r="G572" s="38">
        <f>SUM(G573)</f>
        <v>0</v>
      </c>
      <c r="H572" s="38">
        <f>SUM(H573)</f>
        <v>0</v>
      </c>
      <c r="I572" s="39" t="e">
        <f t="shared" si="29"/>
        <v>#DIV/0!</v>
      </c>
      <c r="J572" s="6"/>
    </row>
    <row r="573" spans="1:10" ht="17.25" customHeight="1" hidden="1">
      <c r="A573" s="57" t="s">
        <v>782</v>
      </c>
      <c r="B573" s="35"/>
      <c r="C573" s="53" t="s">
        <v>887</v>
      </c>
      <c r="D573" s="53" t="s">
        <v>678</v>
      </c>
      <c r="E573" s="53" t="s">
        <v>1257</v>
      </c>
      <c r="F573" s="41" t="s">
        <v>783</v>
      </c>
      <c r="G573" s="38"/>
      <c r="H573" s="38"/>
      <c r="I573" s="39" t="e">
        <f t="shared" si="29"/>
        <v>#DIV/0!</v>
      </c>
      <c r="J573" s="6"/>
    </row>
    <row r="574" spans="1:10" ht="18.75" customHeight="1">
      <c r="A574" s="34" t="s">
        <v>1258</v>
      </c>
      <c r="B574" s="35"/>
      <c r="C574" s="53" t="s">
        <v>887</v>
      </c>
      <c r="D574" s="53" t="s">
        <v>678</v>
      </c>
      <c r="E574" s="53" t="s">
        <v>1259</v>
      </c>
      <c r="F574" s="41"/>
      <c r="G574" s="38">
        <f>SUM(G575)</f>
        <v>2787.6</v>
      </c>
      <c r="H574" s="38">
        <f>SUM(H575)</f>
        <v>2786.4</v>
      </c>
      <c r="I574" s="39">
        <f t="shared" si="29"/>
        <v>99.95695221696084</v>
      </c>
      <c r="J574" s="6"/>
    </row>
    <row r="575" spans="1:10" ht="27.75" customHeight="1">
      <c r="A575" s="40" t="s">
        <v>780</v>
      </c>
      <c r="B575" s="35"/>
      <c r="C575" s="53" t="s">
        <v>887</v>
      </c>
      <c r="D575" s="53" t="s">
        <v>678</v>
      </c>
      <c r="E575" s="53" t="s">
        <v>1260</v>
      </c>
      <c r="F575" s="41"/>
      <c r="G575" s="38">
        <f>SUM(G576:G579)</f>
        <v>2787.6</v>
      </c>
      <c r="H575" s="38">
        <f>SUM(H576:H579)</f>
        <v>2786.4</v>
      </c>
      <c r="I575" s="39">
        <f t="shared" si="29"/>
        <v>99.95695221696084</v>
      </c>
      <c r="J575" s="6"/>
    </row>
    <row r="576" spans="1:10" ht="18.75" customHeight="1">
      <c r="A576" s="57" t="s">
        <v>782</v>
      </c>
      <c r="B576" s="35"/>
      <c r="C576" s="53" t="s">
        <v>1261</v>
      </c>
      <c r="D576" s="53" t="s">
        <v>678</v>
      </c>
      <c r="E576" s="53" t="s">
        <v>1260</v>
      </c>
      <c r="F576" s="41" t="s">
        <v>783</v>
      </c>
      <c r="G576" s="38">
        <v>2787.6</v>
      </c>
      <c r="H576" s="38">
        <v>2786.4</v>
      </c>
      <c r="I576" s="39">
        <f t="shared" si="29"/>
        <v>99.95695221696084</v>
      </c>
      <c r="J576" s="6"/>
    </row>
    <row r="577" spans="1:10" ht="42" customHeight="1" hidden="1">
      <c r="A577" s="57" t="s">
        <v>1262</v>
      </c>
      <c r="B577" s="35"/>
      <c r="C577" s="53" t="s">
        <v>1261</v>
      </c>
      <c r="D577" s="53" t="s">
        <v>678</v>
      </c>
      <c r="E577" s="53" t="s">
        <v>1260</v>
      </c>
      <c r="F577" s="41" t="s">
        <v>1263</v>
      </c>
      <c r="G577" s="38"/>
      <c r="H577" s="38"/>
      <c r="I577" s="39" t="e">
        <f t="shared" si="29"/>
        <v>#DIV/0!</v>
      </c>
      <c r="J577" s="6"/>
    </row>
    <row r="578" spans="1:10" ht="48" customHeight="1" hidden="1">
      <c r="A578" s="57" t="s">
        <v>1107</v>
      </c>
      <c r="B578" s="35"/>
      <c r="C578" s="53" t="s">
        <v>1261</v>
      </c>
      <c r="D578" s="53" t="s">
        <v>678</v>
      </c>
      <c r="E578" s="53" t="s">
        <v>1260</v>
      </c>
      <c r="F578" s="41" t="s">
        <v>1108</v>
      </c>
      <c r="G578" s="38"/>
      <c r="H578" s="38"/>
      <c r="I578" s="39" t="e">
        <f t="shared" si="29"/>
        <v>#DIV/0!</v>
      </c>
      <c r="J578" s="6"/>
    </row>
    <row r="579" spans="1:10" ht="57.75" customHeight="1" hidden="1">
      <c r="A579" s="40" t="s">
        <v>1114</v>
      </c>
      <c r="B579" s="35"/>
      <c r="C579" s="53" t="s">
        <v>1261</v>
      </c>
      <c r="D579" s="53" t="s">
        <v>678</v>
      </c>
      <c r="E579" s="53" t="s">
        <v>1264</v>
      </c>
      <c r="F579" s="41"/>
      <c r="G579" s="38">
        <f>SUM(G580)</f>
        <v>0</v>
      </c>
      <c r="H579" s="38">
        <f>SUM(H580)</f>
        <v>0</v>
      </c>
      <c r="I579" s="39" t="e">
        <f t="shared" si="29"/>
        <v>#DIV/0!</v>
      </c>
      <c r="J579" s="6"/>
    </row>
    <row r="580" spans="1:10" ht="14.25" customHeight="1" hidden="1">
      <c r="A580" s="57" t="s">
        <v>782</v>
      </c>
      <c r="B580" s="35"/>
      <c r="C580" s="53" t="s">
        <v>1261</v>
      </c>
      <c r="D580" s="53" t="s">
        <v>678</v>
      </c>
      <c r="E580" s="53" t="s">
        <v>1264</v>
      </c>
      <c r="F580" s="41" t="s">
        <v>783</v>
      </c>
      <c r="G580" s="38"/>
      <c r="H580" s="38"/>
      <c r="I580" s="39" t="e">
        <f t="shared" si="29"/>
        <v>#DIV/0!</v>
      </c>
      <c r="J580" s="6"/>
    </row>
    <row r="581" spans="1:10" ht="18.75" customHeight="1">
      <c r="A581" s="34" t="s">
        <v>1265</v>
      </c>
      <c r="B581" s="35"/>
      <c r="C581" s="53" t="s">
        <v>887</v>
      </c>
      <c r="D581" s="53" t="s">
        <v>680</v>
      </c>
      <c r="E581" s="53"/>
      <c r="F581" s="41"/>
      <c r="G581" s="38">
        <f>SUM(G582+G589+G593)</f>
        <v>3160.2000000000003</v>
      </c>
      <c r="H581" s="38">
        <f>SUM(H582+H589+H593)</f>
        <v>3158.8</v>
      </c>
      <c r="I581" s="39">
        <f t="shared" si="29"/>
        <v>99.955699006392</v>
      </c>
      <c r="J581" s="6"/>
    </row>
    <row r="582" spans="1:10" ht="18.75" customHeight="1">
      <c r="A582" s="34" t="s">
        <v>1258</v>
      </c>
      <c r="B582" s="35"/>
      <c r="C582" s="53" t="s">
        <v>887</v>
      </c>
      <c r="D582" s="53" t="s">
        <v>680</v>
      </c>
      <c r="E582" s="53" t="s">
        <v>1259</v>
      </c>
      <c r="F582" s="41"/>
      <c r="G582" s="38">
        <f>SUM(G583)</f>
        <v>2764.6</v>
      </c>
      <c r="H582" s="38">
        <f>SUM(H583)</f>
        <v>2763.4</v>
      </c>
      <c r="I582" s="39">
        <f t="shared" si="29"/>
        <v>99.95659408232656</v>
      </c>
      <c r="J582" s="6"/>
    </row>
    <row r="583" spans="1:10" ht="30" customHeight="1">
      <c r="A583" s="40" t="s">
        <v>780</v>
      </c>
      <c r="B583" s="35"/>
      <c r="C583" s="53" t="s">
        <v>887</v>
      </c>
      <c r="D583" s="53" t="s">
        <v>680</v>
      </c>
      <c r="E583" s="53" t="s">
        <v>1260</v>
      </c>
      <c r="F583" s="41"/>
      <c r="G583" s="38">
        <f>SUM(G584:G587)</f>
        <v>2764.6</v>
      </c>
      <c r="H583" s="38">
        <f>SUM(H584:H587)</f>
        <v>2763.4</v>
      </c>
      <c r="I583" s="39">
        <f t="shared" si="29"/>
        <v>99.95659408232656</v>
      </c>
      <c r="J583" s="6"/>
    </row>
    <row r="584" spans="1:10" ht="18" customHeight="1">
      <c r="A584" s="57" t="s">
        <v>782</v>
      </c>
      <c r="B584" s="35"/>
      <c r="C584" s="53" t="s">
        <v>887</v>
      </c>
      <c r="D584" s="53" t="s">
        <v>680</v>
      </c>
      <c r="E584" s="53" t="s">
        <v>1260</v>
      </c>
      <c r="F584" s="41" t="s">
        <v>783</v>
      </c>
      <c r="G584" s="38">
        <v>2764.6</v>
      </c>
      <c r="H584" s="38">
        <v>2763.4</v>
      </c>
      <c r="I584" s="39">
        <f t="shared" si="29"/>
        <v>99.95659408232656</v>
      </c>
      <c r="J584" s="6"/>
    </row>
    <row r="585" spans="1:10" ht="19.5" customHeight="1" hidden="1">
      <c r="A585" s="57" t="s">
        <v>1262</v>
      </c>
      <c r="B585" s="35"/>
      <c r="C585" s="53" t="s">
        <v>887</v>
      </c>
      <c r="D585" s="53" t="s">
        <v>680</v>
      </c>
      <c r="E585" s="53" t="s">
        <v>1260</v>
      </c>
      <c r="F585" s="41" t="s">
        <v>1263</v>
      </c>
      <c r="G585" s="38"/>
      <c r="H585" s="38"/>
      <c r="I585" s="39" t="e">
        <f t="shared" si="29"/>
        <v>#DIV/0!</v>
      </c>
      <c r="J585" s="6"/>
    </row>
    <row r="586" spans="1:10" ht="19.5" customHeight="1" hidden="1">
      <c r="A586" s="57" t="s">
        <v>1107</v>
      </c>
      <c r="B586" s="35"/>
      <c r="C586" s="53" t="s">
        <v>887</v>
      </c>
      <c r="D586" s="53" t="s">
        <v>680</v>
      </c>
      <c r="E586" s="53" t="s">
        <v>1260</v>
      </c>
      <c r="F586" s="41" t="s">
        <v>1108</v>
      </c>
      <c r="G586" s="38"/>
      <c r="H586" s="38"/>
      <c r="I586" s="39" t="e">
        <f t="shared" si="29"/>
        <v>#DIV/0!</v>
      </c>
      <c r="J586" s="6"/>
    </row>
    <row r="587" spans="1:10" ht="19.5" customHeight="1" hidden="1">
      <c r="A587" s="40" t="s">
        <v>1114</v>
      </c>
      <c r="B587" s="35"/>
      <c r="C587" s="53" t="s">
        <v>887</v>
      </c>
      <c r="D587" s="53" t="s">
        <v>680</v>
      </c>
      <c r="E587" s="53" t="s">
        <v>1264</v>
      </c>
      <c r="F587" s="41"/>
      <c r="G587" s="38">
        <f>SUM(G588)</f>
        <v>0</v>
      </c>
      <c r="H587" s="38">
        <f>SUM(H588)</f>
        <v>0</v>
      </c>
      <c r="I587" s="39" t="e">
        <f t="shared" si="29"/>
        <v>#DIV/0!</v>
      </c>
      <c r="J587" s="6"/>
    </row>
    <row r="588" spans="1:10" ht="19.5" customHeight="1" hidden="1">
      <c r="A588" s="57" t="s">
        <v>782</v>
      </c>
      <c r="B588" s="35"/>
      <c r="C588" s="53" t="s">
        <v>887</v>
      </c>
      <c r="D588" s="53" t="s">
        <v>680</v>
      </c>
      <c r="E588" s="53" t="s">
        <v>1264</v>
      </c>
      <c r="F588" s="41" t="s">
        <v>783</v>
      </c>
      <c r="G588" s="38"/>
      <c r="H588" s="38"/>
      <c r="I588" s="39" t="e">
        <f t="shared" si="29"/>
        <v>#DIV/0!</v>
      </c>
      <c r="J588" s="6"/>
    </row>
    <row r="589" spans="1:10" ht="17.25" customHeight="1">
      <c r="A589" s="34" t="s">
        <v>1266</v>
      </c>
      <c r="B589" s="35"/>
      <c r="C589" s="53" t="s">
        <v>887</v>
      </c>
      <c r="D589" s="53" t="s">
        <v>680</v>
      </c>
      <c r="E589" s="53" t="s">
        <v>1267</v>
      </c>
      <c r="F589" s="41"/>
      <c r="G589" s="38">
        <f>SUM(G590)</f>
        <v>358.8</v>
      </c>
      <c r="H589" s="38">
        <f>SUM(H590)</f>
        <v>358.6</v>
      </c>
      <c r="I589" s="39">
        <f aca="true" t="shared" si="32" ref="I589:I652">SUM(H589/G589*100)</f>
        <v>99.94425863991083</v>
      </c>
      <c r="J589" s="6"/>
    </row>
    <row r="590" spans="1:10" ht="28.5" customHeight="1">
      <c r="A590" s="40" t="s">
        <v>780</v>
      </c>
      <c r="B590" s="35"/>
      <c r="C590" s="53" t="s">
        <v>887</v>
      </c>
      <c r="D590" s="53" t="s">
        <v>680</v>
      </c>
      <c r="E590" s="53" t="s">
        <v>1268</v>
      </c>
      <c r="F590" s="41"/>
      <c r="G590" s="38">
        <f>SUM(G591:G592)</f>
        <v>358.8</v>
      </c>
      <c r="H590" s="38">
        <f>SUM(H591:H592)</f>
        <v>358.6</v>
      </c>
      <c r="I590" s="39">
        <f t="shared" si="32"/>
        <v>99.94425863991083</v>
      </c>
      <c r="J590" s="6"/>
    </row>
    <row r="591" spans="1:10" ht="18" customHeight="1">
      <c r="A591" s="57" t="s">
        <v>782</v>
      </c>
      <c r="B591" s="35"/>
      <c r="C591" s="53" t="s">
        <v>887</v>
      </c>
      <c r="D591" s="53" t="s">
        <v>680</v>
      </c>
      <c r="E591" s="53" t="s">
        <v>1268</v>
      </c>
      <c r="F591" s="41" t="s">
        <v>783</v>
      </c>
      <c r="G591" s="38">
        <v>358.8</v>
      </c>
      <c r="H591" s="38">
        <v>358.6</v>
      </c>
      <c r="I591" s="39">
        <f t="shared" si="32"/>
        <v>99.94425863991083</v>
      </c>
      <c r="J591" s="6"/>
    </row>
    <row r="592" spans="1:10" ht="19.5" customHeight="1" hidden="1">
      <c r="A592" s="40" t="s">
        <v>1114</v>
      </c>
      <c r="B592" s="35"/>
      <c r="C592" s="53" t="s">
        <v>887</v>
      </c>
      <c r="D592" s="53" t="s">
        <v>680</v>
      </c>
      <c r="E592" s="53" t="s">
        <v>1268</v>
      </c>
      <c r="F592" s="41" t="s">
        <v>1269</v>
      </c>
      <c r="G592" s="38"/>
      <c r="H592" s="38"/>
      <c r="I592" s="39" t="e">
        <f t="shared" si="32"/>
        <v>#DIV/0!</v>
      </c>
      <c r="J592" s="6"/>
    </row>
    <row r="593" spans="1:10" ht="20.25" customHeight="1">
      <c r="A593" s="34" t="s">
        <v>1270</v>
      </c>
      <c r="B593" s="35"/>
      <c r="C593" s="53" t="s">
        <v>887</v>
      </c>
      <c r="D593" s="53" t="s">
        <v>680</v>
      </c>
      <c r="E593" s="53" t="s">
        <v>1271</v>
      </c>
      <c r="F593" s="41"/>
      <c r="G593" s="38">
        <f>SUM(G594)</f>
        <v>36.8</v>
      </c>
      <c r="H593" s="38">
        <f>SUM(H594)</f>
        <v>36.8</v>
      </c>
      <c r="I593" s="39">
        <f t="shared" si="32"/>
        <v>100</v>
      </c>
      <c r="J593" s="6"/>
    </row>
    <row r="594" spans="1:10" ht="33.75" customHeight="1">
      <c r="A594" s="40" t="s">
        <v>780</v>
      </c>
      <c r="B594" s="35"/>
      <c r="C594" s="53" t="s">
        <v>887</v>
      </c>
      <c r="D594" s="53" t="s">
        <v>680</v>
      </c>
      <c r="E594" s="53" t="s">
        <v>1272</v>
      </c>
      <c r="F594" s="41"/>
      <c r="G594" s="38">
        <f>SUM(G595:G596)</f>
        <v>36.8</v>
      </c>
      <c r="H594" s="38">
        <f>SUM(H595:H596)</f>
        <v>36.8</v>
      </c>
      <c r="I594" s="39">
        <f t="shared" si="32"/>
        <v>100</v>
      </c>
      <c r="J594" s="6"/>
    </row>
    <row r="595" spans="1:10" ht="17.25" customHeight="1">
      <c r="A595" s="57" t="s">
        <v>782</v>
      </c>
      <c r="B595" s="35"/>
      <c r="C595" s="53" t="s">
        <v>887</v>
      </c>
      <c r="D595" s="53" t="s">
        <v>680</v>
      </c>
      <c r="E595" s="53" t="s">
        <v>1272</v>
      </c>
      <c r="F595" s="41" t="s">
        <v>783</v>
      </c>
      <c r="G595" s="38">
        <v>36.8</v>
      </c>
      <c r="H595" s="38">
        <v>36.8</v>
      </c>
      <c r="I595" s="39">
        <f t="shared" si="32"/>
        <v>100</v>
      </c>
      <c r="J595" s="6"/>
    </row>
    <row r="596" spans="1:10" ht="19.5" customHeight="1" hidden="1">
      <c r="A596" s="40" t="s">
        <v>1114</v>
      </c>
      <c r="B596" s="35"/>
      <c r="C596" s="53" t="s">
        <v>887</v>
      </c>
      <c r="D596" s="53" t="s">
        <v>680</v>
      </c>
      <c r="E596" s="53" t="s">
        <v>1272</v>
      </c>
      <c r="F596" s="41" t="s">
        <v>1269</v>
      </c>
      <c r="G596" s="38"/>
      <c r="H596" s="38"/>
      <c r="I596" s="39" t="e">
        <f t="shared" si="32"/>
        <v>#DIV/0!</v>
      </c>
      <c r="J596" s="6"/>
    </row>
    <row r="597" spans="1:10" ht="19.5" customHeight="1" hidden="1">
      <c r="A597" s="136" t="s">
        <v>1275</v>
      </c>
      <c r="B597" s="92"/>
      <c r="C597" s="53" t="s">
        <v>887</v>
      </c>
      <c r="D597" s="53" t="s">
        <v>688</v>
      </c>
      <c r="E597" s="53"/>
      <c r="F597" s="41"/>
      <c r="G597" s="38">
        <f>SUM(G598)</f>
        <v>0</v>
      </c>
      <c r="H597" s="38">
        <f>SUM(H598)</f>
        <v>0</v>
      </c>
      <c r="I597" s="39" t="e">
        <f t="shared" si="32"/>
        <v>#DIV/0!</v>
      </c>
      <c r="J597" s="6"/>
    </row>
    <row r="598" spans="1:10" ht="19.5" customHeight="1" hidden="1">
      <c r="A598" s="136" t="s">
        <v>1276</v>
      </c>
      <c r="B598" s="92"/>
      <c r="C598" s="53" t="s">
        <v>887</v>
      </c>
      <c r="D598" s="53" t="s">
        <v>688</v>
      </c>
      <c r="E598" s="53" t="s">
        <v>1259</v>
      </c>
      <c r="F598" s="41"/>
      <c r="G598" s="38">
        <f>SUM(G599)</f>
        <v>0</v>
      </c>
      <c r="H598" s="38">
        <f>SUM(H599)</f>
        <v>0</v>
      </c>
      <c r="I598" s="39" t="e">
        <f t="shared" si="32"/>
        <v>#DIV/0!</v>
      </c>
      <c r="J598" s="6"/>
    </row>
    <row r="599" spans="1:10" ht="19.5" customHeight="1" hidden="1">
      <c r="A599" s="137" t="s">
        <v>780</v>
      </c>
      <c r="B599" s="92"/>
      <c r="C599" s="53" t="s">
        <v>887</v>
      </c>
      <c r="D599" s="53" t="s">
        <v>688</v>
      </c>
      <c r="E599" s="53" t="s">
        <v>1260</v>
      </c>
      <c r="F599" s="41"/>
      <c r="G599" s="38">
        <f>SUM(G600:G601)</f>
        <v>0</v>
      </c>
      <c r="H599" s="38">
        <f>SUM(H600:H601)</f>
        <v>0</v>
      </c>
      <c r="I599" s="39" t="e">
        <f t="shared" si="32"/>
        <v>#DIV/0!</v>
      </c>
      <c r="J599" s="6"/>
    </row>
    <row r="600" spans="1:10" ht="18.75" customHeight="1" hidden="1">
      <c r="A600" s="137" t="s">
        <v>782</v>
      </c>
      <c r="B600" s="92"/>
      <c r="C600" s="53" t="s">
        <v>887</v>
      </c>
      <c r="D600" s="53" t="s">
        <v>688</v>
      </c>
      <c r="E600" s="53" t="s">
        <v>1260</v>
      </c>
      <c r="F600" s="41" t="s">
        <v>783</v>
      </c>
      <c r="G600" s="38"/>
      <c r="H600" s="38"/>
      <c r="I600" s="39" t="e">
        <f t="shared" si="32"/>
        <v>#DIV/0!</v>
      </c>
      <c r="J600" s="6"/>
    </row>
    <row r="601" spans="1:10" ht="4.5" customHeight="1" hidden="1">
      <c r="A601" s="40" t="s">
        <v>1114</v>
      </c>
      <c r="B601" s="35"/>
      <c r="C601" s="53" t="s">
        <v>887</v>
      </c>
      <c r="D601" s="53" t="s">
        <v>688</v>
      </c>
      <c r="E601" s="53" t="s">
        <v>1268</v>
      </c>
      <c r="F601" s="41" t="s">
        <v>1269</v>
      </c>
      <c r="G601" s="38"/>
      <c r="H601" s="38"/>
      <c r="I601" s="39" t="e">
        <f t="shared" si="32"/>
        <v>#DIV/0!</v>
      </c>
      <c r="J601" s="6"/>
    </row>
    <row r="602" spans="1:10" ht="15">
      <c r="A602" s="57" t="s">
        <v>1277</v>
      </c>
      <c r="B602" s="35"/>
      <c r="C602" s="53" t="s">
        <v>887</v>
      </c>
      <c r="D602" s="53" t="s">
        <v>712</v>
      </c>
      <c r="E602" s="53"/>
      <c r="F602" s="41"/>
      <c r="G602" s="38">
        <f>SUM(G603)</f>
        <v>565.8</v>
      </c>
      <c r="H602" s="38">
        <f>SUM(H603)</f>
        <v>565.5</v>
      </c>
      <c r="I602" s="39">
        <f t="shared" si="32"/>
        <v>99.94697773064688</v>
      </c>
      <c r="J602" s="6"/>
    </row>
    <row r="603" spans="1:10" ht="15" customHeight="1">
      <c r="A603" s="34" t="s">
        <v>1278</v>
      </c>
      <c r="B603" s="35"/>
      <c r="C603" s="53" t="s">
        <v>887</v>
      </c>
      <c r="D603" s="53" t="s">
        <v>712</v>
      </c>
      <c r="E603" s="53" t="s">
        <v>1279</v>
      </c>
      <c r="F603" s="41"/>
      <c r="G603" s="38">
        <f>SUM(G604)</f>
        <v>565.8</v>
      </c>
      <c r="H603" s="38">
        <f>SUM(H604)</f>
        <v>565.5</v>
      </c>
      <c r="I603" s="39">
        <f t="shared" si="32"/>
        <v>99.94697773064688</v>
      </c>
      <c r="J603" s="6"/>
    </row>
    <row r="604" spans="1:10" ht="30" customHeight="1">
      <c r="A604" s="40" t="s">
        <v>780</v>
      </c>
      <c r="B604" s="35"/>
      <c r="C604" s="53" t="s">
        <v>887</v>
      </c>
      <c r="D604" s="53" t="s">
        <v>712</v>
      </c>
      <c r="E604" s="53" t="s">
        <v>1280</v>
      </c>
      <c r="F604" s="41"/>
      <c r="G604" s="38">
        <f>SUM(G605:G606)</f>
        <v>565.8</v>
      </c>
      <c r="H604" s="38">
        <f>SUM(H605:H606)</f>
        <v>565.5</v>
      </c>
      <c r="I604" s="39">
        <f t="shared" si="32"/>
        <v>99.94697773064688</v>
      </c>
      <c r="J604" s="6"/>
    </row>
    <row r="605" spans="1:10" ht="17.25" customHeight="1">
      <c r="A605" s="57" t="s">
        <v>782</v>
      </c>
      <c r="B605" s="35"/>
      <c r="C605" s="53" t="s">
        <v>887</v>
      </c>
      <c r="D605" s="53" t="s">
        <v>712</v>
      </c>
      <c r="E605" s="53" t="s">
        <v>1280</v>
      </c>
      <c r="F605" s="41" t="s">
        <v>783</v>
      </c>
      <c r="G605" s="38">
        <v>565.8</v>
      </c>
      <c r="H605" s="38">
        <v>565.5</v>
      </c>
      <c r="I605" s="39">
        <f t="shared" si="32"/>
        <v>99.94697773064688</v>
      </c>
      <c r="J605" s="6"/>
    </row>
    <row r="606" spans="1:10" ht="57" customHeight="1" hidden="1">
      <c r="A606" s="40" t="s">
        <v>1114</v>
      </c>
      <c r="B606" s="35"/>
      <c r="C606" s="53" t="s">
        <v>887</v>
      </c>
      <c r="D606" s="53" t="s">
        <v>712</v>
      </c>
      <c r="E606" s="53" t="s">
        <v>1280</v>
      </c>
      <c r="F606" s="41" t="s">
        <v>1269</v>
      </c>
      <c r="G606" s="38"/>
      <c r="H606" s="38"/>
      <c r="I606" s="39" t="e">
        <f t="shared" si="32"/>
        <v>#DIV/0!</v>
      </c>
      <c r="J606" s="6"/>
    </row>
    <row r="607" spans="1:10" ht="15" hidden="1">
      <c r="A607" s="74" t="s">
        <v>742</v>
      </c>
      <c r="B607" s="52"/>
      <c r="C607" s="36" t="s">
        <v>887</v>
      </c>
      <c r="D607" s="36" t="s">
        <v>714</v>
      </c>
      <c r="E607" s="53" t="s">
        <v>743</v>
      </c>
      <c r="F607" s="41"/>
      <c r="G607" s="38">
        <f>SUM(G608)</f>
        <v>0</v>
      </c>
      <c r="H607" s="38">
        <f>SUM(H608)</f>
        <v>0</v>
      </c>
      <c r="I607" s="39" t="e">
        <f t="shared" si="32"/>
        <v>#DIV/0!</v>
      </c>
      <c r="J607" s="6"/>
    </row>
    <row r="608" spans="1:10" ht="15.75" customHeight="1" hidden="1">
      <c r="A608" s="40" t="s">
        <v>685</v>
      </c>
      <c r="B608" s="114"/>
      <c r="C608" s="36" t="s">
        <v>887</v>
      </c>
      <c r="D608" s="36" t="s">
        <v>714</v>
      </c>
      <c r="E608" s="73" t="s">
        <v>743</v>
      </c>
      <c r="F608" s="42" t="s">
        <v>686</v>
      </c>
      <c r="G608" s="38">
        <f>SUM(G609)</f>
        <v>0</v>
      </c>
      <c r="H608" s="38">
        <f>SUM(H609)</f>
        <v>0</v>
      </c>
      <c r="I608" s="39" t="e">
        <f t="shared" si="32"/>
        <v>#DIV/0!</v>
      </c>
      <c r="J608" s="6"/>
    </row>
    <row r="609" spans="1:10" ht="28.5" customHeight="1" hidden="1">
      <c r="A609" s="40" t="s">
        <v>1283</v>
      </c>
      <c r="B609" s="35"/>
      <c r="C609" s="36" t="s">
        <v>887</v>
      </c>
      <c r="D609" s="36" t="s">
        <v>714</v>
      </c>
      <c r="E609" s="73" t="s">
        <v>1284</v>
      </c>
      <c r="F609" s="42" t="s">
        <v>686</v>
      </c>
      <c r="G609" s="38">
        <f>1738.6-1738.6</f>
        <v>0</v>
      </c>
      <c r="H609" s="38">
        <f>1738.6-1738.6</f>
        <v>0</v>
      </c>
      <c r="I609" s="39" t="e">
        <f t="shared" si="32"/>
        <v>#DIV/0!</v>
      </c>
      <c r="J609" s="6"/>
    </row>
    <row r="610" spans="1:10" ht="28.5">
      <c r="A610" s="34" t="s">
        <v>1285</v>
      </c>
      <c r="B610" s="35"/>
      <c r="C610" s="53" t="s">
        <v>887</v>
      </c>
      <c r="D610" s="53" t="s">
        <v>910</v>
      </c>
      <c r="E610" s="53"/>
      <c r="F610" s="41"/>
      <c r="G610" s="38">
        <f>SUM(G611+G614)</f>
        <v>82.8</v>
      </c>
      <c r="H610" s="38">
        <f>SUM(H611+H614)</f>
        <v>82.8</v>
      </c>
      <c r="I610" s="39">
        <f t="shared" si="32"/>
        <v>100</v>
      </c>
      <c r="J610" s="6"/>
    </row>
    <row r="611" spans="1:10" ht="41.25" customHeight="1">
      <c r="A611" s="40" t="s">
        <v>681</v>
      </c>
      <c r="B611" s="35"/>
      <c r="C611" s="53" t="s">
        <v>887</v>
      </c>
      <c r="D611" s="53" t="s">
        <v>910</v>
      </c>
      <c r="E611" s="36" t="s">
        <v>682</v>
      </c>
      <c r="F611" s="41"/>
      <c r="G611" s="38">
        <f>SUM(G612)</f>
        <v>2.3</v>
      </c>
      <c r="H611" s="38">
        <f>SUM(H612)</f>
        <v>2.3</v>
      </c>
      <c r="I611" s="39">
        <f t="shared" si="32"/>
        <v>100</v>
      </c>
      <c r="J611" s="6"/>
    </row>
    <row r="612" spans="1:10" ht="20.25" customHeight="1">
      <c r="A612" s="40" t="s">
        <v>689</v>
      </c>
      <c r="B612" s="35"/>
      <c r="C612" s="53" t="s">
        <v>887</v>
      </c>
      <c r="D612" s="53" t="s">
        <v>910</v>
      </c>
      <c r="E612" s="36" t="s">
        <v>691</v>
      </c>
      <c r="F612" s="41"/>
      <c r="G612" s="38">
        <f>SUM(G613)</f>
        <v>2.3</v>
      </c>
      <c r="H612" s="38">
        <f>SUM(H613)</f>
        <v>2.3</v>
      </c>
      <c r="I612" s="39">
        <f t="shared" si="32"/>
        <v>100</v>
      </c>
      <c r="J612" s="6"/>
    </row>
    <row r="613" spans="1:10" ht="31.5" customHeight="1">
      <c r="A613" s="40" t="s">
        <v>685</v>
      </c>
      <c r="B613" s="35"/>
      <c r="C613" s="53" t="s">
        <v>887</v>
      </c>
      <c r="D613" s="53" t="s">
        <v>910</v>
      </c>
      <c r="E613" s="36" t="s">
        <v>691</v>
      </c>
      <c r="F613" s="37" t="s">
        <v>686</v>
      </c>
      <c r="G613" s="38">
        <v>2.3</v>
      </c>
      <c r="H613" s="38">
        <v>2.3</v>
      </c>
      <c r="I613" s="39">
        <f t="shared" si="32"/>
        <v>100</v>
      </c>
      <c r="J613" s="6"/>
    </row>
    <row r="614" spans="1:10" ht="28.5">
      <c r="A614" s="84" t="s">
        <v>1255</v>
      </c>
      <c r="B614" s="35"/>
      <c r="C614" s="53" t="s">
        <v>887</v>
      </c>
      <c r="D614" s="53" t="s">
        <v>910</v>
      </c>
      <c r="E614" s="53" t="s">
        <v>1256</v>
      </c>
      <c r="F614" s="41"/>
      <c r="G614" s="38">
        <f>SUM(G615)</f>
        <v>80.5</v>
      </c>
      <c r="H614" s="38">
        <f>SUM(H615)</f>
        <v>80.5</v>
      </c>
      <c r="I614" s="39">
        <f t="shared" si="32"/>
        <v>100</v>
      </c>
      <c r="J614" s="6"/>
    </row>
    <row r="615" spans="1:10" ht="31.5" customHeight="1">
      <c r="A615" s="40" t="s">
        <v>780</v>
      </c>
      <c r="B615" s="35"/>
      <c r="C615" s="53" t="s">
        <v>887</v>
      </c>
      <c r="D615" s="53" t="s">
        <v>910</v>
      </c>
      <c r="E615" s="53" t="s">
        <v>1257</v>
      </c>
      <c r="F615" s="41"/>
      <c r="G615" s="38">
        <f>SUM(G616:G616)</f>
        <v>80.5</v>
      </c>
      <c r="H615" s="38">
        <f>SUM(H616:H616)</f>
        <v>80.5</v>
      </c>
      <c r="I615" s="39">
        <f t="shared" si="32"/>
        <v>100</v>
      </c>
      <c r="J615" s="6"/>
    </row>
    <row r="616" spans="1:10" ht="17.25" customHeight="1">
      <c r="A616" s="57" t="s">
        <v>782</v>
      </c>
      <c r="B616" s="35"/>
      <c r="C616" s="53" t="s">
        <v>887</v>
      </c>
      <c r="D616" s="53" t="s">
        <v>910</v>
      </c>
      <c r="E616" s="53" t="s">
        <v>1257</v>
      </c>
      <c r="F616" s="41" t="s">
        <v>783</v>
      </c>
      <c r="G616" s="38">
        <v>80.5</v>
      </c>
      <c r="H616" s="38">
        <v>80.5</v>
      </c>
      <c r="I616" s="39">
        <f t="shared" si="32"/>
        <v>100</v>
      </c>
      <c r="J616" s="6"/>
    </row>
    <row r="617" spans="1:9" s="116" customFormat="1" ht="15">
      <c r="A617" s="46" t="s">
        <v>1302</v>
      </c>
      <c r="B617" s="35"/>
      <c r="C617" s="81" t="s">
        <v>910</v>
      </c>
      <c r="D617" s="81" t="s">
        <v>1303</v>
      </c>
      <c r="E617" s="81"/>
      <c r="F617" s="68"/>
      <c r="G617" s="71">
        <f>SUM(G618+G622+G633+G708+G724)</f>
        <v>703727.1</v>
      </c>
      <c r="H617" s="71">
        <f>SUM(H618+H622+H633+H708+H724)</f>
        <v>689176.6999999998</v>
      </c>
      <c r="I617" s="39">
        <f t="shared" si="32"/>
        <v>97.93238032186055</v>
      </c>
    </row>
    <row r="618" spans="1:9" ht="15">
      <c r="A618" s="46" t="s">
        <v>1304</v>
      </c>
      <c r="B618" s="35"/>
      <c r="C618" s="81" t="s">
        <v>910</v>
      </c>
      <c r="D618" s="81" t="s">
        <v>678</v>
      </c>
      <c r="E618" s="81"/>
      <c r="F618" s="68"/>
      <c r="G618" s="71">
        <f aca="true" t="shared" si="33" ref="G618:H620">SUM(G619)</f>
        <v>1657.3</v>
      </c>
      <c r="H618" s="71">
        <f t="shared" si="33"/>
        <v>1657.3</v>
      </c>
      <c r="I618" s="39">
        <f t="shared" si="32"/>
        <v>100</v>
      </c>
    </row>
    <row r="619" spans="1:9" ht="28.5">
      <c r="A619" s="103" t="s">
        <v>1305</v>
      </c>
      <c r="B619" s="35"/>
      <c r="C619" s="36" t="s">
        <v>910</v>
      </c>
      <c r="D619" s="36" t="s">
        <v>678</v>
      </c>
      <c r="E619" s="36" t="s">
        <v>1306</v>
      </c>
      <c r="F619" s="68"/>
      <c r="G619" s="38">
        <f t="shared" si="33"/>
        <v>1657.3</v>
      </c>
      <c r="H619" s="38">
        <f t="shared" si="33"/>
        <v>1657.3</v>
      </c>
      <c r="I619" s="39">
        <f t="shared" si="32"/>
        <v>100</v>
      </c>
    </row>
    <row r="620" spans="1:9" s="113" customFormat="1" ht="42.75">
      <c r="A620" s="103" t="s">
        <v>1307</v>
      </c>
      <c r="B620" s="92"/>
      <c r="C620" s="36" t="s">
        <v>910</v>
      </c>
      <c r="D620" s="36" t="s">
        <v>678</v>
      </c>
      <c r="E620" s="36" t="s">
        <v>1308</v>
      </c>
      <c r="F620" s="68"/>
      <c r="G620" s="38">
        <f t="shared" si="33"/>
        <v>1657.3</v>
      </c>
      <c r="H620" s="38">
        <f t="shared" si="33"/>
        <v>1657.3</v>
      </c>
      <c r="I620" s="39">
        <f t="shared" si="32"/>
        <v>100</v>
      </c>
    </row>
    <row r="621" spans="1:9" s="116" customFormat="1" ht="18" customHeight="1">
      <c r="A621" s="34" t="s">
        <v>879</v>
      </c>
      <c r="B621" s="35"/>
      <c r="C621" s="36" t="s">
        <v>910</v>
      </c>
      <c r="D621" s="36" t="s">
        <v>678</v>
      </c>
      <c r="E621" s="36" t="s">
        <v>1308</v>
      </c>
      <c r="F621" s="68" t="s">
        <v>880</v>
      </c>
      <c r="G621" s="38">
        <v>1657.3</v>
      </c>
      <c r="H621" s="38">
        <v>1657.3</v>
      </c>
      <c r="I621" s="39">
        <f t="shared" si="32"/>
        <v>100</v>
      </c>
    </row>
    <row r="622" spans="1:9" s="116" customFormat="1" ht="15">
      <c r="A622" s="34" t="s">
        <v>1309</v>
      </c>
      <c r="B622" s="35"/>
      <c r="C622" s="48" t="s">
        <v>910</v>
      </c>
      <c r="D622" s="48" t="s">
        <v>680</v>
      </c>
      <c r="E622" s="36"/>
      <c r="F622" s="68"/>
      <c r="G622" s="71">
        <f>SUM(G623+G628)</f>
        <v>25286.4</v>
      </c>
      <c r="H622" s="71">
        <f>SUM(H623+H628)</f>
        <v>25286.3</v>
      </c>
      <c r="I622" s="39">
        <f t="shared" si="32"/>
        <v>99.9996045304986</v>
      </c>
    </row>
    <row r="623" spans="1:9" s="106" customFormat="1" ht="20.25" customHeight="1" hidden="1">
      <c r="A623" s="144" t="s">
        <v>1310</v>
      </c>
      <c r="B623" s="35"/>
      <c r="C623" s="48" t="s">
        <v>910</v>
      </c>
      <c r="D623" s="48" t="s">
        <v>680</v>
      </c>
      <c r="E623" s="48" t="s">
        <v>1311</v>
      </c>
      <c r="F623" s="133"/>
      <c r="G623" s="71"/>
      <c r="H623" s="71"/>
      <c r="I623" s="39" t="e">
        <f t="shared" si="32"/>
        <v>#DIV/0!</v>
      </c>
    </row>
    <row r="624" spans="1:9" ht="42.75" hidden="1">
      <c r="A624" s="144" t="s">
        <v>1312</v>
      </c>
      <c r="B624" s="35"/>
      <c r="C624" s="53" t="s">
        <v>910</v>
      </c>
      <c r="D624" s="53" t="s">
        <v>680</v>
      </c>
      <c r="E624" s="53" t="s">
        <v>1313</v>
      </c>
      <c r="F624" s="41"/>
      <c r="G624" s="38">
        <f>SUM(G625+G626)</f>
        <v>0</v>
      </c>
      <c r="H624" s="38">
        <f>SUM(H625+H626)</f>
        <v>0</v>
      </c>
      <c r="I624" s="39" t="e">
        <f t="shared" si="32"/>
        <v>#DIV/0!</v>
      </c>
    </row>
    <row r="625" spans="1:9" ht="15" hidden="1">
      <c r="A625" s="51" t="s">
        <v>782</v>
      </c>
      <c r="B625" s="35"/>
      <c r="C625" s="53" t="s">
        <v>910</v>
      </c>
      <c r="D625" s="53" t="s">
        <v>680</v>
      </c>
      <c r="E625" s="53" t="s">
        <v>1313</v>
      </c>
      <c r="F625" s="133" t="s">
        <v>783</v>
      </c>
      <c r="G625" s="38"/>
      <c r="H625" s="38"/>
      <c r="I625" s="39" t="e">
        <f t="shared" si="32"/>
        <v>#DIV/0!</v>
      </c>
    </row>
    <row r="626" spans="1:9" ht="33" customHeight="1" hidden="1">
      <c r="A626" s="144" t="s">
        <v>1314</v>
      </c>
      <c r="B626" s="35"/>
      <c r="C626" s="53" t="s">
        <v>910</v>
      </c>
      <c r="D626" s="53" t="s">
        <v>680</v>
      </c>
      <c r="E626" s="53" t="s">
        <v>1315</v>
      </c>
      <c r="F626" s="41"/>
      <c r="G626" s="38">
        <f>SUM(G627)</f>
        <v>0</v>
      </c>
      <c r="H626" s="38">
        <f>SUM(H627)</f>
        <v>0</v>
      </c>
      <c r="I626" s="39" t="e">
        <f t="shared" si="32"/>
        <v>#DIV/0!</v>
      </c>
    </row>
    <row r="627" spans="1:9" ht="15" hidden="1">
      <c r="A627" s="51" t="s">
        <v>782</v>
      </c>
      <c r="B627" s="35"/>
      <c r="C627" s="53" t="s">
        <v>910</v>
      </c>
      <c r="D627" s="53" t="s">
        <v>680</v>
      </c>
      <c r="E627" s="53" t="s">
        <v>1315</v>
      </c>
      <c r="F627" s="133" t="s">
        <v>783</v>
      </c>
      <c r="G627" s="38"/>
      <c r="H627" s="38"/>
      <c r="I627" s="39" t="e">
        <f t="shared" si="32"/>
        <v>#DIV/0!</v>
      </c>
    </row>
    <row r="628" spans="1:9" ht="15">
      <c r="A628" s="144" t="s">
        <v>1310</v>
      </c>
      <c r="B628" s="35"/>
      <c r="C628" s="48" t="s">
        <v>910</v>
      </c>
      <c r="D628" s="48" t="s">
        <v>680</v>
      </c>
      <c r="E628" s="48" t="s">
        <v>1316</v>
      </c>
      <c r="F628" s="133"/>
      <c r="G628" s="38">
        <f>SUM(G629+G631)</f>
        <v>25286.4</v>
      </c>
      <c r="H628" s="38">
        <f>SUM(H629+H631)</f>
        <v>25286.3</v>
      </c>
      <c r="I628" s="39">
        <f t="shared" si="32"/>
        <v>99.9996045304986</v>
      </c>
    </row>
    <row r="629" spans="1:9" ht="28.5" customHeight="1">
      <c r="A629" s="51" t="s">
        <v>1314</v>
      </c>
      <c r="B629" s="35"/>
      <c r="C629" s="53" t="s">
        <v>910</v>
      </c>
      <c r="D629" s="53" t="s">
        <v>680</v>
      </c>
      <c r="E629" s="53" t="s">
        <v>1317</v>
      </c>
      <c r="F629" s="133"/>
      <c r="G629" s="38">
        <f>SUM(G630)</f>
        <v>446.2</v>
      </c>
      <c r="H629" s="38">
        <f>SUM(H630)</f>
        <v>446.1</v>
      </c>
      <c r="I629" s="39">
        <f t="shared" si="32"/>
        <v>99.97758852532498</v>
      </c>
    </row>
    <row r="630" spans="1:9" ht="18" customHeight="1">
      <c r="A630" s="51" t="s">
        <v>782</v>
      </c>
      <c r="B630" s="35"/>
      <c r="C630" s="53" t="s">
        <v>910</v>
      </c>
      <c r="D630" s="53" t="s">
        <v>680</v>
      </c>
      <c r="E630" s="53" t="s">
        <v>1317</v>
      </c>
      <c r="F630" s="133" t="s">
        <v>783</v>
      </c>
      <c r="G630" s="38">
        <v>446.2</v>
      </c>
      <c r="H630" s="38">
        <v>446.1</v>
      </c>
      <c r="I630" s="39">
        <f t="shared" si="32"/>
        <v>99.97758852532498</v>
      </c>
    </row>
    <row r="631" spans="1:9" ht="42.75">
      <c r="A631" s="51" t="s">
        <v>1318</v>
      </c>
      <c r="B631" s="35"/>
      <c r="C631" s="53" t="s">
        <v>910</v>
      </c>
      <c r="D631" s="53" t="s">
        <v>680</v>
      </c>
      <c r="E631" s="53" t="s">
        <v>1319</v>
      </c>
      <c r="F631" s="133"/>
      <c r="G631" s="38">
        <f>SUM(G632)</f>
        <v>24840.2</v>
      </c>
      <c r="H631" s="38">
        <f>SUM(H632)</f>
        <v>24840.2</v>
      </c>
      <c r="I631" s="39">
        <f t="shared" si="32"/>
        <v>100</v>
      </c>
    </row>
    <row r="632" spans="1:9" ht="15">
      <c r="A632" s="51" t="s">
        <v>782</v>
      </c>
      <c r="B632" s="35"/>
      <c r="C632" s="53" t="s">
        <v>910</v>
      </c>
      <c r="D632" s="53" t="s">
        <v>680</v>
      </c>
      <c r="E632" s="53" t="s">
        <v>1319</v>
      </c>
      <c r="F632" s="133" t="s">
        <v>783</v>
      </c>
      <c r="G632" s="38">
        <v>24840.2</v>
      </c>
      <c r="H632" s="38">
        <v>24840.2</v>
      </c>
      <c r="I632" s="39">
        <f t="shared" si="32"/>
        <v>100</v>
      </c>
    </row>
    <row r="633" spans="1:9" ht="15">
      <c r="A633" s="46" t="s">
        <v>1320</v>
      </c>
      <c r="B633" s="35"/>
      <c r="C633" s="81" t="s">
        <v>910</v>
      </c>
      <c r="D633" s="81" t="s">
        <v>688</v>
      </c>
      <c r="E633" s="81"/>
      <c r="F633" s="68"/>
      <c r="G633" s="71">
        <f>SUM(G637+G702+G705+G634)</f>
        <v>631418.7000000001</v>
      </c>
      <c r="H633" s="71">
        <f>SUM(H637+H702+H705+H634)</f>
        <v>618303.4999999999</v>
      </c>
      <c r="I633" s="39">
        <f t="shared" si="32"/>
        <v>97.92289965438144</v>
      </c>
    </row>
    <row r="634" spans="1:9" ht="15">
      <c r="A634" s="34" t="s">
        <v>769</v>
      </c>
      <c r="B634" s="35"/>
      <c r="C634" s="81" t="s">
        <v>910</v>
      </c>
      <c r="D634" s="81" t="s">
        <v>688</v>
      </c>
      <c r="E634" s="36" t="s">
        <v>771</v>
      </c>
      <c r="F634" s="37"/>
      <c r="G634" s="38">
        <f>SUM(G636)</f>
        <v>200</v>
      </c>
      <c r="H634" s="38">
        <f>SUM(H636)</f>
        <v>200</v>
      </c>
      <c r="I634" s="39">
        <f t="shared" si="32"/>
        <v>100</v>
      </c>
    </row>
    <row r="635" spans="1:9" ht="15">
      <c r="A635" s="34" t="s">
        <v>740</v>
      </c>
      <c r="B635" s="35"/>
      <c r="C635" s="81" t="s">
        <v>910</v>
      </c>
      <c r="D635" s="81" t="s">
        <v>688</v>
      </c>
      <c r="E635" s="36" t="s">
        <v>741</v>
      </c>
      <c r="F635" s="37"/>
      <c r="G635" s="38">
        <f>SUM(G636)</f>
        <v>200</v>
      </c>
      <c r="H635" s="38">
        <f>SUM(H636)</f>
        <v>200</v>
      </c>
      <c r="I635" s="39">
        <f t="shared" si="32"/>
        <v>100</v>
      </c>
    </row>
    <row r="636" spans="1:9" ht="15">
      <c r="A636" s="34" t="s">
        <v>879</v>
      </c>
      <c r="B636" s="52"/>
      <c r="C636" s="81" t="s">
        <v>910</v>
      </c>
      <c r="D636" s="81" t="s">
        <v>688</v>
      </c>
      <c r="E636" s="36" t="s">
        <v>741</v>
      </c>
      <c r="F636" s="41" t="s">
        <v>880</v>
      </c>
      <c r="G636" s="38">
        <v>200</v>
      </c>
      <c r="H636" s="38">
        <v>200</v>
      </c>
      <c r="I636" s="39">
        <f t="shared" si="32"/>
        <v>100</v>
      </c>
    </row>
    <row r="637" spans="1:9" ht="15">
      <c r="A637" s="34" t="s">
        <v>1326</v>
      </c>
      <c r="B637" s="35"/>
      <c r="C637" s="36" t="s">
        <v>910</v>
      </c>
      <c r="D637" s="36" t="s">
        <v>688</v>
      </c>
      <c r="E637" s="36" t="s">
        <v>1327</v>
      </c>
      <c r="F637" s="37"/>
      <c r="G637" s="38">
        <f>SUM(G638+G640+G642+G648+G650+G667+G673+G675+G677+G698+G653+G655+G661+G663+G669+G671+G659+G657+G665+G644+G646)</f>
        <v>625214.4</v>
      </c>
      <c r="H637" s="38">
        <f>SUM(H638+H640+H642+H648+H650+H667+H673+H675+H677+H698+H653+H655+H661+H663+H669+H671+H659+H657+H665+H644+H646)</f>
        <v>612247.7999999999</v>
      </c>
      <c r="I637" s="39">
        <f t="shared" si="32"/>
        <v>97.92605544593981</v>
      </c>
    </row>
    <row r="638" spans="1:9" ht="63.75" customHeight="1" hidden="1">
      <c r="A638" s="145" t="s">
        <v>1328</v>
      </c>
      <c r="B638" s="35"/>
      <c r="C638" s="36" t="s">
        <v>910</v>
      </c>
      <c r="D638" s="36" t="s">
        <v>688</v>
      </c>
      <c r="E638" s="36" t="s">
        <v>1329</v>
      </c>
      <c r="F638" s="37"/>
      <c r="G638" s="38">
        <f>SUM(G639:G639)</f>
        <v>0</v>
      </c>
      <c r="H638" s="38">
        <f>SUM(H639:H639)</f>
        <v>0</v>
      </c>
      <c r="I638" s="39" t="e">
        <f t="shared" si="32"/>
        <v>#DIV/0!</v>
      </c>
    </row>
    <row r="639" spans="1:9" ht="15" hidden="1">
      <c r="A639" s="34" t="s">
        <v>879</v>
      </c>
      <c r="B639" s="35"/>
      <c r="C639" s="36" t="s">
        <v>910</v>
      </c>
      <c r="D639" s="36" t="s">
        <v>688</v>
      </c>
      <c r="E639" s="36" t="s">
        <v>1329</v>
      </c>
      <c r="F639" s="37" t="s">
        <v>880</v>
      </c>
      <c r="G639" s="38"/>
      <c r="H639" s="38"/>
      <c r="I639" s="39" t="e">
        <f t="shared" si="32"/>
        <v>#DIV/0!</v>
      </c>
    </row>
    <row r="640" spans="1:9" ht="57" hidden="1">
      <c r="A640" s="34" t="s">
        <v>1330</v>
      </c>
      <c r="B640" s="35"/>
      <c r="C640" s="36" t="s">
        <v>910</v>
      </c>
      <c r="D640" s="36" t="s">
        <v>688</v>
      </c>
      <c r="E640" s="36" t="s">
        <v>1331</v>
      </c>
      <c r="F640" s="37"/>
      <c r="G640" s="38">
        <f>SUM(G641:G641)</f>
        <v>0</v>
      </c>
      <c r="H640" s="38">
        <f>SUM(H641:H641)</f>
        <v>0</v>
      </c>
      <c r="I640" s="39" t="e">
        <f t="shared" si="32"/>
        <v>#DIV/0!</v>
      </c>
    </row>
    <row r="641" spans="1:9" ht="15" hidden="1">
      <c r="A641" s="34" t="s">
        <v>879</v>
      </c>
      <c r="B641" s="35"/>
      <c r="C641" s="36" t="s">
        <v>910</v>
      </c>
      <c r="D641" s="36" t="s">
        <v>688</v>
      </c>
      <c r="E641" s="36" t="s">
        <v>1331</v>
      </c>
      <c r="F641" s="37" t="s">
        <v>880</v>
      </c>
      <c r="G641" s="38"/>
      <c r="H641" s="38"/>
      <c r="I641" s="39" t="e">
        <f t="shared" si="32"/>
        <v>#DIV/0!</v>
      </c>
    </row>
    <row r="642" spans="1:9" ht="57" hidden="1">
      <c r="A642" s="34" t="s">
        <v>1332</v>
      </c>
      <c r="B642" s="43"/>
      <c r="C642" s="53" t="s">
        <v>910</v>
      </c>
      <c r="D642" s="36" t="s">
        <v>688</v>
      </c>
      <c r="E642" s="36" t="s">
        <v>1333</v>
      </c>
      <c r="F642" s="37"/>
      <c r="G642" s="38">
        <f>SUM(G643)</f>
        <v>0</v>
      </c>
      <c r="H642" s="38">
        <f>SUM(H643)</f>
        <v>0</v>
      </c>
      <c r="I642" s="39" t="e">
        <f t="shared" si="32"/>
        <v>#DIV/0!</v>
      </c>
    </row>
    <row r="643" spans="1:9" ht="15" hidden="1">
      <c r="A643" s="34" t="s">
        <v>879</v>
      </c>
      <c r="B643" s="43"/>
      <c r="C643" s="53" t="s">
        <v>910</v>
      </c>
      <c r="D643" s="36" t="s">
        <v>688</v>
      </c>
      <c r="E643" s="36" t="s">
        <v>1333</v>
      </c>
      <c r="F643" s="37" t="s">
        <v>880</v>
      </c>
      <c r="G643" s="38"/>
      <c r="H643" s="38"/>
      <c r="I643" s="39" t="e">
        <f t="shared" si="32"/>
        <v>#DIV/0!</v>
      </c>
    </row>
    <row r="644" spans="1:9" ht="128.25">
      <c r="A644" s="34" t="s">
        <v>1336</v>
      </c>
      <c r="B644" s="43"/>
      <c r="C644" s="53" t="s">
        <v>910</v>
      </c>
      <c r="D644" s="36" t="s">
        <v>688</v>
      </c>
      <c r="E644" s="36" t="s">
        <v>1337</v>
      </c>
      <c r="F644" s="37"/>
      <c r="G644" s="38">
        <f>SUM(G645)</f>
        <v>1086.4</v>
      </c>
      <c r="H644" s="38">
        <f>SUM(H645)</f>
        <v>985.6</v>
      </c>
      <c r="I644" s="39">
        <f t="shared" si="32"/>
        <v>90.72164948453609</v>
      </c>
    </row>
    <row r="645" spans="1:9" ht="15">
      <c r="A645" s="34" t="s">
        <v>879</v>
      </c>
      <c r="B645" s="43"/>
      <c r="C645" s="53" t="s">
        <v>910</v>
      </c>
      <c r="D645" s="36" t="s">
        <v>688</v>
      </c>
      <c r="E645" s="36" t="s">
        <v>1337</v>
      </c>
      <c r="F645" s="37" t="s">
        <v>880</v>
      </c>
      <c r="G645" s="38">
        <v>1086.4</v>
      </c>
      <c r="H645" s="38">
        <v>985.6</v>
      </c>
      <c r="I645" s="39">
        <f t="shared" si="32"/>
        <v>90.72164948453609</v>
      </c>
    </row>
    <row r="646" spans="1:9" ht="76.5" customHeight="1">
      <c r="A646" s="34" t="s">
        <v>1338</v>
      </c>
      <c r="B646" s="43"/>
      <c r="C646" s="53" t="s">
        <v>910</v>
      </c>
      <c r="D646" s="36" t="s">
        <v>688</v>
      </c>
      <c r="E646" s="36" t="s">
        <v>1339</v>
      </c>
      <c r="F646" s="37"/>
      <c r="G646" s="38">
        <f>SUM(G647)</f>
        <v>664.2</v>
      </c>
      <c r="H646" s="38">
        <f>SUM(H647)</f>
        <v>635</v>
      </c>
      <c r="I646" s="39">
        <f t="shared" si="32"/>
        <v>95.60373381511592</v>
      </c>
    </row>
    <row r="647" spans="1:9" ht="15">
      <c r="A647" s="34" t="s">
        <v>879</v>
      </c>
      <c r="B647" s="43"/>
      <c r="C647" s="53" t="s">
        <v>910</v>
      </c>
      <c r="D647" s="36" t="s">
        <v>688</v>
      </c>
      <c r="E647" s="36" t="s">
        <v>1339</v>
      </c>
      <c r="F647" s="37" t="s">
        <v>880</v>
      </c>
      <c r="G647" s="38">
        <f>654.2+10</f>
        <v>664.2</v>
      </c>
      <c r="H647" s="38">
        <v>635</v>
      </c>
      <c r="I647" s="39">
        <f t="shared" si="32"/>
        <v>95.60373381511592</v>
      </c>
    </row>
    <row r="648" spans="1:9" s="106" customFormat="1" ht="85.5">
      <c r="A648" s="54" t="s">
        <v>1340</v>
      </c>
      <c r="B648" s="35"/>
      <c r="C648" s="53" t="s">
        <v>910</v>
      </c>
      <c r="D648" s="36" t="s">
        <v>688</v>
      </c>
      <c r="E648" s="36" t="s">
        <v>1341</v>
      </c>
      <c r="F648" s="37"/>
      <c r="G648" s="38">
        <f>SUM(G649)</f>
        <v>1864.4</v>
      </c>
      <c r="H648" s="38">
        <f>SUM(H649)</f>
        <v>1864.4</v>
      </c>
      <c r="I648" s="39">
        <f t="shared" si="32"/>
        <v>100</v>
      </c>
    </row>
    <row r="649" spans="1:9" s="106" customFormat="1" ht="15">
      <c r="A649" s="34" t="s">
        <v>879</v>
      </c>
      <c r="B649" s="35"/>
      <c r="C649" s="53" t="s">
        <v>910</v>
      </c>
      <c r="D649" s="36" t="s">
        <v>688</v>
      </c>
      <c r="E649" s="36" t="s">
        <v>1341</v>
      </c>
      <c r="F649" s="37" t="s">
        <v>880</v>
      </c>
      <c r="G649" s="38">
        <f>1404.4+460</f>
        <v>1864.4</v>
      </c>
      <c r="H649" s="38">
        <f>1404.4+460</f>
        <v>1864.4</v>
      </c>
      <c r="I649" s="39">
        <f t="shared" si="32"/>
        <v>100</v>
      </c>
    </row>
    <row r="650" spans="1:9" s="106" customFormat="1" ht="42.75">
      <c r="A650" s="103" t="s">
        <v>1342</v>
      </c>
      <c r="B650" s="35"/>
      <c r="C650" s="53" t="s">
        <v>910</v>
      </c>
      <c r="D650" s="36" t="s">
        <v>688</v>
      </c>
      <c r="E650" s="36" t="s">
        <v>1343</v>
      </c>
      <c r="F650" s="37"/>
      <c r="G650" s="38">
        <f>SUM(G651)</f>
        <v>8908</v>
      </c>
      <c r="H650" s="38">
        <f>SUM(H651)</f>
        <v>8809.3</v>
      </c>
      <c r="I650" s="39">
        <f t="shared" si="32"/>
        <v>98.8920071845532</v>
      </c>
    </row>
    <row r="651" spans="1:9" s="106" customFormat="1" ht="18" customHeight="1">
      <c r="A651" s="34" t="s">
        <v>879</v>
      </c>
      <c r="B651" s="35"/>
      <c r="C651" s="53" t="s">
        <v>910</v>
      </c>
      <c r="D651" s="36" t="s">
        <v>688</v>
      </c>
      <c r="E651" s="36" t="s">
        <v>1343</v>
      </c>
      <c r="F651" s="37" t="s">
        <v>880</v>
      </c>
      <c r="G651" s="38">
        <f>8942.3-34.3</f>
        <v>8908</v>
      </c>
      <c r="H651" s="38">
        <v>8809.3</v>
      </c>
      <c r="I651" s="39">
        <f t="shared" si="32"/>
        <v>98.8920071845532</v>
      </c>
    </row>
    <row r="652" spans="1:9" s="106" customFormat="1" ht="37.5" customHeight="1" hidden="1">
      <c r="A652" s="34"/>
      <c r="B652" s="35"/>
      <c r="C652" s="53"/>
      <c r="D652" s="36"/>
      <c r="E652" s="36"/>
      <c r="F652" s="37"/>
      <c r="G652" s="38"/>
      <c r="H652" s="38"/>
      <c r="I652" s="39" t="e">
        <f t="shared" si="32"/>
        <v>#DIV/0!</v>
      </c>
    </row>
    <row r="653" spans="1:9" s="106" customFormat="1" ht="75.75" customHeight="1">
      <c r="A653" s="34" t="s">
        <v>1447</v>
      </c>
      <c r="B653" s="35"/>
      <c r="C653" s="53" t="s">
        <v>910</v>
      </c>
      <c r="D653" s="36" t="s">
        <v>688</v>
      </c>
      <c r="E653" s="36" t="s">
        <v>351</v>
      </c>
      <c r="F653" s="37"/>
      <c r="G653" s="38">
        <f>SUM(G654)</f>
        <v>25032.4</v>
      </c>
      <c r="H653" s="38">
        <f>SUM(H654)</f>
        <v>25032.4</v>
      </c>
      <c r="I653" s="39">
        <f aca="true" t="shared" si="34" ref="I653:I716">SUM(H653/G653*100)</f>
        <v>100</v>
      </c>
    </row>
    <row r="654" spans="1:9" s="106" customFormat="1" ht="19.5" customHeight="1">
      <c r="A654" s="34" t="s">
        <v>879</v>
      </c>
      <c r="B654" s="35"/>
      <c r="C654" s="53" t="s">
        <v>910</v>
      </c>
      <c r="D654" s="36" t="s">
        <v>688</v>
      </c>
      <c r="E654" s="36" t="s">
        <v>351</v>
      </c>
      <c r="F654" s="37" t="s">
        <v>880</v>
      </c>
      <c r="G654" s="38">
        <v>25032.4</v>
      </c>
      <c r="H654" s="38">
        <v>25032.4</v>
      </c>
      <c r="I654" s="39">
        <f t="shared" si="34"/>
        <v>100</v>
      </c>
    </row>
    <row r="655" spans="1:9" s="106" customFormat="1" ht="88.5" customHeight="1">
      <c r="A655" s="34" t="s">
        <v>408</v>
      </c>
      <c r="B655" s="35"/>
      <c r="C655" s="53" t="s">
        <v>910</v>
      </c>
      <c r="D655" s="36" t="s">
        <v>688</v>
      </c>
      <c r="E655" s="36" t="s">
        <v>353</v>
      </c>
      <c r="F655" s="37"/>
      <c r="G655" s="38">
        <f>SUM(G656)</f>
        <v>18414</v>
      </c>
      <c r="H655" s="38">
        <f>SUM(H656)</f>
        <v>17559.4</v>
      </c>
      <c r="I655" s="39">
        <f t="shared" si="34"/>
        <v>95.3589660041273</v>
      </c>
    </row>
    <row r="656" spans="1:9" s="106" customFormat="1" ht="19.5" customHeight="1">
      <c r="A656" s="34" t="s">
        <v>879</v>
      </c>
      <c r="B656" s="35"/>
      <c r="C656" s="53" t="s">
        <v>910</v>
      </c>
      <c r="D656" s="36" t="s">
        <v>688</v>
      </c>
      <c r="E656" s="36" t="s">
        <v>353</v>
      </c>
      <c r="F656" s="37" t="s">
        <v>880</v>
      </c>
      <c r="G656" s="38">
        <v>18414</v>
      </c>
      <c r="H656" s="38">
        <v>17559.4</v>
      </c>
      <c r="I656" s="39">
        <f t="shared" si="34"/>
        <v>95.3589660041273</v>
      </c>
    </row>
    <row r="657" spans="1:9" s="106" customFormat="1" ht="89.25" customHeight="1">
      <c r="A657" s="34" t="s">
        <v>354</v>
      </c>
      <c r="B657" s="35"/>
      <c r="C657" s="53" t="s">
        <v>910</v>
      </c>
      <c r="D657" s="36" t="s">
        <v>688</v>
      </c>
      <c r="E657" s="36" t="s">
        <v>355</v>
      </c>
      <c r="F657" s="37"/>
      <c r="G657" s="38">
        <f>SUM(G658)</f>
        <v>64667.1</v>
      </c>
      <c r="H657" s="38">
        <f>SUM(H658)</f>
        <v>64667.1</v>
      </c>
      <c r="I657" s="39">
        <f t="shared" si="34"/>
        <v>100</v>
      </c>
    </row>
    <row r="658" spans="1:9" s="106" customFormat="1" ht="21.75" customHeight="1">
      <c r="A658" s="34" t="s">
        <v>879</v>
      </c>
      <c r="B658" s="35"/>
      <c r="C658" s="53" t="s">
        <v>910</v>
      </c>
      <c r="D658" s="36" t="s">
        <v>688</v>
      </c>
      <c r="E658" s="36" t="s">
        <v>355</v>
      </c>
      <c r="F658" s="37" t="s">
        <v>880</v>
      </c>
      <c r="G658" s="38">
        <v>64667.1</v>
      </c>
      <c r="H658" s="38">
        <v>64667.1</v>
      </c>
      <c r="I658" s="39">
        <f t="shared" si="34"/>
        <v>100</v>
      </c>
    </row>
    <row r="659" spans="1:9" s="106" customFormat="1" ht="48.75" customHeight="1">
      <c r="A659" s="34" t="s">
        <v>356</v>
      </c>
      <c r="B659" s="35"/>
      <c r="C659" s="53" t="s">
        <v>910</v>
      </c>
      <c r="D659" s="36" t="s">
        <v>688</v>
      </c>
      <c r="E659" s="36" t="s">
        <v>357</v>
      </c>
      <c r="F659" s="37"/>
      <c r="G659" s="38">
        <f>SUM(G660)</f>
        <v>4349.5</v>
      </c>
      <c r="H659" s="38">
        <f>SUM(H660)</f>
        <v>697.6</v>
      </c>
      <c r="I659" s="39">
        <f t="shared" si="34"/>
        <v>16.038625129325208</v>
      </c>
    </row>
    <row r="660" spans="1:9" s="106" customFormat="1" ht="19.5" customHeight="1">
      <c r="A660" s="34" t="s">
        <v>879</v>
      </c>
      <c r="B660" s="35"/>
      <c r="C660" s="53" t="s">
        <v>910</v>
      </c>
      <c r="D660" s="36" t="s">
        <v>688</v>
      </c>
      <c r="E660" s="36" t="s">
        <v>357</v>
      </c>
      <c r="F660" s="37" t="s">
        <v>880</v>
      </c>
      <c r="G660" s="38">
        <f>6681.7-2332.2</f>
        <v>4349.5</v>
      </c>
      <c r="H660" s="38">
        <v>697.6</v>
      </c>
      <c r="I660" s="39">
        <f t="shared" si="34"/>
        <v>16.038625129325208</v>
      </c>
    </row>
    <row r="661" spans="1:9" s="106" customFormat="1" ht="60" customHeight="1">
      <c r="A661" s="34" t="s">
        <v>358</v>
      </c>
      <c r="B661" s="35"/>
      <c r="C661" s="53" t="s">
        <v>910</v>
      </c>
      <c r="D661" s="36" t="s">
        <v>688</v>
      </c>
      <c r="E661" s="36" t="s">
        <v>359</v>
      </c>
      <c r="F661" s="37"/>
      <c r="G661" s="38">
        <f>SUM(G662)</f>
        <v>6540.5</v>
      </c>
      <c r="H661" s="38">
        <f>SUM(H662)</f>
        <v>5477.2</v>
      </c>
      <c r="I661" s="39">
        <f t="shared" si="34"/>
        <v>83.74283311673419</v>
      </c>
    </row>
    <row r="662" spans="1:9" s="106" customFormat="1" ht="19.5" customHeight="1">
      <c r="A662" s="34" t="s">
        <v>879</v>
      </c>
      <c r="B662" s="35"/>
      <c r="C662" s="53" t="s">
        <v>910</v>
      </c>
      <c r="D662" s="36" t="s">
        <v>688</v>
      </c>
      <c r="E662" s="36" t="s">
        <v>359</v>
      </c>
      <c r="F662" s="37" t="s">
        <v>880</v>
      </c>
      <c r="G662" s="38">
        <v>6540.5</v>
      </c>
      <c r="H662" s="38">
        <v>5477.2</v>
      </c>
      <c r="I662" s="39">
        <f t="shared" si="34"/>
        <v>83.74283311673419</v>
      </c>
    </row>
    <row r="663" spans="1:9" s="106" customFormat="1" ht="44.25" customHeight="1" hidden="1">
      <c r="A663" s="34" t="s">
        <v>1330</v>
      </c>
      <c r="B663" s="35"/>
      <c r="C663" s="53" t="s">
        <v>910</v>
      </c>
      <c r="D663" s="36" t="s">
        <v>688</v>
      </c>
      <c r="E663" s="36" t="s">
        <v>360</v>
      </c>
      <c r="F663" s="37"/>
      <c r="G663" s="38">
        <f>SUM(G664)</f>
        <v>0</v>
      </c>
      <c r="H663" s="38">
        <f>SUM(H664)</f>
        <v>0</v>
      </c>
      <c r="I663" s="39" t="e">
        <f t="shared" si="34"/>
        <v>#DIV/0!</v>
      </c>
    </row>
    <row r="664" spans="1:9" s="106" customFormat="1" ht="19.5" customHeight="1" hidden="1">
      <c r="A664" s="34" t="s">
        <v>879</v>
      </c>
      <c r="B664" s="35"/>
      <c r="C664" s="53" t="s">
        <v>910</v>
      </c>
      <c r="D664" s="36" t="s">
        <v>688</v>
      </c>
      <c r="E664" s="36" t="s">
        <v>360</v>
      </c>
      <c r="F664" s="37" t="s">
        <v>880</v>
      </c>
      <c r="G664" s="38"/>
      <c r="H664" s="38"/>
      <c r="I664" s="39" t="e">
        <f t="shared" si="34"/>
        <v>#DIV/0!</v>
      </c>
    </row>
    <row r="665" spans="1:9" s="106" customFormat="1" ht="116.25" customHeight="1" hidden="1">
      <c r="A665" s="34" t="s">
        <v>361</v>
      </c>
      <c r="B665" s="35"/>
      <c r="C665" s="53" t="s">
        <v>910</v>
      </c>
      <c r="D665" s="36" t="s">
        <v>688</v>
      </c>
      <c r="E665" s="36" t="s">
        <v>362</v>
      </c>
      <c r="F665" s="37"/>
      <c r="G665" s="38">
        <f>SUM(G666)</f>
        <v>0</v>
      </c>
      <c r="H665" s="38">
        <f>SUM(H666)</f>
        <v>0</v>
      </c>
      <c r="I665" s="39" t="e">
        <f t="shared" si="34"/>
        <v>#DIV/0!</v>
      </c>
    </row>
    <row r="666" spans="1:9" s="106" customFormat="1" ht="19.5" customHeight="1" hidden="1">
      <c r="A666" s="34" t="s">
        <v>879</v>
      </c>
      <c r="B666" s="35"/>
      <c r="C666" s="53" t="s">
        <v>910</v>
      </c>
      <c r="D666" s="36" t="s">
        <v>688</v>
      </c>
      <c r="E666" s="36" t="s">
        <v>362</v>
      </c>
      <c r="F666" s="37" t="s">
        <v>880</v>
      </c>
      <c r="G666" s="38"/>
      <c r="H666" s="38"/>
      <c r="I666" s="39" t="e">
        <f t="shared" si="34"/>
        <v>#DIV/0!</v>
      </c>
    </row>
    <row r="667" spans="1:9" ht="18" customHeight="1">
      <c r="A667" s="145" t="s">
        <v>363</v>
      </c>
      <c r="B667" s="114"/>
      <c r="C667" s="73" t="s">
        <v>910</v>
      </c>
      <c r="D667" s="73" t="s">
        <v>688</v>
      </c>
      <c r="E667" s="73" t="s">
        <v>364</v>
      </c>
      <c r="F667" s="42"/>
      <c r="G667" s="38">
        <f>SUM(G668)</f>
        <v>27897</v>
      </c>
      <c r="H667" s="38">
        <f>SUM(H668)</f>
        <v>27954</v>
      </c>
      <c r="I667" s="39">
        <f t="shared" si="34"/>
        <v>100.20432304548876</v>
      </c>
    </row>
    <row r="668" spans="1:9" ht="16.5" customHeight="1">
      <c r="A668" s="34" t="s">
        <v>879</v>
      </c>
      <c r="B668" s="114"/>
      <c r="C668" s="73" t="s">
        <v>910</v>
      </c>
      <c r="D668" s="73" t="s">
        <v>688</v>
      </c>
      <c r="E668" s="73" t="s">
        <v>364</v>
      </c>
      <c r="F668" s="42" t="s">
        <v>880</v>
      </c>
      <c r="G668" s="38">
        <v>27897</v>
      </c>
      <c r="H668" s="38">
        <v>27954</v>
      </c>
      <c r="I668" s="39">
        <f t="shared" si="34"/>
        <v>100.20432304548876</v>
      </c>
    </row>
    <row r="669" spans="1:9" ht="42.75" customHeight="1">
      <c r="A669" s="34" t="s">
        <v>365</v>
      </c>
      <c r="B669" s="114"/>
      <c r="C669" s="73" t="s">
        <v>910</v>
      </c>
      <c r="D669" s="73" t="s">
        <v>688</v>
      </c>
      <c r="E669" s="73" t="s">
        <v>366</v>
      </c>
      <c r="F669" s="42"/>
      <c r="G669" s="38">
        <f>SUM(G670)</f>
        <v>6044.1</v>
      </c>
      <c r="H669" s="38">
        <f>SUM(H670)</f>
        <v>5887</v>
      </c>
      <c r="I669" s="39">
        <f t="shared" si="34"/>
        <v>97.400770999818</v>
      </c>
    </row>
    <row r="670" spans="1:9" ht="15.75" customHeight="1">
      <c r="A670" s="34" t="s">
        <v>879</v>
      </c>
      <c r="B670" s="114"/>
      <c r="C670" s="73" t="s">
        <v>910</v>
      </c>
      <c r="D670" s="73" t="s">
        <v>688</v>
      </c>
      <c r="E670" s="73" t="s">
        <v>366</v>
      </c>
      <c r="F670" s="42" t="s">
        <v>880</v>
      </c>
      <c r="G670" s="38">
        <v>6044.1</v>
      </c>
      <c r="H670" s="38">
        <v>5887</v>
      </c>
      <c r="I670" s="39">
        <f t="shared" si="34"/>
        <v>97.400770999818</v>
      </c>
    </row>
    <row r="671" spans="1:9" ht="27" customHeight="1">
      <c r="A671" s="54" t="s">
        <v>371</v>
      </c>
      <c r="B671" s="35"/>
      <c r="C671" s="53" t="s">
        <v>910</v>
      </c>
      <c r="D671" s="53" t="s">
        <v>688</v>
      </c>
      <c r="E671" s="53" t="s">
        <v>372</v>
      </c>
      <c r="F671" s="41"/>
      <c r="G671" s="38">
        <f>SUM(G672)</f>
        <v>89.4</v>
      </c>
      <c r="H671" s="38">
        <f>SUM(H672)</f>
        <v>14.1</v>
      </c>
      <c r="I671" s="39">
        <f t="shared" si="34"/>
        <v>15.771812080536913</v>
      </c>
    </row>
    <row r="672" spans="1:9" ht="17.25" customHeight="1">
      <c r="A672" s="34" t="s">
        <v>879</v>
      </c>
      <c r="B672" s="35"/>
      <c r="C672" s="53" t="s">
        <v>910</v>
      </c>
      <c r="D672" s="53" t="s">
        <v>688</v>
      </c>
      <c r="E672" s="53" t="s">
        <v>372</v>
      </c>
      <c r="F672" s="41" t="s">
        <v>880</v>
      </c>
      <c r="G672" s="38">
        <v>89.4</v>
      </c>
      <c r="H672" s="38">
        <v>14.1</v>
      </c>
      <c r="I672" s="39">
        <f t="shared" si="34"/>
        <v>15.771812080536913</v>
      </c>
    </row>
    <row r="673" spans="1:9" ht="28.5" customHeight="1">
      <c r="A673" s="103" t="s">
        <v>373</v>
      </c>
      <c r="B673" s="35"/>
      <c r="C673" s="53" t="s">
        <v>910</v>
      </c>
      <c r="D673" s="53" t="s">
        <v>688</v>
      </c>
      <c r="E673" s="53" t="s">
        <v>374</v>
      </c>
      <c r="F673" s="41"/>
      <c r="G673" s="38">
        <f>SUM(G674)</f>
        <v>128347.5</v>
      </c>
      <c r="H673" s="38">
        <f>SUM(H674)</f>
        <v>128347.5</v>
      </c>
      <c r="I673" s="39">
        <f t="shared" si="34"/>
        <v>100</v>
      </c>
    </row>
    <row r="674" spans="1:9" ht="19.5" customHeight="1">
      <c r="A674" s="34" t="s">
        <v>879</v>
      </c>
      <c r="B674" s="52"/>
      <c r="C674" s="53" t="s">
        <v>910</v>
      </c>
      <c r="D674" s="53" t="s">
        <v>688</v>
      </c>
      <c r="E674" s="53" t="s">
        <v>374</v>
      </c>
      <c r="F674" s="41" t="s">
        <v>880</v>
      </c>
      <c r="G674" s="38">
        <v>128347.5</v>
      </c>
      <c r="H674" s="38">
        <v>128347.5</v>
      </c>
      <c r="I674" s="39">
        <f t="shared" si="34"/>
        <v>100</v>
      </c>
    </row>
    <row r="675" spans="1:9" ht="45.75" customHeight="1">
      <c r="A675" s="40" t="s">
        <v>375</v>
      </c>
      <c r="B675" s="35"/>
      <c r="C675" s="53" t="s">
        <v>910</v>
      </c>
      <c r="D675" s="53" t="s">
        <v>688</v>
      </c>
      <c r="E675" s="53" t="s">
        <v>376</v>
      </c>
      <c r="F675" s="41"/>
      <c r="G675" s="38">
        <f>SUM(G676)</f>
        <v>77445.7</v>
      </c>
      <c r="H675" s="38">
        <f>SUM(H676)</f>
        <v>71628</v>
      </c>
      <c r="I675" s="39">
        <f t="shared" si="34"/>
        <v>92.4880270951131</v>
      </c>
    </row>
    <row r="676" spans="1:9" ht="18" customHeight="1">
      <c r="A676" s="34" t="s">
        <v>879</v>
      </c>
      <c r="B676" s="35"/>
      <c r="C676" s="53" t="s">
        <v>910</v>
      </c>
      <c r="D676" s="53" t="s">
        <v>688</v>
      </c>
      <c r="E676" s="53" t="s">
        <v>376</v>
      </c>
      <c r="F676" s="41" t="s">
        <v>880</v>
      </c>
      <c r="G676" s="38">
        <v>77445.7</v>
      </c>
      <c r="H676" s="38">
        <v>71628</v>
      </c>
      <c r="I676" s="39">
        <f t="shared" si="34"/>
        <v>92.4880270951131</v>
      </c>
    </row>
    <row r="677" spans="1:9" ht="28.5" customHeight="1">
      <c r="A677" s="34" t="s">
        <v>377</v>
      </c>
      <c r="B677" s="35"/>
      <c r="C677" s="53" t="s">
        <v>910</v>
      </c>
      <c r="D677" s="53" t="s">
        <v>688</v>
      </c>
      <c r="E677" s="53" t="s">
        <v>378</v>
      </c>
      <c r="F677" s="41"/>
      <c r="G677" s="38">
        <f>SUM(G678+G682+G684+G686+G688+G696+G694+G692+G700)</f>
        <v>253864.20000000004</v>
      </c>
      <c r="H677" s="38">
        <f>SUM(H678+H682+H684+H686+H688+H696+H694+H692+H700)</f>
        <v>252689.19999999998</v>
      </c>
      <c r="I677" s="39">
        <f t="shared" si="34"/>
        <v>99.53715411625583</v>
      </c>
    </row>
    <row r="678" spans="1:9" ht="29.25" customHeight="1">
      <c r="A678" s="54" t="s">
        <v>379</v>
      </c>
      <c r="B678" s="35"/>
      <c r="C678" s="53" t="s">
        <v>910</v>
      </c>
      <c r="D678" s="53" t="s">
        <v>688</v>
      </c>
      <c r="E678" s="53" t="s">
        <v>380</v>
      </c>
      <c r="F678" s="41"/>
      <c r="G678" s="38">
        <f>SUM(G679)</f>
        <v>50153.1</v>
      </c>
      <c r="H678" s="38">
        <f>SUM(H679)</f>
        <v>49950.7</v>
      </c>
      <c r="I678" s="39">
        <f t="shared" si="34"/>
        <v>99.59643571384422</v>
      </c>
    </row>
    <row r="679" spans="1:9" ht="18" customHeight="1">
      <c r="A679" s="34" t="s">
        <v>879</v>
      </c>
      <c r="B679" s="35"/>
      <c r="C679" s="53" t="s">
        <v>910</v>
      </c>
      <c r="D679" s="53" t="s">
        <v>688</v>
      </c>
      <c r="E679" s="53" t="s">
        <v>380</v>
      </c>
      <c r="F679" s="41" t="s">
        <v>880</v>
      </c>
      <c r="G679" s="38">
        <v>50153.1</v>
      </c>
      <c r="H679" s="38">
        <v>49950.7</v>
      </c>
      <c r="I679" s="39">
        <f t="shared" si="34"/>
        <v>99.59643571384422</v>
      </c>
    </row>
    <row r="680" spans="1:9" ht="71.25" hidden="1">
      <c r="A680" s="34" t="s">
        <v>381</v>
      </c>
      <c r="B680" s="43"/>
      <c r="C680" s="53" t="s">
        <v>910</v>
      </c>
      <c r="D680" s="36" t="s">
        <v>688</v>
      </c>
      <c r="E680" s="53" t="s">
        <v>382</v>
      </c>
      <c r="F680" s="37"/>
      <c r="G680" s="38"/>
      <c r="H680" s="38"/>
      <c r="I680" s="39" t="e">
        <f t="shared" si="34"/>
        <v>#DIV/0!</v>
      </c>
    </row>
    <row r="681" spans="1:9" ht="15" hidden="1">
      <c r="A681" s="34" t="s">
        <v>879</v>
      </c>
      <c r="B681" s="43"/>
      <c r="C681" s="53" t="s">
        <v>910</v>
      </c>
      <c r="D681" s="36" t="s">
        <v>688</v>
      </c>
      <c r="E681" s="53" t="s">
        <v>382</v>
      </c>
      <c r="F681" s="37" t="s">
        <v>880</v>
      </c>
      <c r="G681" s="38"/>
      <c r="H681" s="38"/>
      <c r="I681" s="39" t="e">
        <f t="shared" si="34"/>
        <v>#DIV/0!</v>
      </c>
    </row>
    <row r="682" spans="1:9" ht="99.75">
      <c r="A682" s="146" t="s">
        <v>409</v>
      </c>
      <c r="B682" s="43"/>
      <c r="C682" s="53" t="s">
        <v>910</v>
      </c>
      <c r="D682" s="36" t="s">
        <v>688</v>
      </c>
      <c r="E682" s="53" t="s">
        <v>384</v>
      </c>
      <c r="F682" s="37"/>
      <c r="G682" s="38">
        <f>SUM(G683)</f>
        <v>39535.5</v>
      </c>
      <c r="H682" s="38">
        <f>SUM(H683)</f>
        <v>39219.6</v>
      </c>
      <c r="I682" s="39">
        <f t="shared" si="34"/>
        <v>99.20097127897712</v>
      </c>
    </row>
    <row r="683" spans="1:9" ht="15">
      <c r="A683" s="34" t="s">
        <v>879</v>
      </c>
      <c r="B683" s="43"/>
      <c r="C683" s="53" t="s">
        <v>910</v>
      </c>
      <c r="D683" s="36" t="s">
        <v>688</v>
      </c>
      <c r="E683" s="53" t="s">
        <v>384</v>
      </c>
      <c r="F683" s="37" t="s">
        <v>880</v>
      </c>
      <c r="G683" s="38">
        <v>39535.5</v>
      </c>
      <c r="H683" s="38">
        <v>39219.6</v>
      </c>
      <c r="I683" s="39">
        <f t="shared" si="34"/>
        <v>99.20097127897712</v>
      </c>
    </row>
    <row r="684" spans="1:9" ht="99.75">
      <c r="A684" s="146" t="s">
        <v>410</v>
      </c>
      <c r="B684" s="43"/>
      <c r="C684" s="53" t="s">
        <v>910</v>
      </c>
      <c r="D684" s="36" t="s">
        <v>688</v>
      </c>
      <c r="E684" s="53" t="s">
        <v>386</v>
      </c>
      <c r="F684" s="37"/>
      <c r="G684" s="38">
        <f>SUM(G685)</f>
        <v>42198.8</v>
      </c>
      <c r="H684" s="38">
        <f>SUM(H685)</f>
        <v>42073.4</v>
      </c>
      <c r="I684" s="39">
        <f t="shared" si="34"/>
        <v>99.70283515171047</v>
      </c>
    </row>
    <row r="685" spans="1:9" ht="15">
      <c r="A685" s="34" t="s">
        <v>879</v>
      </c>
      <c r="B685" s="43"/>
      <c r="C685" s="53" t="s">
        <v>910</v>
      </c>
      <c r="D685" s="36" t="s">
        <v>688</v>
      </c>
      <c r="E685" s="53" t="s">
        <v>386</v>
      </c>
      <c r="F685" s="37" t="s">
        <v>880</v>
      </c>
      <c r="G685" s="38">
        <f>109336-67137.2</f>
        <v>42198.8</v>
      </c>
      <c r="H685" s="38">
        <v>42073.4</v>
      </c>
      <c r="I685" s="39">
        <f t="shared" si="34"/>
        <v>99.70283515171047</v>
      </c>
    </row>
    <row r="686" spans="1:9" ht="85.5" hidden="1">
      <c r="A686" s="34" t="s">
        <v>387</v>
      </c>
      <c r="B686" s="43"/>
      <c r="C686" s="53" t="s">
        <v>910</v>
      </c>
      <c r="D686" s="36" t="s">
        <v>688</v>
      </c>
      <c r="E686" s="53" t="s">
        <v>384</v>
      </c>
      <c r="F686" s="37"/>
      <c r="G686" s="38">
        <f>SUM(G687)</f>
        <v>0</v>
      </c>
      <c r="H686" s="38">
        <f>SUM(H687)</f>
        <v>0</v>
      </c>
      <c r="I686" s="39" t="e">
        <f t="shared" si="34"/>
        <v>#DIV/0!</v>
      </c>
    </row>
    <row r="687" spans="1:9" ht="15" hidden="1">
      <c r="A687" s="34" t="s">
        <v>879</v>
      </c>
      <c r="B687" s="43"/>
      <c r="C687" s="53" t="s">
        <v>910</v>
      </c>
      <c r="D687" s="36" t="s">
        <v>688</v>
      </c>
      <c r="E687" s="53" t="s">
        <v>384</v>
      </c>
      <c r="F687" s="37" t="s">
        <v>880</v>
      </c>
      <c r="G687" s="38"/>
      <c r="H687" s="38"/>
      <c r="I687" s="39" t="e">
        <f t="shared" si="34"/>
        <v>#DIV/0!</v>
      </c>
    </row>
    <row r="688" spans="1:9" ht="85.5" hidden="1">
      <c r="A688" s="34" t="s">
        <v>388</v>
      </c>
      <c r="B688" s="43"/>
      <c r="C688" s="53" t="s">
        <v>910</v>
      </c>
      <c r="D688" s="36" t="s">
        <v>688</v>
      </c>
      <c r="E688" s="53" t="s">
        <v>386</v>
      </c>
      <c r="F688" s="37"/>
      <c r="G688" s="38">
        <f>SUM(G689)</f>
        <v>0</v>
      </c>
      <c r="H688" s="38">
        <f>SUM(H689)</f>
        <v>0</v>
      </c>
      <c r="I688" s="39" t="e">
        <f t="shared" si="34"/>
        <v>#DIV/0!</v>
      </c>
    </row>
    <row r="689" spans="1:9" ht="15" hidden="1">
      <c r="A689" s="34" t="s">
        <v>879</v>
      </c>
      <c r="B689" s="43"/>
      <c r="C689" s="53" t="s">
        <v>910</v>
      </c>
      <c r="D689" s="36" t="s">
        <v>688</v>
      </c>
      <c r="E689" s="53" t="s">
        <v>386</v>
      </c>
      <c r="F689" s="37" t="s">
        <v>880</v>
      </c>
      <c r="G689" s="38"/>
      <c r="H689" s="38"/>
      <c r="I689" s="39" t="e">
        <f t="shared" si="34"/>
        <v>#DIV/0!</v>
      </c>
    </row>
    <row r="690" spans="1:9" ht="71.25" hidden="1">
      <c r="A690" s="54" t="s">
        <v>389</v>
      </c>
      <c r="B690" s="35"/>
      <c r="C690" s="53" t="s">
        <v>910</v>
      </c>
      <c r="D690" s="53" t="s">
        <v>688</v>
      </c>
      <c r="E690" s="53" t="s">
        <v>390</v>
      </c>
      <c r="F690" s="41"/>
      <c r="G690" s="38">
        <f>SUM(G691)</f>
        <v>8082.5</v>
      </c>
      <c r="H690" s="38">
        <f>SUM(H691)</f>
        <v>8082.5</v>
      </c>
      <c r="I690" s="39">
        <f t="shared" si="34"/>
        <v>100</v>
      </c>
    </row>
    <row r="691" spans="1:9" ht="15" hidden="1">
      <c r="A691" s="34" t="s">
        <v>879</v>
      </c>
      <c r="B691" s="35"/>
      <c r="C691" s="53" t="s">
        <v>910</v>
      </c>
      <c r="D691" s="53" t="s">
        <v>688</v>
      </c>
      <c r="E691" s="53" t="s">
        <v>390</v>
      </c>
      <c r="F691" s="41" t="s">
        <v>880</v>
      </c>
      <c r="G691" s="38">
        <v>8082.5</v>
      </c>
      <c r="H691" s="38">
        <v>8082.5</v>
      </c>
      <c r="I691" s="39">
        <f t="shared" si="34"/>
        <v>100</v>
      </c>
    </row>
    <row r="692" spans="1:9" ht="99.75">
      <c r="A692" s="34" t="s">
        <v>391</v>
      </c>
      <c r="B692" s="35"/>
      <c r="C692" s="53" t="s">
        <v>910</v>
      </c>
      <c r="D692" s="53" t="s">
        <v>688</v>
      </c>
      <c r="E692" s="53" t="s">
        <v>392</v>
      </c>
      <c r="F692" s="41"/>
      <c r="G692" s="38">
        <f>SUM(G693)</f>
        <v>110177.7</v>
      </c>
      <c r="H692" s="38">
        <f>SUM(H693)</f>
        <v>110177.7</v>
      </c>
      <c r="I692" s="39">
        <f t="shared" si="34"/>
        <v>100</v>
      </c>
    </row>
    <row r="693" spans="1:9" ht="15">
      <c r="A693" s="34" t="s">
        <v>879</v>
      </c>
      <c r="B693" s="35"/>
      <c r="C693" s="53" t="s">
        <v>910</v>
      </c>
      <c r="D693" s="53" t="s">
        <v>688</v>
      </c>
      <c r="E693" s="53" t="s">
        <v>392</v>
      </c>
      <c r="F693" s="41" t="s">
        <v>880</v>
      </c>
      <c r="G693" s="38">
        <v>110177.7</v>
      </c>
      <c r="H693" s="38">
        <v>110177.7</v>
      </c>
      <c r="I693" s="39">
        <f t="shared" si="34"/>
        <v>100</v>
      </c>
    </row>
    <row r="694" spans="1:9" ht="90.75" customHeight="1">
      <c r="A694" s="54" t="s">
        <v>411</v>
      </c>
      <c r="B694" s="35"/>
      <c r="C694" s="53" t="s">
        <v>910</v>
      </c>
      <c r="D694" s="53" t="s">
        <v>688</v>
      </c>
      <c r="E694" s="53" t="s">
        <v>394</v>
      </c>
      <c r="F694" s="41"/>
      <c r="G694" s="38">
        <f>SUM(G695)</f>
        <v>2332.6</v>
      </c>
      <c r="H694" s="38">
        <f>SUM(H695)</f>
        <v>1814</v>
      </c>
      <c r="I694" s="39">
        <f t="shared" si="34"/>
        <v>77.76729829374946</v>
      </c>
    </row>
    <row r="695" spans="1:9" ht="15">
      <c r="A695" s="34" t="s">
        <v>879</v>
      </c>
      <c r="B695" s="35"/>
      <c r="C695" s="53" t="s">
        <v>910</v>
      </c>
      <c r="D695" s="53" t="s">
        <v>688</v>
      </c>
      <c r="E695" s="53" t="s">
        <v>394</v>
      </c>
      <c r="F695" s="41" t="s">
        <v>880</v>
      </c>
      <c r="G695" s="38">
        <v>2332.6</v>
      </c>
      <c r="H695" s="38">
        <v>1814</v>
      </c>
      <c r="I695" s="39">
        <f t="shared" si="34"/>
        <v>77.76729829374946</v>
      </c>
    </row>
    <row r="696" spans="1:9" ht="128.25">
      <c r="A696" s="54" t="s">
        <v>412</v>
      </c>
      <c r="B696" s="35"/>
      <c r="C696" s="53" t="s">
        <v>910</v>
      </c>
      <c r="D696" s="53" t="s">
        <v>688</v>
      </c>
      <c r="E696" s="53" t="s">
        <v>395</v>
      </c>
      <c r="F696" s="41"/>
      <c r="G696" s="38">
        <f>SUM(G697)</f>
        <v>1503.5999999999995</v>
      </c>
      <c r="H696" s="38">
        <f>SUM(H697)</f>
        <v>1490.9</v>
      </c>
      <c r="I696" s="39">
        <f t="shared" si="34"/>
        <v>99.15536046820968</v>
      </c>
    </row>
    <row r="697" spans="1:9" ht="15">
      <c r="A697" s="34" t="s">
        <v>879</v>
      </c>
      <c r="B697" s="35"/>
      <c r="C697" s="53" t="s">
        <v>910</v>
      </c>
      <c r="D697" s="53" t="s">
        <v>688</v>
      </c>
      <c r="E697" s="53" t="s">
        <v>395</v>
      </c>
      <c r="F697" s="41" t="s">
        <v>880</v>
      </c>
      <c r="G697" s="38">
        <f>6058.9-4555.3</f>
        <v>1503.5999999999995</v>
      </c>
      <c r="H697" s="38">
        <v>1490.9</v>
      </c>
      <c r="I697" s="39">
        <f t="shared" si="34"/>
        <v>99.15536046820968</v>
      </c>
    </row>
    <row r="698" spans="1:9" ht="45.75" customHeight="1" hidden="1">
      <c r="A698" s="51" t="s">
        <v>365</v>
      </c>
      <c r="B698" s="52"/>
      <c r="C698" s="53" t="s">
        <v>910</v>
      </c>
      <c r="D698" s="53" t="s">
        <v>688</v>
      </c>
      <c r="E698" s="53" t="s">
        <v>396</v>
      </c>
      <c r="F698" s="41"/>
      <c r="G698" s="38">
        <f>SUM(G699)</f>
        <v>0</v>
      </c>
      <c r="H698" s="38">
        <f>SUM(H699)</f>
        <v>0</v>
      </c>
      <c r="I698" s="39" t="e">
        <f t="shared" si="34"/>
        <v>#DIV/0!</v>
      </c>
    </row>
    <row r="699" spans="1:9" ht="18" customHeight="1" hidden="1">
      <c r="A699" s="51" t="s">
        <v>879</v>
      </c>
      <c r="B699" s="52"/>
      <c r="C699" s="53" t="s">
        <v>910</v>
      </c>
      <c r="D699" s="53" t="s">
        <v>688</v>
      </c>
      <c r="E699" s="53" t="s">
        <v>396</v>
      </c>
      <c r="F699" s="41" t="s">
        <v>880</v>
      </c>
      <c r="G699" s="38"/>
      <c r="H699" s="38"/>
      <c r="I699" s="39" t="e">
        <f t="shared" si="34"/>
        <v>#DIV/0!</v>
      </c>
    </row>
    <row r="700" spans="1:9" ht="130.5" customHeight="1">
      <c r="A700" s="51" t="s">
        <v>397</v>
      </c>
      <c r="B700" s="52"/>
      <c r="C700" s="53" t="s">
        <v>910</v>
      </c>
      <c r="D700" s="53" t="s">
        <v>688</v>
      </c>
      <c r="E700" s="53" t="s">
        <v>398</v>
      </c>
      <c r="F700" s="41"/>
      <c r="G700" s="38">
        <f>SUM(G701)</f>
        <v>7962.9</v>
      </c>
      <c r="H700" s="38">
        <f>SUM(H701)</f>
        <v>7962.9</v>
      </c>
      <c r="I700" s="39">
        <f t="shared" si="34"/>
        <v>100</v>
      </c>
    </row>
    <row r="701" spans="1:9" ht="18" customHeight="1">
      <c r="A701" s="34" t="s">
        <v>879</v>
      </c>
      <c r="B701" s="52"/>
      <c r="C701" s="53" t="s">
        <v>910</v>
      </c>
      <c r="D701" s="53" t="s">
        <v>688</v>
      </c>
      <c r="E701" s="53" t="s">
        <v>398</v>
      </c>
      <c r="F701" s="41" t="s">
        <v>880</v>
      </c>
      <c r="G701" s="38">
        <v>7962.9</v>
      </c>
      <c r="H701" s="38">
        <v>7962.9</v>
      </c>
      <c r="I701" s="39">
        <f t="shared" si="34"/>
        <v>100</v>
      </c>
    </row>
    <row r="702" spans="1:9" ht="31.5" customHeight="1">
      <c r="A702" s="34" t="s">
        <v>401</v>
      </c>
      <c r="B702" s="35"/>
      <c r="C702" s="53" t="s">
        <v>910</v>
      </c>
      <c r="D702" s="36" t="s">
        <v>688</v>
      </c>
      <c r="E702" s="36" t="s">
        <v>402</v>
      </c>
      <c r="F702" s="41"/>
      <c r="G702" s="38">
        <f>SUM(G703)</f>
        <v>1544.3</v>
      </c>
      <c r="H702" s="38">
        <f>SUM(H703)</f>
        <v>1438.6</v>
      </c>
      <c r="I702" s="39">
        <f t="shared" si="34"/>
        <v>93.15547497247944</v>
      </c>
    </row>
    <row r="703" spans="1:9" ht="15" customHeight="1">
      <c r="A703" s="51" t="s">
        <v>403</v>
      </c>
      <c r="B703" s="35"/>
      <c r="C703" s="53" t="s">
        <v>910</v>
      </c>
      <c r="D703" s="36" t="s">
        <v>688</v>
      </c>
      <c r="E703" s="36" t="s">
        <v>404</v>
      </c>
      <c r="F703" s="41"/>
      <c r="G703" s="38">
        <f>SUM(G704:G704)</f>
        <v>1544.3</v>
      </c>
      <c r="H703" s="38">
        <f>SUM(H704:H704)</f>
        <v>1438.6</v>
      </c>
      <c r="I703" s="39">
        <f t="shared" si="34"/>
        <v>93.15547497247944</v>
      </c>
    </row>
    <row r="704" spans="1:9" ht="15" customHeight="1">
      <c r="A704" s="34" t="s">
        <v>879</v>
      </c>
      <c r="B704" s="35"/>
      <c r="C704" s="53" t="s">
        <v>910</v>
      </c>
      <c r="D704" s="36" t="s">
        <v>688</v>
      </c>
      <c r="E704" s="36" t="s">
        <v>404</v>
      </c>
      <c r="F704" s="41" t="s">
        <v>880</v>
      </c>
      <c r="G704" s="38">
        <v>1544.3</v>
      </c>
      <c r="H704" s="38">
        <v>1438.6</v>
      </c>
      <c r="I704" s="39">
        <f t="shared" si="34"/>
        <v>93.15547497247944</v>
      </c>
    </row>
    <row r="705" spans="1:9" ht="15">
      <c r="A705" s="74" t="s">
        <v>742</v>
      </c>
      <c r="B705" s="35"/>
      <c r="C705" s="53" t="s">
        <v>910</v>
      </c>
      <c r="D705" s="53" t="s">
        <v>688</v>
      </c>
      <c r="E705" s="53" t="s">
        <v>743</v>
      </c>
      <c r="F705" s="41"/>
      <c r="G705" s="38">
        <f>SUM(G706)</f>
        <v>4460</v>
      </c>
      <c r="H705" s="38">
        <f>SUM(H706)</f>
        <v>4417.1</v>
      </c>
      <c r="I705" s="39">
        <f t="shared" si="34"/>
        <v>99.03811659192826</v>
      </c>
    </row>
    <row r="706" spans="1:9" ht="57">
      <c r="A706" s="74" t="s">
        <v>1350</v>
      </c>
      <c r="B706" s="35"/>
      <c r="C706" s="53" t="s">
        <v>910</v>
      </c>
      <c r="D706" s="53" t="s">
        <v>688</v>
      </c>
      <c r="E706" s="53" t="s">
        <v>1351</v>
      </c>
      <c r="F706" s="41"/>
      <c r="G706" s="38">
        <f>SUM(G707)</f>
        <v>4460</v>
      </c>
      <c r="H706" s="38">
        <f>SUM(H707)</f>
        <v>4417.1</v>
      </c>
      <c r="I706" s="39">
        <f t="shared" si="34"/>
        <v>99.03811659192826</v>
      </c>
    </row>
    <row r="707" spans="1:9" ht="18" customHeight="1">
      <c r="A707" s="40" t="s">
        <v>403</v>
      </c>
      <c r="B707" s="72"/>
      <c r="C707" s="53" t="s">
        <v>910</v>
      </c>
      <c r="D707" s="53" t="s">
        <v>688</v>
      </c>
      <c r="E707" s="53" t="s">
        <v>1351</v>
      </c>
      <c r="F707" s="42" t="s">
        <v>1352</v>
      </c>
      <c r="G707" s="38">
        <v>4460</v>
      </c>
      <c r="H707" s="38">
        <v>4417.1</v>
      </c>
      <c r="I707" s="39">
        <f t="shared" si="34"/>
        <v>99.03811659192826</v>
      </c>
    </row>
    <row r="708" spans="1:9" ht="15">
      <c r="A708" s="54" t="s">
        <v>1356</v>
      </c>
      <c r="B708" s="35"/>
      <c r="C708" s="48" t="s">
        <v>910</v>
      </c>
      <c r="D708" s="81" t="s">
        <v>712</v>
      </c>
      <c r="E708" s="81"/>
      <c r="F708" s="68"/>
      <c r="G708" s="71">
        <f>SUM(G709+G712)</f>
        <v>24215.100000000002</v>
      </c>
      <c r="H708" s="71">
        <f>SUM(H709+H712)</f>
        <v>22780.1</v>
      </c>
      <c r="I708" s="39">
        <f t="shared" si="34"/>
        <v>94.0739455959298</v>
      </c>
    </row>
    <row r="709" spans="1:9" ht="15" hidden="1">
      <c r="A709" s="54" t="s">
        <v>1326</v>
      </c>
      <c r="B709" s="35"/>
      <c r="C709" s="48" t="s">
        <v>910</v>
      </c>
      <c r="D709" s="81" t="s">
        <v>712</v>
      </c>
      <c r="E709" s="81" t="s">
        <v>1327</v>
      </c>
      <c r="F709" s="68"/>
      <c r="G709" s="38">
        <f>SUM(G710)</f>
        <v>0</v>
      </c>
      <c r="H709" s="38">
        <f>SUM(H710)</f>
        <v>0</v>
      </c>
      <c r="I709" s="39" t="e">
        <f t="shared" si="34"/>
        <v>#DIV/0!</v>
      </c>
    </row>
    <row r="710" spans="1:9" ht="18" customHeight="1" hidden="1">
      <c r="A710" s="74" t="s">
        <v>1357</v>
      </c>
      <c r="B710" s="35"/>
      <c r="C710" s="48" t="s">
        <v>910</v>
      </c>
      <c r="D710" s="81" t="s">
        <v>712</v>
      </c>
      <c r="E710" s="81" t="s">
        <v>1358</v>
      </c>
      <c r="F710" s="68"/>
      <c r="G710" s="38">
        <f>SUM(G711)</f>
        <v>0</v>
      </c>
      <c r="H710" s="38">
        <f>SUM(H711)</f>
        <v>0</v>
      </c>
      <c r="I710" s="39" t="e">
        <f t="shared" si="34"/>
        <v>#DIV/0!</v>
      </c>
    </row>
    <row r="711" spans="1:9" ht="18" customHeight="1" hidden="1">
      <c r="A711" s="74" t="s">
        <v>879</v>
      </c>
      <c r="B711" s="35"/>
      <c r="C711" s="48" t="s">
        <v>910</v>
      </c>
      <c r="D711" s="81" t="s">
        <v>712</v>
      </c>
      <c r="E711" s="81" t="s">
        <v>1358</v>
      </c>
      <c r="F711" s="41" t="s">
        <v>880</v>
      </c>
      <c r="G711" s="38"/>
      <c r="H711" s="38"/>
      <c r="I711" s="39" t="e">
        <f t="shared" si="34"/>
        <v>#DIV/0!</v>
      </c>
    </row>
    <row r="712" spans="1:9" ht="28.5">
      <c r="A712" s="74" t="s">
        <v>1359</v>
      </c>
      <c r="B712" s="35"/>
      <c r="C712" s="48" t="s">
        <v>910</v>
      </c>
      <c r="D712" s="81" t="s">
        <v>712</v>
      </c>
      <c r="E712" s="81" t="s">
        <v>1156</v>
      </c>
      <c r="F712" s="41"/>
      <c r="G712" s="38">
        <f>SUM(G713)</f>
        <v>24215.100000000002</v>
      </c>
      <c r="H712" s="38">
        <f>SUM(H713)</f>
        <v>22780.1</v>
      </c>
      <c r="I712" s="39">
        <f t="shared" si="34"/>
        <v>94.0739455959298</v>
      </c>
    </row>
    <row r="713" spans="1:9" ht="71.25">
      <c r="A713" s="51" t="s">
        <v>1366</v>
      </c>
      <c r="B713" s="35"/>
      <c r="C713" s="48" t="s">
        <v>910</v>
      </c>
      <c r="D713" s="81" t="s">
        <v>712</v>
      </c>
      <c r="E713" s="81" t="s">
        <v>1365</v>
      </c>
      <c r="F713" s="68"/>
      <c r="G713" s="38">
        <f>SUM(G718)+G719+G722+G714+G716</f>
        <v>24215.100000000002</v>
      </c>
      <c r="H713" s="38">
        <f>SUM(H718)+H719+H722+H714+H716</f>
        <v>22780.1</v>
      </c>
      <c r="I713" s="39">
        <f t="shared" si="34"/>
        <v>94.0739455959298</v>
      </c>
    </row>
    <row r="714" spans="1:9" ht="28.5">
      <c r="A714" s="51" t="s">
        <v>1367</v>
      </c>
      <c r="B714" s="35"/>
      <c r="C714" s="48" t="s">
        <v>910</v>
      </c>
      <c r="D714" s="48" t="s">
        <v>712</v>
      </c>
      <c r="E714" s="81" t="s">
        <v>1368</v>
      </c>
      <c r="F714" s="133"/>
      <c r="G714" s="38">
        <f>SUM(G715)</f>
        <v>518</v>
      </c>
      <c r="H714" s="38">
        <f>SUM(H715)</f>
        <v>307.2</v>
      </c>
      <c r="I714" s="39">
        <f t="shared" si="34"/>
        <v>59.3050193050193</v>
      </c>
    </row>
    <row r="715" spans="1:9" ht="28.5">
      <c r="A715" s="51" t="s">
        <v>1369</v>
      </c>
      <c r="B715" s="35"/>
      <c r="C715" s="48" t="s">
        <v>910</v>
      </c>
      <c r="D715" s="48" t="s">
        <v>712</v>
      </c>
      <c r="E715" s="81" t="s">
        <v>1368</v>
      </c>
      <c r="F715" s="133" t="s">
        <v>1370</v>
      </c>
      <c r="G715" s="38">
        <v>518</v>
      </c>
      <c r="H715" s="38">
        <v>307.2</v>
      </c>
      <c r="I715" s="39">
        <f t="shared" si="34"/>
        <v>59.3050193050193</v>
      </c>
    </row>
    <row r="716" spans="1:9" ht="15">
      <c r="A716" s="51" t="s">
        <v>1371</v>
      </c>
      <c r="B716" s="35"/>
      <c r="C716" s="48" t="s">
        <v>910</v>
      </c>
      <c r="D716" s="48" t="s">
        <v>712</v>
      </c>
      <c r="E716" s="81" t="s">
        <v>1372</v>
      </c>
      <c r="F716" s="133"/>
      <c r="G716" s="38">
        <f>SUM(G717)</f>
        <v>692.6999999999999</v>
      </c>
      <c r="H716" s="38">
        <f>SUM(H717)</f>
        <v>330.6</v>
      </c>
      <c r="I716" s="39">
        <f t="shared" si="34"/>
        <v>47.72628843655263</v>
      </c>
    </row>
    <row r="717" spans="1:9" ht="27.75" customHeight="1">
      <c r="A717" s="51" t="s">
        <v>1369</v>
      </c>
      <c r="B717" s="35"/>
      <c r="C717" s="48" t="s">
        <v>910</v>
      </c>
      <c r="D717" s="48" t="s">
        <v>712</v>
      </c>
      <c r="E717" s="81" t="s">
        <v>1372</v>
      </c>
      <c r="F717" s="133" t="s">
        <v>1370</v>
      </c>
      <c r="G717" s="38">
        <f>670.4+22.3</f>
        <v>692.6999999999999</v>
      </c>
      <c r="H717" s="38">
        <v>330.6</v>
      </c>
      <c r="I717" s="39">
        <f aca="true" t="shared" si="35" ref="I717:I780">SUM(H717/G717*100)</f>
        <v>47.72628843655263</v>
      </c>
    </row>
    <row r="718" spans="1:9" ht="28.5" hidden="1">
      <c r="A718" s="51" t="s">
        <v>1373</v>
      </c>
      <c r="B718" s="35"/>
      <c r="C718" s="48" t="s">
        <v>910</v>
      </c>
      <c r="D718" s="48" t="s">
        <v>712</v>
      </c>
      <c r="E718" s="81" t="s">
        <v>1374</v>
      </c>
      <c r="F718" s="133"/>
      <c r="G718" s="38">
        <f>SUM(G721)</f>
        <v>0</v>
      </c>
      <c r="H718" s="38">
        <f>SUM(H721)</f>
        <v>0</v>
      </c>
      <c r="I718" s="39" t="e">
        <f t="shared" si="35"/>
        <v>#DIV/0!</v>
      </c>
    </row>
    <row r="719" spans="1:9" ht="0.75" customHeight="1" hidden="1">
      <c r="A719" s="51" t="s">
        <v>1373</v>
      </c>
      <c r="B719" s="35"/>
      <c r="C719" s="48" t="s">
        <v>910</v>
      </c>
      <c r="D719" s="48" t="s">
        <v>712</v>
      </c>
      <c r="E719" s="81" t="s">
        <v>1374</v>
      </c>
      <c r="F719" s="133"/>
      <c r="G719" s="38">
        <f>SUM(G720)</f>
        <v>0</v>
      </c>
      <c r="H719" s="38">
        <f>SUM(H720)</f>
        <v>0</v>
      </c>
      <c r="I719" s="39" t="e">
        <f t="shared" si="35"/>
        <v>#DIV/0!</v>
      </c>
    </row>
    <row r="720" spans="1:9" ht="15" hidden="1">
      <c r="A720" s="51" t="s">
        <v>879</v>
      </c>
      <c r="B720" s="35"/>
      <c r="C720" s="48" t="s">
        <v>910</v>
      </c>
      <c r="D720" s="48" t="s">
        <v>712</v>
      </c>
      <c r="E720" s="81" t="s">
        <v>1374</v>
      </c>
      <c r="F720" s="133" t="s">
        <v>880</v>
      </c>
      <c r="G720" s="38"/>
      <c r="H720" s="38"/>
      <c r="I720" s="39" t="e">
        <f t="shared" si="35"/>
        <v>#DIV/0!</v>
      </c>
    </row>
    <row r="721" spans="1:9" ht="28.5" hidden="1">
      <c r="A721" s="51" t="s">
        <v>1369</v>
      </c>
      <c r="B721" s="35"/>
      <c r="C721" s="48" t="s">
        <v>910</v>
      </c>
      <c r="D721" s="48" t="s">
        <v>712</v>
      </c>
      <c r="E721" s="81" t="s">
        <v>1374</v>
      </c>
      <c r="F721" s="133" t="s">
        <v>1370</v>
      </c>
      <c r="G721" s="38"/>
      <c r="H721" s="38"/>
      <c r="I721" s="39" t="e">
        <f t="shared" si="35"/>
        <v>#DIV/0!</v>
      </c>
    </row>
    <row r="722" spans="1:9" ht="28.5">
      <c r="A722" s="51" t="s">
        <v>1369</v>
      </c>
      <c r="B722" s="35"/>
      <c r="C722" s="48" t="s">
        <v>910</v>
      </c>
      <c r="D722" s="48" t="s">
        <v>712</v>
      </c>
      <c r="E722" s="81" t="s">
        <v>1375</v>
      </c>
      <c r="F722" s="133"/>
      <c r="G722" s="38">
        <f>SUM(G723)</f>
        <v>23004.4</v>
      </c>
      <c r="H722" s="38">
        <f>SUM(H723)</f>
        <v>22142.3</v>
      </c>
      <c r="I722" s="39">
        <f t="shared" si="35"/>
        <v>96.25245605188572</v>
      </c>
    </row>
    <row r="723" spans="1:9" ht="57">
      <c r="A723" s="51" t="s">
        <v>1376</v>
      </c>
      <c r="B723" s="35"/>
      <c r="C723" s="48" t="s">
        <v>910</v>
      </c>
      <c r="D723" s="48" t="s">
        <v>712</v>
      </c>
      <c r="E723" s="81" t="s">
        <v>1375</v>
      </c>
      <c r="F723" s="133" t="s">
        <v>1370</v>
      </c>
      <c r="G723" s="38">
        <f>25613.5-2609.1</f>
        <v>23004.4</v>
      </c>
      <c r="H723" s="38">
        <v>22142.3</v>
      </c>
      <c r="I723" s="39">
        <f t="shared" si="35"/>
        <v>96.25245605188572</v>
      </c>
    </row>
    <row r="724" spans="1:9" ht="20.25" customHeight="1">
      <c r="A724" s="46" t="s">
        <v>1377</v>
      </c>
      <c r="B724" s="35"/>
      <c r="C724" s="81" t="s">
        <v>910</v>
      </c>
      <c r="D724" s="81" t="s">
        <v>751</v>
      </c>
      <c r="E724" s="81"/>
      <c r="F724" s="68"/>
      <c r="G724" s="71">
        <f>SUM(G725)</f>
        <v>21149.600000000002</v>
      </c>
      <c r="H724" s="71">
        <f>SUM(H725)</f>
        <v>21149.5</v>
      </c>
      <c r="I724" s="39">
        <f t="shared" si="35"/>
        <v>99.99952717781896</v>
      </c>
    </row>
    <row r="725" spans="1:9" ht="42.75" customHeight="1">
      <c r="A725" s="40" t="s">
        <v>681</v>
      </c>
      <c r="B725" s="35"/>
      <c r="C725" s="36" t="s">
        <v>910</v>
      </c>
      <c r="D725" s="36" t="s">
        <v>751</v>
      </c>
      <c r="E725" s="36" t="s">
        <v>682</v>
      </c>
      <c r="F725" s="41"/>
      <c r="G725" s="38">
        <f>SUM(G726)</f>
        <v>21149.600000000002</v>
      </c>
      <c r="H725" s="38">
        <f>SUM(H726)</f>
        <v>21149.5</v>
      </c>
      <c r="I725" s="39">
        <f t="shared" si="35"/>
        <v>99.99952717781896</v>
      </c>
    </row>
    <row r="726" spans="1:9" ht="15">
      <c r="A726" s="40" t="s">
        <v>689</v>
      </c>
      <c r="B726" s="35"/>
      <c r="C726" s="36" t="s">
        <v>910</v>
      </c>
      <c r="D726" s="36" t="s">
        <v>751</v>
      </c>
      <c r="E726" s="36" t="s">
        <v>691</v>
      </c>
      <c r="F726" s="41"/>
      <c r="G726" s="38">
        <f>SUM(G734+G728+G730+G736+G727)</f>
        <v>21149.600000000002</v>
      </c>
      <c r="H726" s="38">
        <f>SUM(H734+H728+H730+H736+H727)</f>
        <v>21149.5</v>
      </c>
      <c r="I726" s="39">
        <f t="shared" si="35"/>
        <v>99.99952717781896</v>
      </c>
    </row>
    <row r="727" spans="1:9" ht="27.75" customHeight="1">
      <c r="A727" s="46" t="s">
        <v>685</v>
      </c>
      <c r="B727" s="35"/>
      <c r="C727" s="36" t="s">
        <v>910</v>
      </c>
      <c r="D727" s="36" t="s">
        <v>751</v>
      </c>
      <c r="E727" s="36" t="s">
        <v>691</v>
      </c>
      <c r="F727" s="69" t="s">
        <v>686</v>
      </c>
      <c r="G727" s="38">
        <v>324.2</v>
      </c>
      <c r="H727" s="38">
        <v>324.1</v>
      </c>
      <c r="I727" s="39">
        <f t="shared" si="35"/>
        <v>99.9691548426897</v>
      </c>
    </row>
    <row r="728" spans="1:9" ht="49.5" customHeight="1" hidden="1">
      <c r="A728" s="46" t="s">
        <v>1378</v>
      </c>
      <c r="B728" s="35"/>
      <c r="C728" s="36" t="s">
        <v>910</v>
      </c>
      <c r="D728" s="36" t="s">
        <v>751</v>
      </c>
      <c r="E728" s="36" t="s">
        <v>1379</v>
      </c>
      <c r="F728" s="69"/>
      <c r="G728" s="38">
        <f>SUM(G729)</f>
        <v>0</v>
      </c>
      <c r="H728" s="38">
        <f>SUM(H729)</f>
        <v>0</v>
      </c>
      <c r="I728" s="39" t="e">
        <f t="shared" si="35"/>
        <v>#DIV/0!</v>
      </c>
    </row>
    <row r="729" spans="1:9" ht="31.5" customHeight="1" hidden="1">
      <c r="A729" s="46" t="s">
        <v>685</v>
      </c>
      <c r="B729" s="35"/>
      <c r="C729" s="36" t="s">
        <v>910</v>
      </c>
      <c r="D729" s="36" t="s">
        <v>751</v>
      </c>
      <c r="E729" s="36" t="s">
        <v>1379</v>
      </c>
      <c r="F729" s="69" t="s">
        <v>686</v>
      </c>
      <c r="G729" s="38"/>
      <c r="H729" s="38"/>
      <c r="I729" s="39" t="e">
        <f t="shared" si="35"/>
        <v>#DIV/0!</v>
      </c>
    </row>
    <row r="730" spans="1:9" s="77" customFormat="1" ht="32.25" customHeight="1">
      <c r="A730" s="46" t="s">
        <v>1380</v>
      </c>
      <c r="B730" s="35"/>
      <c r="C730" s="36" t="s">
        <v>910</v>
      </c>
      <c r="D730" s="36" t="s">
        <v>751</v>
      </c>
      <c r="E730" s="36" t="s">
        <v>1381</v>
      </c>
      <c r="F730" s="69"/>
      <c r="G730" s="38">
        <f>SUM(G731)</f>
        <v>3496.7</v>
      </c>
      <c r="H730" s="38">
        <f>SUM(H731)</f>
        <v>3496.7</v>
      </c>
      <c r="I730" s="39">
        <f t="shared" si="35"/>
        <v>100</v>
      </c>
    </row>
    <row r="731" spans="1:9" s="77" customFormat="1" ht="29.25" customHeight="1">
      <c r="A731" s="46" t="s">
        <v>685</v>
      </c>
      <c r="B731" s="70"/>
      <c r="C731" s="36" t="s">
        <v>910</v>
      </c>
      <c r="D731" s="36" t="s">
        <v>751</v>
      </c>
      <c r="E731" s="36" t="s">
        <v>1381</v>
      </c>
      <c r="F731" s="69" t="s">
        <v>686</v>
      </c>
      <c r="G731" s="38">
        <f>3403+93.7</f>
        <v>3496.7</v>
      </c>
      <c r="H731" s="38">
        <f>3403+93.7</f>
        <v>3496.7</v>
      </c>
      <c r="I731" s="39">
        <f t="shared" si="35"/>
        <v>100</v>
      </c>
    </row>
    <row r="732" spans="1:9" s="77" customFormat="1" ht="45.75" customHeight="1" hidden="1">
      <c r="A732" s="46" t="s">
        <v>1382</v>
      </c>
      <c r="B732" s="70"/>
      <c r="C732" s="36" t="s">
        <v>910</v>
      </c>
      <c r="D732" s="36" t="s">
        <v>751</v>
      </c>
      <c r="E732" s="36" t="s">
        <v>1383</v>
      </c>
      <c r="F732" s="69"/>
      <c r="G732" s="38"/>
      <c r="H732" s="38"/>
      <c r="I732" s="39" t="e">
        <f t="shared" si="35"/>
        <v>#DIV/0!</v>
      </c>
    </row>
    <row r="733" spans="1:9" ht="15.75" customHeight="1" hidden="1">
      <c r="A733" s="46" t="s">
        <v>685</v>
      </c>
      <c r="B733" s="35"/>
      <c r="C733" s="36" t="s">
        <v>910</v>
      </c>
      <c r="D733" s="36" t="s">
        <v>751</v>
      </c>
      <c r="E733" s="36" t="s">
        <v>1383</v>
      </c>
      <c r="F733" s="69" t="s">
        <v>686</v>
      </c>
      <c r="G733" s="38">
        <f>2956.3+101.6</f>
        <v>3057.9</v>
      </c>
      <c r="H733" s="38">
        <f>2956.3+101.6</f>
        <v>3057.9</v>
      </c>
      <c r="I733" s="39">
        <f t="shared" si="35"/>
        <v>100</v>
      </c>
    </row>
    <row r="734" spans="1:9" ht="49.5" customHeight="1">
      <c r="A734" s="46" t="s">
        <v>1378</v>
      </c>
      <c r="B734" s="35"/>
      <c r="C734" s="36" t="s">
        <v>910</v>
      </c>
      <c r="D734" s="36" t="s">
        <v>751</v>
      </c>
      <c r="E734" s="36" t="s">
        <v>1379</v>
      </c>
      <c r="F734" s="69"/>
      <c r="G734" s="38">
        <f>SUM(G735)</f>
        <v>14349</v>
      </c>
      <c r="H734" s="38">
        <f>SUM(H735)</f>
        <v>14349</v>
      </c>
      <c r="I734" s="39">
        <f t="shared" si="35"/>
        <v>100</v>
      </c>
    </row>
    <row r="735" spans="1:9" ht="31.5" customHeight="1">
      <c r="A735" s="46" t="s">
        <v>685</v>
      </c>
      <c r="B735" s="35"/>
      <c r="C735" s="36" t="s">
        <v>910</v>
      </c>
      <c r="D735" s="36" t="s">
        <v>751</v>
      </c>
      <c r="E735" s="36" t="s">
        <v>1379</v>
      </c>
      <c r="F735" s="69" t="s">
        <v>686</v>
      </c>
      <c r="G735" s="38">
        <v>14349</v>
      </c>
      <c r="H735" s="38">
        <v>14349</v>
      </c>
      <c r="I735" s="39">
        <f t="shared" si="35"/>
        <v>100</v>
      </c>
    </row>
    <row r="736" spans="1:9" s="77" customFormat="1" ht="45.75" customHeight="1">
      <c r="A736" s="46" t="s">
        <v>1382</v>
      </c>
      <c r="B736" s="70"/>
      <c r="C736" s="36" t="s">
        <v>910</v>
      </c>
      <c r="D736" s="36" t="s">
        <v>751</v>
      </c>
      <c r="E736" s="36" t="s">
        <v>1384</v>
      </c>
      <c r="F736" s="69"/>
      <c r="G736" s="38">
        <f>SUM(G737)</f>
        <v>2979.7000000000003</v>
      </c>
      <c r="H736" s="38">
        <f>SUM(H737)</f>
        <v>2979.7000000000003</v>
      </c>
      <c r="I736" s="39">
        <f t="shared" si="35"/>
        <v>100</v>
      </c>
    </row>
    <row r="737" spans="1:9" ht="32.25" customHeight="1">
      <c r="A737" s="46" t="s">
        <v>685</v>
      </c>
      <c r="B737" s="35"/>
      <c r="C737" s="36" t="s">
        <v>910</v>
      </c>
      <c r="D737" s="36" t="s">
        <v>751</v>
      </c>
      <c r="E737" s="36" t="s">
        <v>1384</v>
      </c>
      <c r="F737" s="69" t="s">
        <v>686</v>
      </c>
      <c r="G737" s="38">
        <f>2895.9+83.8</f>
        <v>2979.7000000000003</v>
      </c>
      <c r="H737" s="38">
        <f>2895.9+83.8</f>
        <v>2979.7000000000003</v>
      </c>
      <c r="I737" s="39">
        <f t="shared" si="35"/>
        <v>100</v>
      </c>
    </row>
    <row r="738" spans="1:9" ht="30.75" customHeight="1">
      <c r="A738" s="228" t="s">
        <v>413</v>
      </c>
      <c r="B738" s="128" t="s">
        <v>414</v>
      </c>
      <c r="C738" s="64"/>
      <c r="D738" s="126"/>
      <c r="E738" s="126"/>
      <c r="F738" s="127"/>
      <c r="G738" s="230">
        <f>SUM(G739+G751+G767+G789)</f>
        <v>83666.80000000002</v>
      </c>
      <c r="H738" s="230">
        <f>SUM(H739+H751+H767+H789)</f>
        <v>90402.70000000001</v>
      </c>
      <c r="I738" s="63">
        <f t="shared" si="35"/>
        <v>108.05086366396228</v>
      </c>
    </row>
    <row r="739" spans="1:9" ht="18.75" customHeight="1">
      <c r="A739" s="34" t="s">
        <v>677</v>
      </c>
      <c r="B739" s="35"/>
      <c r="C739" s="36" t="s">
        <v>678</v>
      </c>
      <c r="D739" s="36"/>
      <c r="E739" s="36"/>
      <c r="F739" s="37"/>
      <c r="G739" s="38">
        <f>SUM(G740+G744)</f>
        <v>4649.8</v>
      </c>
      <c r="H739" s="38">
        <f>SUM(H740+H744)</f>
        <v>4590.9</v>
      </c>
      <c r="I739" s="39">
        <f t="shared" si="35"/>
        <v>98.73327885070324</v>
      </c>
    </row>
    <row r="740" spans="1:9" ht="49.5" customHeight="1">
      <c r="A740" s="40" t="s">
        <v>729</v>
      </c>
      <c r="B740" s="35"/>
      <c r="C740" s="36" t="s">
        <v>678</v>
      </c>
      <c r="D740" s="36" t="s">
        <v>712</v>
      </c>
      <c r="E740" s="36"/>
      <c r="F740" s="37"/>
      <c r="G740" s="38">
        <f aca="true" t="shared" si="36" ref="G740:H742">SUM(G741)</f>
        <v>4082.6</v>
      </c>
      <c r="H740" s="38">
        <f t="shared" si="36"/>
        <v>4082.6</v>
      </c>
      <c r="I740" s="39">
        <f t="shared" si="35"/>
        <v>100</v>
      </c>
    </row>
    <row r="741" spans="1:9" ht="47.25" customHeight="1">
      <c r="A741" s="40" t="s">
        <v>681</v>
      </c>
      <c r="B741" s="35"/>
      <c r="C741" s="36" t="s">
        <v>678</v>
      </c>
      <c r="D741" s="36" t="s">
        <v>712</v>
      </c>
      <c r="E741" s="36" t="s">
        <v>682</v>
      </c>
      <c r="F741" s="41"/>
      <c r="G741" s="38">
        <f t="shared" si="36"/>
        <v>4082.6</v>
      </c>
      <c r="H741" s="38">
        <f t="shared" si="36"/>
        <v>4082.6</v>
      </c>
      <c r="I741" s="39">
        <f t="shared" si="35"/>
        <v>100</v>
      </c>
    </row>
    <row r="742" spans="1:9" ht="20.25" customHeight="1">
      <c r="A742" s="40" t="s">
        <v>689</v>
      </c>
      <c r="B742" s="35"/>
      <c r="C742" s="36" t="s">
        <v>678</v>
      </c>
      <c r="D742" s="36" t="s">
        <v>712</v>
      </c>
      <c r="E742" s="36" t="s">
        <v>691</v>
      </c>
      <c r="F742" s="41"/>
      <c r="G742" s="38">
        <f t="shared" si="36"/>
        <v>4082.6</v>
      </c>
      <c r="H742" s="38">
        <f t="shared" si="36"/>
        <v>4082.6</v>
      </c>
      <c r="I742" s="39">
        <f t="shared" si="35"/>
        <v>100</v>
      </c>
    </row>
    <row r="743" spans="1:9" ht="30.75" customHeight="1">
      <c r="A743" s="40" t="s">
        <v>685</v>
      </c>
      <c r="B743" s="35"/>
      <c r="C743" s="36" t="s">
        <v>678</v>
      </c>
      <c r="D743" s="36" t="s">
        <v>712</v>
      </c>
      <c r="E743" s="36" t="s">
        <v>691</v>
      </c>
      <c r="F743" s="37" t="s">
        <v>686</v>
      </c>
      <c r="G743" s="38">
        <v>4082.6</v>
      </c>
      <c r="H743" s="38">
        <v>4082.6</v>
      </c>
      <c r="I743" s="39">
        <f t="shared" si="35"/>
        <v>100</v>
      </c>
    </row>
    <row r="744" spans="1:9" ht="18.75" customHeight="1">
      <c r="A744" s="40" t="s">
        <v>694</v>
      </c>
      <c r="B744" s="35"/>
      <c r="C744" s="36" t="s">
        <v>678</v>
      </c>
      <c r="D744" s="36" t="s">
        <v>773</v>
      </c>
      <c r="E744" s="36"/>
      <c r="F744" s="41"/>
      <c r="G744" s="38">
        <f>SUM(G745+G748)</f>
        <v>567.2</v>
      </c>
      <c r="H744" s="38">
        <f>SUM(H745+H748)</f>
        <v>508.3</v>
      </c>
      <c r="I744" s="39">
        <f t="shared" si="35"/>
        <v>89.61565585331452</v>
      </c>
    </row>
    <row r="745" spans="1:9" ht="42.75">
      <c r="A745" s="54" t="s">
        <v>784</v>
      </c>
      <c r="B745" s="35"/>
      <c r="C745" s="36" t="s">
        <v>678</v>
      </c>
      <c r="D745" s="36" t="s">
        <v>773</v>
      </c>
      <c r="E745" s="36" t="s">
        <v>708</v>
      </c>
      <c r="F745" s="37"/>
      <c r="G745" s="38">
        <f>SUM(G746)</f>
        <v>567.2</v>
      </c>
      <c r="H745" s="38">
        <f>SUM(H746)</f>
        <v>508.3</v>
      </c>
      <c r="I745" s="39">
        <f t="shared" si="35"/>
        <v>89.61565585331452</v>
      </c>
    </row>
    <row r="746" spans="1:9" ht="42.75">
      <c r="A746" s="54" t="s">
        <v>709</v>
      </c>
      <c r="B746" s="35"/>
      <c r="C746" s="36" t="s">
        <v>678</v>
      </c>
      <c r="D746" s="36" t="s">
        <v>773</v>
      </c>
      <c r="E746" s="36" t="s">
        <v>785</v>
      </c>
      <c r="F746" s="37"/>
      <c r="G746" s="38">
        <f>SUM(G747)</f>
        <v>567.2</v>
      </c>
      <c r="H746" s="38">
        <f>SUM(H747)</f>
        <v>508.3</v>
      </c>
      <c r="I746" s="39">
        <f t="shared" si="35"/>
        <v>89.61565585331452</v>
      </c>
    </row>
    <row r="747" spans="1:9" ht="27" customHeight="1">
      <c r="A747" s="40" t="s">
        <v>685</v>
      </c>
      <c r="B747" s="35"/>
      <c r="C747" s="36" t="s">
        <v>678</v>
      </c>
      <c r="D747" s="36" t="s">
        <v>773</v>
      </c>
      <c r="E747" s="36" t="s">
        <v>785</v>
      </c>
      <c r="F747" s="37" t="s">
        <v>686</v>
      </c>
      <c r="G747" s="38">
        <v>567.2</v>
      </c>
      <c r="H747" s="38">
        <v>508.3</v>
      </c>
      <c r="I747" s="39">
        <f t="shared" si="35"/>
        <v>89.61565585331452</v>
      </c>
    </row>
    <row r="748" spans="1:9" ht="27" customHeight="1" hidden="1">
      <c r="A748" s="40" t="s">
        <v>696</v>
      </c>
      <c r="B748" s="35"/>
      <c r="C748" s="36" t="s">
        <v>678</v>
      </c>
      <c r="D748" s="36" t="s">
        <v>773</v>
      </c>
      <c r="E748" s="36" t="s">
        <v>697</v>
      </c>
      <c r="F748" s="42"/>
      <c r="G748" s="38">
        <f>SUM(G749)</f>
        <v>0</v>
      </c>
      <c r="H748" s="38">
        <f>SUM(H749)</f>
        <v>0</v>
      </c>
      <c r="I748" s="39" t="e">
        <f t="shared" si="35"/>
        <v>#DIV/0!</v>
      </c>
    </row>
    <row r="749" spans="1:9" ht="27" customHeight="1" hidden="1">
      <c r="A749" s="40" t="s">
        <v>698</v>
      </c>
      <c r="B749" s="35"/>
      <c r="C749" s="36" t="s">
        <v>678</v>
      </c>
      <c r="D749" s="36" t="s">
        <v>773</v>
      </c>
      <c r="E749" s="36" t="s">
        <v>786</v>
      </c>
      <c r="F749" s="42"/>
      <c r="G749" s="38">
        <f>SUM(G750)</f>
        <v>0</v>
      </c>
      <c r="H749" s="38">
        <f>SUM(H750)</f>
        <v>0</v>
      </c>
      <c r="I749" s="39" t="e">
        <f t="shared" si="35"/>
        <v>#DIV/0!</v>
      </c>
    </row>
    <row r="750" spans="1:9" ht="27" customHeight="1" hidden="1">
      <c r="A750" s="40" t="s">
        <v>685</v>
      </c>
      <c r="B750" s="35"/>
      <c r="C750" s="36" t="s">
        <v>678</v>
      </c>
      <c r="D750" s="36" t="s">
        <v>773</v>
      </c>
      <c r="E750" s="36" t="s">
        <v>786</v>
      </c>
      <c r="F750" s="42" t="s">
        <v>686</v>
      </c>
      <c r="G750" s="38"/>
      <c r="H750" s="38"/>
      <c r="I750" s="39" t="e">
        <f t="shared" si="35"/>
        <v>#DIV/0!</v>
      </c>
    </row>
    <row r="751" spans="1:9" s="83" customFormat="1" ht="15">
      <c r="A751" s="46" t="s">
        <v>711</v>
      </c>
      <c r="B751" s="47"/>
      <c r="C751" s="81" t="s">
        <v>712</v>
      </c>
      <c r="D751" s="81"/>
      <c r="E751" s="81"/>
      <c r="F751" s="68"/>
      <c r="G751" s="71">
        <f>SUM(G758+G752)</f>
        <v>8275.5</v>
      </c>
      <c r="H751" s="71">
        <f>SUM(H758+H752)</f>
        <v>8275.3</v>
      </c>
      <c r="I751" s="39">
        <f t="shared" si="35"/>
        <v>99.99758322759953</v>
      </c>
    </row>
    <row r="752" spans="1:9" s="83" customFormat="1" ht="15">
      <c r="A752" s="46" t="s">
        <v>713</v>
      </c>
      <c r="B752" s="47"/>
      <c r="C752" s="81" t="s">
        <v>712</v>
      </c>
      <c r="D752" s="81" t="s">
        <v>714</v>
      </c>
      <c r="E752" s="81"/>
      <c r="F752" s="68"/>
      <c r="G752" s="71">
        <f>SUM(G753,G755)</f>
        <v>7923</v>
      </c>
      <c r="H752" s="71">
        <f>SUM(H753,H755)</f>
        <v>7923</v>
      </c>
      <c r="I752" s="39">
        <f t="shared" si="35"/>
        <v>100</v>
      </c>
    </row>
    <row r="753" spans="1:9" s="83" customFormat="1" ht="31.5" customHeight="1">
      <c r="A753" s="46" t="s">
        <v>415</v>
      </c>
      <c r="B753" s="47"/>
      <c r="C753" s="81" t="s">
        <v>712</v>
      </c>
      <c r="D753" s="81" t="s">
        <v>714</v>
      </c>
      <c r="E753" s="81" t="s">
        <v>917</v>
      </c>
      <c r="F753" s="68"/>
      <c r="G753" s="71">
        <f>SUM(G754)</f>
        <v>2376.9</v>
      </c>
      <c r="H753" s="71">
        <f>SUM(H754)</f>
        <v>2376.9</v>
      </c>
      <c r="I753" s="39">
        <f t="shared" si="35"/>
        <v>100</v>
      </c>
    </row>
    <row r="754" spans="1:9" s="83" customFormat="1" ht="30" customHeight="1">
      <c r="A754" s="40" t="s">
        <v>685</v>
      </c>
      <c r="B754" s="47"/>
      <c r="C754" s="81" t="s">
        <v>712</v>
      </c>
      <c r="D754" s="81" t="s">
        <v>714</v>
      </c>
      <c r="E754" s="81" t="s">
        <v>917</v>
      </c>
      <c r="F754" s="68" t="s">
        <v>686</v>
      </c>
      <c r="G754" s="71">
        <v>2376.9</v>
      </c>
      <c r="H754" s="71">
        <v>2376.9</v>
      </c>
      <c r="I754" s="39">
        <f t="shared" si="35"/>
        <v>100</v>
      </c>
    </row>
    <row r="755" spans="1:9" s="83" customFormat="1" ht="31.5" customHeight="1">
      <c r="A755" s="54" t="s">
        <v>920</v>
      </c>
      <c r="B755" s="47"/>
      <c r="C755" s="81" t="s">
        <v>712</v>
      </c>
      <c r="D755" s="81" t="s">
        <v>714</v>
      </c>
      <c r="E755" s="81" t="s">
        <v>921</v>
      </c>
      <c r="F755" s="68"/>
      <c r="G755" s="71">
        <f>SUM(G756)</f>
        <v>5546.1</v>
      </c>
      <c r="H755" s="71">
        <f>SUM(H756)</f>
        <v>5546.1</v>
      </c>
      <c r="I755" s="39">
        <f t="shared" si="35"/>
        <v>100</v>
      </c>
    </row>
    <row r="756" spans="1:9" s="83" customFormat="1" ht="31.5" customHeight="1">
      <c r="A756" s="54" t="s">
        <v>922</v>
      </c>
      <c r="B756" s="47"/>
      <c r="C756" s="81" t="s">
        <v>923</v>
      </c>
      <c r="D756" s="81" t="s">
        <v>714</v>
      </c>
      <c r="E756" s="81" t="s">
        <v>924</v>
      </c>
      <c r="F756" s="68"/>
      <c r="G756" s="71">
        <f>SUM(G757)</f>
        <v>5546.1</v>
      </c>
      <c r="H756" s="71">
        <f>SUM(H757)</f>
        <v>5546.1</v>
      </c>
      <c r="I756" s="39">
        <f t="shared" si="35"/>
        <v>100</v>
      </c>
    </row>
    <row r="757" spans="1:9" s="83" customFormat="1" ht="27" customHeight="1">
      <c r="A757" s="34" t="s">
        <v>903</v>
      </c>
      <c r="B757" s="47"/>
      <c r="C757" s="81" t="s">
        <v>712</v>
      </c>
      <c r="D757" s="81" t="s">
        <v>714</v>
      </c>
      <c r="E757" s="81" t="s">
        <v>924</v>
      </c>
      <c r="F757" s="68" t="s">
        <v>904</v>
      </c>
      <c r="G757" s="71">
        <v>5546.1</v>
      </c>
      <c r="H757" s="71">
        <v>5546.1</v>
      </c>
      <c r="I757" s="39">
        <f t="shared" si="35"/>
        <v>100</v>
      </c>
    </row>
    <row r="758" spans="1:9" ht="19.5" customHeight="1">
      <c r="A758" s="51" t="s">
        <v>719</v>
      </c>
      <c r="B758" s="52"/>
      <c r="C758" s="53" t="s">
        <v>712</v>
      </c>
      <c r="D758" s="53" t="s">
        <v>770</v>
      </c>
      <c r="E758" s="53"/>
      <c r="F758" s="41"/>
      <c r="G758" s="38">
        <f>SUM(G759+G764)</f>
        <v>352.5</v>
      </c>
      <c r="H758" s="38">
        <f>SUM(H759+H764)</f>
        <v>352.3</v>
      </c>
      <c r="I758" s="39">
        <f t="shared" si="35"/>
        <v>99.94326241134752</v>
      </c>
    </row>
    <row r="759" spans="1:9" ht="0.75" customHeight="1" hidden="1">
      <c r="A759" s="51" t="s">
        <v>787</v>
      </c>
      <c r="B759" s="53"/>
      <c r="C759" s="53" t="s">
        <v>712</v>
      </c>
      <c r="D759" s="53" t="s">
        <v>770</v>
      </c>
      <c r="E759" s="53" t="s">
        <v>726</v>
      </c>
      <c r="F759" s="41"/>
      <c r="G759" s="38">
        <f>SUM(G761)</f>
        <v>0</v>
      </c>
      <c r="H759" s="38">
        <f>SUM(H761)</f>
        <v>0</v>
      </c>
      <c r="I759" s="39" t="e">
        <f t="shared" si="35"/>
        <v>#DIV/0!</v>
      </c>
    </row>
    <row r="760" spans="1:9" ht="27" customHeight="1" hidden="1">
      <c r="A760" s="51" t="s">
        <v>788</v>
      </c>
      <c r="B760" s="53"/>
      <c r="C760" s="53" t="s">
        <v>712</v>
      </c>
      <c r="D760" s="53" t="s">
        <v>770</v>
      </c>
      <c r="E760" s="66" t="s">
        <v>789</v>
      </c>
      <c r="F760" s="41"/>
      <c r="G760" s="38">
        <f>SUM(G761)</f>
        <v>0</v>
      </c>
      <c r="H760" s="38">
        <f>SUM(H761)</f>
        <v>0</v>
      </c>
      <c r="I760" s="39" t="e">
        <f t="shared" si="35"/>
        <v>#DIV/0!</v>
      </c>
    </row>
    <row r="761" spans="1:9" ht="18" customHeight="1" hidden="1">
      <c r="A761" s="51" t="s">
        <v>790</v>
      </c>
      <c r="B761" s="53"/>
      <c r="C761" s="53" t="s">
        <v>712</v>
      </c>
      <c r="D761" s="53" t="s">
        <v>770</v>
      </c>
      <c r="E761" s="66" t="s">
        <v>789</v>
      </c>
      <c r="F761" s="41" t="s">
        <v>791</v>
      </c>
      <c r="G761" s="38"/>
      <c r="H761" s="38"/>
      <c r="I761" s="39" t="e">
        <f t="shared" si="35"/>
        <v>#DIV/0!</v>
      </c>
    </row>
    <row r="762" spans="1:9" ht="20.25" customHeight="1" hidden="1">
      <c r="A762" s="84" t="s">
        <v>925</v>
      </c>
      <c r="B762" s="53"/>
      <c r="C762" s="53" t="s">
        <v>712</v>
      </c>
      <c r="D762" s="53" t="s">
        <v>770</v>
      </c>
      <c r="E762" s="53" t="s">
        <v>926</v>
      </c>
      <c r="F762" s="41"/>
      <c r="G762" s="38">
        <f>SUM(G763)</f>
        <v>0</v>
      </c>
      <c r="H762" s="38">
        <f>SUM(H763)</f>
        <v>0</v>
      </c>
      <c r="I762" s="39" t="e">
        <f t="shared" si="35"/>
        <v>#DIV/0!</v>
      </c>
    </row>
    <row r="763" spans="1:9" ht="28.5" customHeight="1" hidden="1">
      <c r="A763" s="40" t="s">
        <v>685</v>
      </c>
      <c r="B763" s="53"/>
      <c r="C763" s="53" t="s">
        <v>712</v>
      </c>
      <c r="D763" s="53" t="s">
        <v>770</v>
      </c>
      <c r="E763" s="53" t="s">
        <v>926</v>
      </c>
      <c r="F763" s="41" t="s">
        <v>686</v>
      </c>
      <c r="G763" s="38"/>
      <c r="H763" s="38"/>
      <c r="I763" s="39" t="e">
        <f t="shared" si="35"/>
        <v>#DIV/0!</v>
      </c>
    </row>
    <row r="764" spans="1:9" ht="28.5">
      <c r="A764" s="34" t="s">
        <v>721</v>
      </c>
      <c r="B764" s="35"/>
      <c r="C764" s="53" t="s">
        <v>712</v>
      </c>
      <c r="D764" s="53" t="s">
        <v>770</v>
      </c>
      <c r="E764" s="36" t="s">
        <v>722</v>
      </c>
      <c r="F764" s="41"/>
      <c r="G764" s="38">
        <f>SUM(G765)</f>
        <v>352.5</v>
      </c>
      <c r="H764" s="38">
        <f>SUM(H765)</f>
        <v>352.3</v>
      </c>
      <c r="I764" s="39">
        <f t="shared" si="35"/>
        <v>99.94326241134752</v>
      </c>
    </row>
    <row r="765" spans="1:9" ht="28.5">
      <c r="A765" s="34" t="s">
        <v>927</v>
      </c>
      <c r="B765" s="35"/>
      <c r="C765" s="53" t="s">
        <v>712</v>
      </c>
      <c r="D765" s="53" t="s">
        <v>770</v>
      </c>
      <c r="E765" s="36" t="s">
        <v>928</v>
      </c>
      <c r="F765" s="41"/>
      <c r="G765" s="38">
        <f>SUM(G766)</f>
        <v>352.5</v>
      </c>
      <c r="H765" s="38">
        <f>SUM(H766)</f>
        <v>352.3</v>
      </c>
      <c r="I765" s="39">
        <f t="shared" si="35"/>
        <v>99.94326241134752</v>
      </c>
    </row>
    <row r="766" spans="1:9" ht="29.25" customHeight="1">
      <c r="A766" s="40" t="s">
        <v>685</v>
      </c>
      <c r="B766" s="35"/>
      <c r="C766" s="53" t="s">
        <v>712</v>
      </c>
      <c r="D766" s="53" t="s">
        <v>770</v>
      </c>
      <c r="E766" s="36" t="s">
        <v>928</v>
      </c>
      <c r="F766" s="41" t="s">
        <v>686</v>
      </c>
      <c r="G766" s="38">
        <v>352.5</v>
      </c>
      <c r="H766" s="38">
        <v>352.3</v>
      </c>
      <c r="I766" s="39">
        <f t="shared" si="35"/>
        <v>99.94326241134752</v>
      </c>
    </row>
    <row r="767" spans="1:9" s="100" customFormat="1" ht="18" customHeight="1">
      <c r="A767" s="51" t="s">
        <v>933</v>
      </c>
      <c r="B767" s="52"/>
      <c r="C767" s="53" t="s">
        <v>747</v>
      </c>
      <c r="D767" s="53"/>
      <c r="E767" s="53"/>
      <c r="F767" s="42"/>
      <c r="G767" s="38">
        <f>SUM(G779,G768)</f>
        <v>70297.20000000001</v>
      </c>
      <c r="H767" s="38">
        <f>SUM(H779,H768)</f>
        <v>77092.20000000001</v>
      </c>
      <c r="I767" s="39">
        <f t="shared" si="35"/>
        <v>109.66610334408766</v>
      </c>
    </row>
    <row r="768" spans="1:9" ht="21" customHeight="1">
      <c r="A768" s="51" t="s">
        <v>934</v>
      </c>
      <c r="B768" s="52"/>
      <c r="C768" s="53" t="s">
        <v>747</v>
      </c>
      <c r="D768" s="53" t="s">
        <v>678</v>
      </c>
      <c r="E768" s="53"/>
      <c r="F768" s="41"/>
      <c r="G768" s="38">
        <f>SUM(G769,G777)</f>
        <v>46829.8</v>
      </c>
      <c r="H768" s="38">
        <f>SUM(H769,H777)</f>
        <v>46053.200000000004</v>
      </c>
      <c r="I768" s="39">
        <f t="shared" si="35"/>
        <v>98.34165424580075</v>
      </c>
    </row>
    <row r="769" spans="1:9" s="55" customFormat="1" ht="20.25" customHeight="1">
      <c r="A769" s="91" t="s">
        <v>416</v>
      </c>
      <c r="B769" s="92"/>
      <c r="C769" s="36" t="s">
        <v>747</v>
      </c>
      <c r="D769" s="36" t="s">
        <v>678</v>
      </c>
      <c r="E769" s="36" t="s">
        <v>936</v>
      </c>
      <c r="F769" s="37"/>
      <c r="G769" s="38">
        <f>SUM(G770+G773)</f>
        <v>46829.8</v>
      </c>
      <c r="H769" s="38">
        <f>SUM(H770+H773)</f>
        <v>46053.200000000004</v>
      </c>
      <c r="I769" s="39">
        <f t="shared" si="35"/>
        <v>98.34165424580075</v>
      </c>
    </row>
    <row r="770" spans="1:9" ht="45" customHeight="1">
      <c r="A770" s="84" t="s">
        <v>417</v>
      </c>
      <c r="B770" s="52"/>
      <c r="C770" s="53" t="s">
        <v>747</v>
      </c>
      <c r="D770" s="53" t="s">
        <v>678</v>
      </c>
      <c r="E770" s="53" t="s">
        <v>938</v>
      </c>
      <c r="F770" s="41"/>
      <c r="G770" s="38">
        <f>SUM(G771)</f>
        <v>36640</v>
      </c>
      <c r="H770" s="38">
        <f>SUM(H771)</f>
        <v>35933.8</v>
      </c>
      <c r="I770" s="39">
        <f t="shared" si="35"/>
        <v>98.07259825327512</v>
      </c>
    </row>
    <row r="771" spans="1:9" ht="75" customHeight="1">
      <c r="A771" s="84" t="s">
        <v>418</v>
      </c>
      <c r="B771" s="52"/>
      <c r="C771" s="53" t="s">
        <v>747</v>
      </c>
      <c r="D771" s="53" t="s">
        <v>678</v>
      </c>
      <c r="E771" s="53" t="s">
        <v>942</v>
      </c>
      <c r="F771" s="41"/>
      <c r="G771" s="38">
        <f>SUM(G772)</f>
        <v>36640</v>
      </c>
      <c r="H771" s="38">
        <f>SUM(H772)</f>
        <v>35933.8</v>
      </c>
      <c r="I771" s="39">
        <f t="shared" si="35"/>
        <v>98.07259825327512</v>
      </c>
    </row>
    <row r="772" spans="1:9" ht="15">
      <c r="A772" s="51" t="s">
        <v>1042</v>
      </c>
      <c r="B772" s="52"/>
      <c r="C772" s="53" t="s">
        <v>747</v>
      </c>
      <c r="D772" s="53" t="s">
        <v>678</v>
      </c>
      <c r="E772" s="53" t="s">
        <v>942</v>
      </c>
      <c r="F772" s="37" t="s">
        <v>791</v>
      </c>
      <c r="G772" s="71">
        <v>36640</v>
      </c>
      <c r="H772" s="71">
        <v>35933.8</v>
      </c>
      <c r="I772" s="39">
        <f t="shared" si="35"/>
        <v>98.07259825327512</v>
      </c>
    </row>
    <row r="773" spans="1:9" ht="45" customHeight="1">
      <c r="A773" s="84" t="s">
        <v>419</v>
      </c>
      <c r="B773" s="52"/>
      <c r="C773" s="53" t="s">
        <v>747</v>
      </c>
      <c r="D773" s="53" t="s">
        <v>678</v>
      </c>
      <c r="E773" s="53" t="s">
        <v>946</v>
      </c>
      <c r="F773" s="41"/>
      <c r="G773" s="38">
        <f>SUM(G774)</f>
        <v>10189.8</v>
      </c>
      <c r="H773" s="38">
        <f>SUM(H774)</f>
        <v>10119.400000000001</v>
      </c>
      <c r="I773" s="39">
        <f t="shared" si="35"/>
        <v>99.30911303460324</v>
      </c>
    </row>
    <row r="774" spans="1:9" ht="42.75" customHeight="1">
      <c r="A774" s="84" t="s">
        <v>951</v>
      </c>
      <c r="B774" s="52"/>
      <c r="C774" s="53" t="s">
        <v>747</v>
      </c>
      <c r="D774" s="53" t="s">
        <v>678</v>
      </c>
      <c r="E774" s="53" t="s">
        <v>952</v>
      </c>
      <c r="F774" s="41"/>
      <c r="G774" s="38">
        <f>SUM(G776,G775)</f>
        <v>10189.8</v>
      </c>
      <c r="H774" s="38">
        <f>SUM(H776,H775)</f>
        <v>10119.400000000001</v>
      </c>
      <c r="I774" s="39">
        <f t="shared" si="35"/>
        <v>99.30911303460324</v>
      </c>
    </row>
    <row r="775" spans="1:9" ht="27" customHeight="1">
      <c r="A775" s="84" t="s">
        <v>790</v>
      </c>
      <c r="B775" s="52"/>
      <c r="C775" s="53" t="s">
        <v>747</v>
      </c>
      <c r="D775" s="53" t="s">
        <v>678</v>
      </c>
      <c r="E775" s="53" t="s">
        <v>952</v>
      </c>
      <c r="F775" s="41" t="s">
        <v>791</v>
      </c>
      <c r="G775" s="38">
        <f>6245+290.1</f>
        <v>6535.1</v>
      </c>
      <c r="H775" s="38">
        <f>6245+290.1</f>
        <v>6535.1</v>
      </c>
      <c r="I775" s="39">
        <f t="shared" si="35"/>
        <v>100</v>
      </c>
    </row>
    <row r="776" spans="1:9" ht="28.5">
      <c r="A776" s="93" t="s">
        <v>953</v>
      </c>
      <c r="B776" s="52"/>
      <c r="C776" s="53" t="s">
        <v>747</v>
      </c>
      <c r="D776" s="53" t="s">
        <v>678</v>
      </c>
      <c r="E776" s="53" t="s">
        <v>952</v>
      </c>
      <c r="F776" s="37" t="s">
        <v>954</v>
      </c>
      <c r="G776" s="71">
        <v>3654.7</v>
      </c>
      <c r="H776" s="71">
        <v>3584.3</v>
      </c>
      <c r="I776" s="39">
        <f t="shared" si="35"/>
        <v>98.07371330068132</v>
      </c>
    </row>
    <row r="777" spans="1:9" ht="15" hidden="1">
      <c r="A777" s="93" t="s">
        <v>978</v>
      </c>
      <c r="B777" s="52"/>
      <c r="C777" s="53" t="s">
        <v>747</v>
      </c>
      <c r="D777" s="53" t="s">
        <v>678</v>
      </c>
      <c r="E777" s="53" t="s">
        <v>979</v>
      </c>
      <c r="F777" s="37"/>
      <c r="G777" s="71">
        <f>SUM(G778)</f>
        <v>0</v>
      </c>
      <c r="H777" s="71">
        <f>SUM(H778)</f>
        <v>0</v>
      </c>
      <c r="I777" s="39" t="e">
        <f t="shared" si="35"/>
        <v>#DIV/0!</v>
      </c>
    </row>
    <row r="778" spans="1:9" ht="15" hidden="1">
      <c r="A778" s="93" t="s">
        <v>790</v>
      </c>
      <c r="B778" s="52"/>
      <c r="C778" s="53" t="s">
        <v>747</v>
      </c>
      <c r="D778" s="53" t="s">
        <v>678</v>
      </c>
      <c r="E778" s="53" t="s">
        <v>979</v>
      </c>
      <c r="F778" s="41" t="s">
        <v>791</v>
      </c>
      <c r="G778" s="71"/>
      <c r="H778" s="71"/>
      <c r="I778" s="39" t="e">
        <f t="shared" si="35"/>
        <v>#DIV/0!</v>
      </c>
    </row>
    <row r="779" spans="1:9" ht="21" customHeight="1">
      <c r="A779" s="51" t="s">
        <v>991</v>
      </c>
      <c r="B779" s="52"/>
      <c r="C779" s="53" t="s">
        <v>747</v>
      </c>
      <c r="D779" s="53" t="s">
        <v>680</v>
      </c>
      <c r="E779" s="53"/>
      <c r="F779" s="41"/>
      <c r="G779" s="38">
        <f>SUM(G780,G783,G786)</f>
        <v>23467.4</v>
      </c>
      <c r="H779" s="38">
        <f>SUM(H780,H783,H786)</f>
        <v>31039</v>
      </c>
      <c r="I779" s="39">
        <f t="shared" si="35"/>
        <v>132.26433264869564</v>
      </c>
    </row>
    <row r="780" spans="1:9" ht="27.75" customHeight="1">
      <c r="A780" s="84" t="s">
        <v>920</v>
      </c>
      <c r="B780" s="52"/>
      <c r="C780" s="53" t="s">
        <v>747</v>
      </c>
      <c r="D780" s="53" t="s">
        <v>680</v>
      </c>
      <c r="E780" s="53" t="s">
        <v>921</v>
      </c>
      <c r="F780" s="41"/>
      <c r="G780" s="38">
        <f>SUM(G781)</f>
        <v>14053.9</v>
      </c>
      <c r="H780" s="38">
        <f>SUM(H781)</f>
        <v>21626.5</v>
      </c>
      <c r="I780" s="39">
        <f t="shared" si="35"/>
        <v>153.88255217412961</v>
      </c>
    </row>
    <row r="781" spans="1:9" ht="27" customHeight="1">
      <c r="A781" s="54" t="s">
        <v>922</v>
      </c>
      <c r="B781" s="52"/>
      <c r="C781" s="53" t="s">
        <v>747</v>
      </c>
      <c r="D781" s="53" t="s">
        <v>680</v>
      </c>
      <c r="E781" s="53" t="s">
        <v>924</v>
      </c>
      <c r="F781" s="41"/>
      <c r="G781" s="38">
        <f>SUM(G782)</f>
        <v>14053.9</v>
      </c>
      <c r="H781" s="38">
        <f>SUM(H782)</f>
        <v>21626.5</v>
      </c>
      <c r="I781" s="39">
        <f aca="true" t="shared" si="37" ref="I781:I803">SUM(H781/G781*100)</f>
        <v>153.88255217412961</v>
      </c>
    </row>
    <row r="782" spans="1:9" ht="15">
      <c r="A782" s="34" t="s">
        <v>903</v>
      </c>
      <c r="B782" s="52"/>
      <c r="C782" s="53" t="s">
        <v>747</v>
      </c>
      <c r="D782" s="53" t="s">
        <v>680</v>
      </c>
      <c r="E782" s="53" t="s">
        <v>924</v>
      </c>
      <c r="F782" s="37" t="s">
        <v>904</v>
      </c>
      <c r="G782" s="71">
        <v>14053.9</v>
      </c>
      <c r="H782" s="71">
        <v>21626.5</v>
      </c>
      <c r="I782" s="39">
        <f t="shared" si="37"/>
        <v>153.88255217412961</v>
      </c>
    </row>
    <row r="783" spans="1:9" ht="21" customHeight="1">
      <c r="A783" s="84" t="s">
        <v>998</v>
      </c>
      <c r="B783" s="52"/>
      <c r="C783" s="53" t="s">
        <v>747</v>
      </c>
      <c r="D783" s="53" t="s">
        <v>680</v>
      </c>
      <c r="E783" s="53" t="s">
        <v>993</v>
      </c>
      <c r="F783" s="41"/>
      <c r="G783" s="38">
        <f>SUM(G784)</f>
        <v>9413.5</v>
      </c>
      <c r="H783" s="38">
        <f>SUM(H784)</f>
        <v>9412.5</v>
      </c>
      <c r="I783" s="39">
        <f t="shared" si="37"/>
        <v>99.98937695862325</v>
      </c>
    </row>
    <row r="784" spans="1:9" ht="27" customHeight="1">
      <c r="A784" s="54" t="s">
        <v>1003</v>
      </c>
      <c r="B784" s="52"/>
      <c r="C784" s="53" t="s">
        <v>747</v>
      </c>
      <c r="D784" s="53" t="s">
        <v>680</v>
      </c>
      <c r="E784" s="53" t="s">
        <v>1004</v>
      </c>
      <c r="F784" s="41"/>
      <c r="G784" s="38">
        <f>SUM(G785)</f>
        <v>9413.5</v>
      </c>
      <c r="H784" s="38">
        <f>SUM(H785)</f>
        <v>9412.5</v>
      </c>
      <c r="I784" s="39">
        <f t="shared" si="37"/>
        <v>99.98937695862325</v>
      </c>
    </row>
    <row r="785" spans="1:9" ht="28.5">
      <c r="A785" s="40" t="s">
        <v>685</v>
      </c>
      <c r="B785" s="52"/>
      <c r="C785" s="53" t="s">
        <v>747</v>
      </c>
      <c r="D785" s="53" t="s">
        <v>680</v>
      </c>
      <c r="E785" s="53" t="s">
        <v>1004</v>
      </c>
      <c r="F785" s="37" t="s">
        <v>686</v>
      </c>
      <c r="G785" s="71">
        <v>9413.5</v>
      </c>
      <c r="H785" s="71">
        <v>9412.5</v>
      </c>
      <c r="I785" s="39">
        <f t="shared" si="37"/>
        <v>99.98937695862325</v>
      </c>
    </row>
    <row r="786" spans="1:9" ht="15" hidden="1">
      <c r="A786" s="74" t="s">
        <v>742</v>
      </c>
      <c r="B786" s="52"/>
      <c r="C786" s="53" t="s">
        <v>747</v>
      </c>
      <c r="D786" s="53" t="s">
        <v>680</v>
      </c>
      <c r="E786" s="53" t="s">
        <v>743</v>
      </c>
      <c r="F786" s="37"/>
      <c r="G786" s="71">
        <f>SUM(G787)</f>
        <v>0</v>
      </c>
      <c r="H786" s="71">
        <f>SUM(H787)</f>
        <v>0</v>
      </c>
      <c r="I786" s="39" t="e">
        <f t="shared" si="37"/>
        <v>#DIV/0!</v>
      </c>
    </row>
    <row r="787" spans="1:9" ht="15" hidden="1">
      <c r="A787" s="56"/>
      <c r="B787" s="52"/>
      <c r="C787" s="53" t="s">
        <v>747</v>
      </c>
      <c r="D787" s="53" t="s">
        <v>680</v>
      </c>
      <c r="E787" s="53" t="s">
        <v>743</v>
      </c>
      <c r="F787" s="37"/>
      <c r="G787" s="71">
        <f>SUM(G788)</f>
        <v>0</v>
      </c>
      <c r="H787" s="71">
        <f>SUM(H788)</f>
        <v>0</v>
      </c>
      <c r="I787" s="39" t="e">
        <f t="shared" si="37"/>
        <v>#DIV/0!</v>
      </c>
    </row>
    <row r="788" spans="1:9" ht="28.5" hidden="1">
      <c r="A788" s="56" t="s">
        <v>685</v>
      </c>
      <c r="B788" s="52"/>
      <c r="C788" s="53" t="s">
        <v>747</v>
      </c>
      <c r="D788" s="53" t="s">
        <v>680</v>
      </c>
      <c r="E788" s="53" t="s">
        <v>743</v>
      </c>
      <c r="F788" s="37" t="s">
        <v>686</v>
      </c>
      <c r="G788" s="71">
        <f>6000-6000</f>
        <v>0</v>
      </c>
      <c r="H788" s="71">
        <f>6000-6000</f>
        <v>0</v>
      </c>
      <c r="I788" s="39" t="e">
        <f t="shared" si="37"/>
        <v>#DIV/0!</v>
      </c>
    </row>
    <row r="789" spans="1:9" s="2" customFormat="1" ht="21.75" customHeight="1">
      <c r="A789" s="46" t="s">
        <v>1302</v>
      </c>
      <c r="B789" s="47"/>
      <c r="C789" s="81" t="s">
        <v>910</v>
      </c>
      <c r="D789" s="81" t="s">
        <v>1303</v>
      </c>
      <c r="E789" s="81"/>
      <c r="F789" s="68"/>
      <c r="G789" s="71">
        <f>SUM(G790)</f>
        <v>444.3</v>
      </c>
      <c r="H789" s="71">
        <f>SUM(H790)</f>
        <v>444.3</v>
      </c>
      <c r="I789" s="39">
        <f t="shared" si="37"/>
        <v>100</v>
      </c>
    </row>
    <row r="790" spans="1:9" s="55" customFormat="1" ht="14.25" customHeight="1">
      <c r="A790" s="46" t="s">
        <v>1320</v>
      </c>
      <c r="B790" s="35"/>
      <c r="C790" s="81" t="s">
        <v>910</v>
      </c>
      <c r="D790" s="81" t="s">
        <v>688</v>
      </c>
      <c r="E790" s="81"/>
      <c r="F790" s="68"/>
      <c r="G790" s="71">
        <f>SUM(G791+G794+G800)</f>
        <v>444.3</v>
      </c>
      <c r="H790" s="71">
        <f>SUM(H791+H794+H800)</f>
        <v>444.3</v>
      </c>
      <c r="I790" s="39">
        <f t="shared" si="37"/>
        <v>100</v>
      </c>
    </row>
    <row r="791" spans="1:9" s="55" customFormat="1" ht="28.5" customHeight="1" hidden="1">
      <c r="A791" s="54" t="s">
        <v>1321</v>
      </c>
      <c r="B791" s="35"/>
      <c r="C791" s="36" t="s">
        <v>910</v>
      </c>
      <c r="D791" s="53" t="s">
        <v>688</v>
      </c>
      <c r="E791" s="36" t="s">
        <v>1047</v>
      </c>
      <c r="F791" s="37"/>
      <c r="G791" s="71">
        <f>SUM(G792)</f>
        <v>0</v>
      </c>
      <c r="H791" s="71">
        <f>SUM(H792)</f>
        <v>0</v>
      </c>
      <c r="I791" s="39" t="e">
        <f t="shared" si="37"/>
        <v>#DIV/0!</v>
      </c>
    </row>
    <row r="792" spans="1:9" s="55" customFormat="1" ht="30.75" customHeight="1" hidden="1">
      <c r="A792" s="54" t="s">
        <v>1322</v>
      </c>
      <c r="B792" s="35"/>
      <c r="C792" s="53" t="s">
        <v>910</v>
      </c>
      <c r="D792" s="53" t="s">
        <v>688</v>
      </c>
      <c r="E792" s="53" t="s">
        <v>1323</v>
      </c>
      <c r="F792" s="41"/>
      <c r="G792" s="71">
        <f>SUM(G793)</f>
        <v>0</v>
      </c>
      <c r="H792" s="71">
        <f>SUM(H793)</f>
        <v>0</v>
      </c>
      <c r="I792" s="39" t="e">
        <f t="shared" si="37"/>
        <v>#DIV/0!</v>
      </c>
    </row>
    <row r="793" spans="1:9" s="55" customFormat="1" ht="14.25" customHeight="1" hidden="1">
      <c r="A793" s="54" t="s">
        <v>1324</v>
      </c>
      <c r="B793" s="35"/>
      <c r="C793" s="53" t="s">
        <v>910</v>
      </c>
      <c r="D793" s="53" t="s">
        <v>688</v>
      </c>
      <c r="E793" s="53" t="s">
        <v>1323</v>
      </c>
      <c r="F793" s="41" t="s">
        <v>1325</v>
      </c>
      <c r="G793" s="71"/>
      <c r="H793" s="71"/>
      <c r="I793" s="39" t="e">
        <f t="shared" si="37"/>
        <v>#DIV/0!</v>
      </c>
    </row>
    <row r="794" spans="1:9" ht="15">
      <c r="A794" s="40" t="s">
        <v>906</v>
      </c>
      <c r="B794" s="72"/>
      <c r="C794" s="53" t="s">
        <v>910</v>
      </c>
      <c r="D794" s="53" t="s">
        <v>688</v>
      </c>
      <c r="E794" s="53" t="s">
        <v>907</v>
      </c>
      <c r="F794" s="133"/>
      <c r="G794" s="71">
        <f>SUM(G795)</f>
        <v>254.4</v>
      </c>
      <c r="H794" s="71">
        <f>SUM(H795)</f>
        <v>254.4</v>
      </c>
      <c r="I794" s="39">
        <f t="shared" si="37"/>
        <v>100</v>
      </c>
    </row>
    <row r="795" spans="1:9" ht="57">
      <c r="A795" s="34" t="s">
        <v>405</v>
      </c>
      <c r="B795" s="123"/>
      <c r="C795" s="53" t="s">
        <v>910</v>
      </c>
      <c r="D795" s="53" t="s">
        <v>688</v>
      </c>
      <c r="E795" s="53" t="s">
        <v>966</v>
      </c>
      <c r="F795" s="133"/>
      <c r="G795" s="71">
        <f>SUM(G796)+G798</f>
        <v>254.4</v>
      </c>
      <c r="H795" s="71">
        <f>SUM(H796)+H798</f>
        <v>254.4</v>
      </c>
      <c r="I795" s="39">
        <f t="shared" si="37"/>
        <v>100</v>
      </c>
    </row>
    <row r="796" spans="1:9" ht="28.5" customHeight="1">
      <c r="A796" s="34" t="s">
        <v>406</v>
      </c>
      <c r="B796" s="123"/>
      <c r="C796" s="53" t="s">
        <v>910</v>
      </c>
      <c r="D796" s="53" t="s">
        <v>688</v>
      </c>
      <c r="E796" s="53" t="s">
        <v>407</v>
      </c>
      <c r="F796" s="133"/>
      <c r="G796" s="71">
        <f>SUM(G797)</f>
        <v>254.4</v>
      </c>
      <c r="H796" s="71">
        <f>SUM(H797)</f>
        <v>254.4</v>
      </c>
      <c r="I796" s="39">
        <f t="shared" si="37"/>
        <v>100</v>
      </c>
    </row>
    <row r="797" spans="1:9" ht="22.5" customHeight="1">
      <c r="A797" s="54" t="s">
        <v>1324</v>
      </c>
      <c r="B797" s="123"/>
      <c r="C797" s="53" t="s">
        <v>910</v>
      </c>
      <c r="D797" s="53" t="s">
        <v>688</v>
      </c>
      <c r="E797" s="53" t="s">
        <v>407</v>
      </c>
      <c r="F797" s="37" t="s">
        <v>1325</v>
      </c>
      <c r="G797" s="71">
        <v>254.4</v>
      </c>
      <c r="H797" s="71">
        <v>254.4</v>
      </c>
      <c r="I797" s="39">
        <f t="shared" si="37"/>
        <v>100</v>
      </c>
    </row>
    <row r="798" spans="1:9" ht="42.75" hidden="1">
      <c r="A798" s="34" t="s">
        <v>420</v>
      </c>
      <c r="B798" s="123"/>
      <c r="C798" s="53" t="s">
        <v>910</v>
      </c>
      <c r="D798" s="53" t="s">
        <v>688</v>
      </c>
      <c r="E798" s="53" t="s">
        <v>1349</v>
      </c>
      <c r="F798" s="133"/>
      <c r="G798" s="71">
        <f>SUM(G799)</f>
        <v>0</v>
      </c>
      <c r="H798" s="71">
        <f>SUM(H799)</f>
        <v>0</v>
      </c>
      <c r="I798" s="39" t="e">
        <f t="shared" si="37"/>
        <v>#DIV/0!</v>
      </c>
    </row>
    <row r="799" spans="1:9" ht="15" hidden="1">
      <c r="A799" s="34" t="s">
        <v>1324</v>
      </c>
      <c r="B799" s="123"/>
      <c r="C799" s="53" t="s">
        <v>910</v>
      </c>
      <c r="D799" s="53" t="s">
        <v>688</v>
      </c>
      <c r="E799" s="53" t="s">
        <v>1349</v>
      </c>
      <c r="F799" s="133" t="s">
        <v>1325</v>
      </c>
      <c r="G799" s="71"/>
      <c r="H799" s="71"/>
      <c r="I799" s="39" t="e">
        <f t="shared" si="37"/>
        <v>#DIV/0!</v>
      </c>
    </row>
    <row r="800" spans="1:9" ht="15">
      <c r="A800" s="74" t="s">
        <v>742</v>
      </c>
      <c r="B800" s="35"/>
      <c r="C800" s="53" t="s">
        <v>910</v>
      </c>
      <c r="D800" s="53" t="s">
        <v>688</v>
      </c>
      <c r="E800" s="53" t="s">
        <v>743</v>
      </c>
      <c r="F800" s="41"/>
      <c r="G800" s="38">
        <f>SUM(G801)</f>
        <v>189.9</v>
      </c>
      <c r="H800" s="38">
        <f>SUM(H801)</f>
        <v>189.9</v>
      </c>
      <c r="I800" s="39">
        <f t="shared" si="37"/>
        <v>100</v>
      </c>
    </row>
    <row r="801" spans="1:9" ht="28.5">
      <c r="A801" s="46" t="s">
        <v>685</v>
      </c>
      <c r="B801" s="35"/>
      <c r="C801" s="53" t="s">
        <v>910</v>
      </c>
      <c r="D801" s="53" t="s">
        <v>688</v>
      </c>
      <c r="E801" s="53" t="s">
        <v>743</v>
      </c>
      <c r="F801" s="41" t="s">
        <v>686</v>
      </c>
      <c r="G801" s="38">
        <f>SUM(G802:G802)</f>
        <v>189.9</v>
      </c>
      <c r="H801" s="38">
        <f>SUM(H802:H802)</f>
        <v>189.9</v>
      </c>
      <c r="I801" s="39">
        <f t="shared" si="37"/>
        <v>100</v>
      </c>
    </row>
    <row r="802" spans="1:9" ht="42.75">
      <c r="A802" s="46" t="s">
        <v>1013</v>
      </c>
      <c r="B802" s="35"/>
      <c r="C802" s="53" t="s">
        <v>910</v>
      </c>
      <c r="D802" s="53" t="s">
        <v>688</v>
      </c>
      <c r="E802" s="48" t="s">
        <v>1014</v>
      </c>
      <c r="F802" s="37" t="s">
        <v>686</v>
      </c>
      <c r="G802" s="38">
        <f>SUM(G803:G804)</f>
        <v>189.9</v>
      </c>
      <c r="H802" s="38">
        <f>SUM(H803:H804)</f>
        <v>189.9</v>
      </c>
      <c r="I802" s="39">
        <f t="shared" si="37"/>
        <v>100</v>
      </c>
    </row>
    <row r="803" spans="1:9" ht="27" customHeight="1">
      <c r="A803" s="34" t="s">
        <v>406</v>
      </c>
      <c r="B803" s="52"/>
      <c r="C803" s="53" t="s">
        <v>910</v>
      </c>
      <c r="D803" s="53" t="s">
        <v>688</v>
      </c>
      <c r="E803" s="48" t="s">
        <v>1353</v>
      </c>
      <c r="F803" s="37" t="s">
        <v>686</v>
      </c>
      <c r="G803" s="71">
        <f>491.1-491.1+105.3+80.7+3.9</f>
        <v>189.9</v>
      </c>
      <c r="H803" s="71">
        <f>491.1-491.1+105.3+80.7+3.9</f>
        <v>189.9</v>
      </c>
      <c r="I803" s="39">
        <f t="shared" si="37"/>
        <v>100</v>
      </c>
    </row>
    <row r="804" spans="1:9" ht="42.75" customHeight="1" hidden="1">
      <c r="A804" s="34" t="s">
        <v>420</v>
      </c>
      <c r="B804" s="52"/>
      <c r="C804" s="53" t="s">
        <v>910</v>
      </c>
      <c r="D804" s="53" t="s">
        <v>688</v>
      </c>
      <c r="E804" s="48" t="s">
        <v>1355</v>
      </c>
      <c r="F804" s="37" t="s">
        <v>686</v>
      </c>
      <c r="G804" s="71">
        <f>80.7-80.7</f>
        <v>0</v>
      </c>
      <c r="H804" s="39"/>
      <c r="I804" s="39"/>
    </row>
    <row r="805" spans="1:9" ht="60.75" customHeight="1">
      <c r="A805" s="232" t="s">
        <v>421</v>
      </c>
      <c r="B805" s="128" t="s">
        <v>422</v>
      </c>
      <c r="C805" s="64"/>
      <c r="D805" s="126"/>
      <c r="E805" s="126"/>
      <c r="F805" s="127"/>
      <c r="G805" s="230">
        <f>SUM(G806+G815+G842)</f>
        <v>9988.1</v>
      </c>
      <c r="H805" s="230">
        <f>SUM(H806+H815+H842)</f>
        <v>9900.5</v>
      </c>
      <c r="I805" s="39">
        <f>SUM(H805/G805*100)</f>
        <v>99.12295631801844</v>
      </c>
    </row>
    <row r="806" spans="1:9" ht="18.75" customHeight="1" hidden="1">
      <c r="A806" s="34" t="s">
        <v>677</v>
      </c>
      <c r="B806" s="35"/>
      <c r="C806" s="36" t="s">
        <v>678</v>
      </c>
      <c r="D806" s="36"/>
      <c r="E806" s="36"/>
      <c r="F806" s="37"/>
      <c r="G806" s="38">
        <f>SUM(G807+G811)</f>
        <v>0</v>
      </c>
      <c r="H806" s="38">
        <f>SUM(H807+H811)</f>
        <v>0</v>
      </c>
      <c r="I806" s="39"/>
    </row>
    <row r="807" spans="1:9" ht="30.75" customHeight="1" hidden="1">
      <c r="A807" s="40" t="s">
        <v>729</v>
      </c>
      <c r="B807" s="35"/>
      <c r="C807" s="36" t="s">
        <v>678</v>
      </c>
      <c r="D807" s="36" t="s">
        <v>712</v>
      </c>
      <c r="E807" s="36"/>
      <c r="F807" s="37"/>
      <c r="G807" s="38">
        <f aca="true" t="shared" si="38" ref="G807:H809">SUM(G808)</f>
        <v>0</v>
      </c>
      <c r="H807" s="38">
        <f t="shared" si="38"/>
        <v>0</v>
      </c>
      <c r="I807" s="39"/>
    </row>
    <row r="808" spans="1:9" ht="30.75" customHeight="1" hidden="1">
      <c r="A808" s="40" t="s">
        <v>681</v>
      </c>
      <c r="B808" s="35"/>
      <c r="C808" s="36" t="s">
        <v>678</v>
      </c>
      <c r="D808" s="36" t="s">
        <v>712</v>
      </c>
      <c r="E808" s="36" t="s">
        <v>682</v>
      </c>
      <c r="F808" s="41"/>
      <c r="G808" s="38">
        <f t="shared" si="38"/>
        <v>0</v>
      </c>
      <c r="H808" s="38">
        <f t="shared" si="38"/>
        <v>0</v>
      </c>
      <c r="I808" s="39"/>
    </row>
    <row r="809" spans="1:9" ht="20.25" customHeight="1" hidden="1">
      <c r="A809" s="40" t="s">
        <v>689</v>
      </c>
      <c r="B809" s="35"/>
      <c r="C809" s="36" t="s">
        <v>678</v>
      </c>
      <c r="D809" s="36" t="s">
        <v>712</v>
      </c>
      <c r="E809" s="36" t="s">
        <v>691</v>
      </c>
      <c r="F809" s="41"/>
      <c r="G809" s="38">
        <f t="shared" si="38"/>
        <v>0</v>
      </c>
      <c r="H809" s="38">
        <f t="shared" si="38"/>
        <v>0</v>
      </c>
      <c r="I809" s="39"/>
    </row>
    <row r="810" spans="1:9" ht="30.75" customHeight="1" hidden="1">
      <c r="A810" s="40" t="s">
        <v>685</v>
      </c>
      <c r="B810" s="35"/>
      <c r="C810" s="36" t="s">
        <v>678</v>
      </c>
      <c r="D810" s="36" t="s">
        <v>712</v>
      </c>
      <c r="E810" s="36" t="s">
        <v>691</v>
      </c>
      <c r="F810" s="37" t="s">
        <v>686</v>
      </c>
      <c r="G810" s="38"/>
      <c r="H810" s="38"/>
      <c r="I810" s="39"/>
    </row>
    <row r="811" spans="1:9" ht="15" hidden="1">
      <c r="A811" s="40" t="s">
        <v>694</v>
      </c>
      <c r="B811" s="35"/>
      <c r="C811" s="36" t="s">
        <v>678</v>
      </c>
      <c r="D811" s="36" t="s">
        <v>773</v>
      </c>
      <c r="E811" s="36"/>
      <c r="F811" s="41"/>
      <c r="G811" s="38">
        <f>SUM(G812)</f>
        <v>0</v>
      </c>
      <c r="H811" s="38">
        <f>SUM(H812)</f>
        <v>0</v>
      </c>
      <c r="I811" s="39" t="e">
        <f>SUM(H811/G811*100)</f>
        <v>#DIV/0!</v>
      </c>
    </row>
    <row r="812" spans="1:9" ht="28.5" hidden="1">
      <c r="A812" s="54" t="s">
        <v>696</v>
      </c>
      <c r="B812" s="35"/>
      <c r="C812" s="36" t="s">
        <v>678</v>
      </c>
      <c r="D812" s="36" t="s">
        <v>773</v>
      </c>
      <c r="E812" s="36" t="s">
        <v>697</v>
      </c>
      <c r="F812" s="42"/>
      <c r="G812" s="38">
        <f>SUM(G814)</f>
        <v>0</v>
      </c>
      <c r="H812" s="38">
        <f>SUM(H814)</f>
        <v>0</v>
      </c>
      <c r="I812" s="39" t="e">
        <f>SUM(H812/G812*100)</f>
        <v>#DIV/0!</v>
      </c>
    </row>
    <row r="813" spans="1:9" ht="15" hidden="1">
      <c r="A813" s="54" t="s">
        <v>698</v>
      </c>
      <c r="B813" s="35"/>
      <c r="C813" s="36" t="s">
        <v>678</v>
      </c>
      <c r="D813" s="36" t="s">
        <v>773</v>
      </c>
      <c r="E813" s="36" t="s">
        <v>786</v>
      </c>
      <c r="F813" s="42"/>
      <c r="G813" s="38">
        <f>SUM(G814)</f>
        <v>0</v>
      </c>
      <c r="H813" s="38">
        <f>SUM(H814)</f>
        <v>0</v>
      </c>
      <c r="I813" s="39" t="e">
        <f>SUM(H813/G813*100)</f>
        <v>#DIV/0!</v>
      </c>
    </row>
    <row r="814" spans="1:9" ht="27" customHeight="1" hidden="1">
      <c r="A814" s="40" t="s">
        <v>685</v>
      </c>
      <c r="B814" s="35"/>
      <c r="C814" s="36" t="s">
        <v>678</v>
      </c>
      <c r="D814" s="36" t="s">
        <v>773</v>
      </c>
      <c r="E814" s="36" t="s">
        <v>786</v>
      </c>
      <c r="F814" s="42" t="s">
        <v>686</v>
      </c>
      <c r="G814" s="38">
        <f>276.8-276.8</f>
        <v>0</v>
      </c>
      <c r="H814" s="38">
        <f>276.8-276.8</f>
        <v>0</v>
      </c>
      <c r="I814" s="39" t="e">
        <f>SUM(H814/G814*100)</f>
        <v>#DIV/0!</v>
      </c>
    </row>
    <row r="815" spans="1:9" s="83" customFormat="1" ht="15">
      <c r="A815" s="46" t="s">
        <v>700</v>
      </c>
      <c r="B815" s="47"/>
      <c r="C815" s="48" t="s">
        <v>701</v>
      </c>
      <c r="D815" s="48"/>
      <c r="E815" s="48"/>
      <c r="F815" s="133"/>
      <c r="G815" s="38">
        <f>SUM(G816,G822,G836)</f>
        <v>7349.2</v>
      </c>
      <c r="H815" s="38">
        <f>SUM(H816,H822,H836)</f>
        <v>7261.599999999999</v>
      </c>
      <c r="I815" s="82">
        <f aca="true" t="shared" si="39" ref="I815:I857">SUM(H815/G815*100)</f>
        <v>98.80803352745876</v>
      </c>
    </row>
    <row r="816" spans="1:9" s="106" customFormat="1" ht="15.75" customHeight="1">
      <c r="A816" s="40" t="s">
        <v>1101</v>
      </c>
      <c r="B816" s="128"/>
      <c r="C816" s="53" t="s">
        <v>701</v>
      </c>
      <c r="D816" s="53" t="s">
        <v>680</v>
      </c>
      <c r="E816" s="53"/>
      <c r="F816" s="41"/>
      <c r="G816" s="38">
        <f>SUM(G817)</f>
        <v>6841.9</v>
      </c>
      <c r="H816" s="38">
        <f>SUM(H817)</f>
        <v>6841.9</v>
      </c>
      <c r="I816" s="39">
        <f t="shared" si="39"/>
        <v>100</v>
      </c>
    </row>
    <row r="817" spans="1:9" ht="18" customHeight="1">
      <c r="A817" s="34" t="s">
        <v>1126</v>
      </c>
      <c r="B817" s="35"/>
      <c r="C817" s="53" t="s">
        <v>701</v>
      </c>
      <c r="D817" s="53" t="s">
        <v>680</v>
      </c>
      <c r="E817" s="53" t="s">
        <v>1127</v>
      </c>
      <c r="F817" s="41"/>
      <c r="G817" s="38">
        <f>SUM(G818+G820)</f>
        <v>6841.9</v>
      </c>
      <c r="H817" s="38">
        <f>SUM(H818+H820)</f>
        <v>6841.9</v>
      </c>
      <c r="I817" s="39">
        <f t="shared" si="39"/>
        <v>100</v>
      </c>
    </row>
    <row r="818" spans="1:9" ht="28.5" customHeight="1">
      <c r="A818" s="40" t="s">
        <v>780</v>
      </c>
      <c r="B818" s="128"/>
      <c r="C818" s="53" t="s">
        <v>701</v>
      </c>
      <c r="D818" s="53" t="s">
        <v>680</v>
      </c>
      <c r="E818" s="53" t="s">
        <v>1128</v>
      </c>
      <c r="F818" s="41"/>
      <c r="G818" s="38">
        <f>SUM(G819)</f>
        <v>6841.9</v>
      </c>
      <c r="H818" s="38">
        <f>SUM(H819)</f>
        <v>6841.9</v>
      </c>
      <c r="I818" s="39">
        <f t="shared" si="39"/>
        <v>100</v>
      </c>
    </row>
    <row r="819" spans="1:9" ht="15.75" customHeight="1">
      <c r="A819" s="57" t="s">
        <v>782</v>
      </c>
      <c r="B819" s="72"/>
      <c r="C819" s="53" t="s">
        <v>701</v>
      </c>
      <c r="D819" s="53" t="s">
        <v>680</v>
      </c>
      <c r="E819" s="53" t="s">
        <v>1128</v>
      </c>
      <c r="F819" s="42" t="s">
        <v>783</v>
      </c>
      <c r="G819" s="38">
        <f>6819+23.2-0.3</f>
        <v>6841.9</v>
      </c>
      <c r="H819" s="38">
        <f>6819+23.2-0.3</f>
        <v>6841.9</v>
      </c>
      <c r="I819" s="39">
        <f t="shared" si="39"/>
        <v>100</v>
      </c>
    </row>
    <row r="820" spans="1:9" ht="15.75" customHeight="1" hidden="1">
      <c r="A820" s="57" t="s">
        <v>1089</v>
      </c>
      <c r="B820" s="72"/>
      <c r="C820" s="53" t="s">
        <v>701</v>
      </c>
      <c r="D820" s="53" t="s">
        <v>680</v>
      </c>
      <c r="E820" s="73" t="s">
        <v>1131</v>
      </c>
      <c r="F820" s="42"/>
      <c r="G820" s="38">
        <f>SUM(G821)</f>
        <v>0</v>
      </c>
      <c r="H820" s="38">
        <f>SUM(H821)</f>
        <v>0</v>
      </c>
      <c r="I820" s="39"/>
    </row>
    <row r="821" spans="1:9" ht="27.75" customHeight="1" hidden="1">
      <c r="A821" s="57" t="s">
        <v>1091</v>
      </c>
      <c r="B821" s="72"/>
      <c r="C821" s="53" t="s">
        <v>701</v>
      </c>
      <c r="D821" s="53" t="s">
        <v>680</v>
      </c>
      <c r="E821" s="73" t="s">
        <v>1131</v>
      </c>
      <c r="F821" s="42" t="s">
        <v>1092</v>
      </c>
      <c r="G821" s="38"/>
      <c r="H821" s="38"/>
      <c r="I821" s="39"/>
    </row>
    <row r="822" spans="1:9" ht="17.25" customHeight="1">
      <c r="A822" s="40" t="s">
        <v>702</v>
      </c>
      <c r="B822" s="43"/>
      <c r="C822" s="36" t="s">
        <v>701</v>
      </c>
      <c r="D822" s="36" t="s">
        <v>701</v>
      </c>
      <c r="E822" s="36"/>
      <c r="F822" s="37"/>
      <c r="G822" s="38">
        <f>SUM(G827)</f>
        <v>415.3</v>
      </c>
      <c r="H822" s="38">
        <f>SUM(H827)</f>
        <v>329.79999999999995</v>
      </c>
      <c r="I822" s="39">
        <f t="shared" si="39"/>
        <v>79.41247291114855</v>
      </c>
    </row>
    <row r="823" spans="1:9" ht="15" hidden="1">
      <c r="A823" s="34" t="s">
        <v>769</v>
      </c>
      <c r="B823" s="35"/>
      <c r="C823" s="36" t="s">
        <v>701</v>
      </c>
      <c r="D823" s="36" t="s">
        <v>701</v>
      </c>
      <c r="E823" s="36" t="s">
        <v>771</v>
      </c>
      <c r="F823" s="37"/>
      <c r="G823" s="38">
        <f>SUM(G824)</f>
        <v>0</v>
      </c>
      <c r="H823" s="38">
        <f>SUM(H824)</f>
        <v>0</v>
      </c>
      <c r="I823" s="39" t="e">
        <f t="shared" si="39"/>
        <v>#DIV/0!</v>
      </c>
    </row>
    <row r="824" spans="1:9" ht="15" hidden="1">
      <c r="A824" s="34" t="s">
        <v>740</v>
      </c>
      <c r="B824" s="35"/>
      <c r="C824" s="36" t="s">
        <v>701</v>
      </c>
      <c r="D824" s="36" t="s">
        <v>701</v>
      </c>
      <c r="E824" s="36" t="s">
        <v>741</v>
      </c>
      <c r="F824" s="37"/>
      <c r="G824" s="38">
        <f>SUM(G825+G826)</f>
        <v>0</v>
      </c>
      <c r="H824" s="38">
        <f>SUM(H825+H826)</f>
        <v>0</v>
      </c>
      <c r="I824" s="39" t="e">
        <f t="shared" si="39"/>
        <v>#DIV/0!</v>
      </c>
    </row>
    <row r="825" spans="1:9" ht="15" hidden="1">
      <c r="A825" s="57" t="s">
        <v>782</v>
      </c>
      <c r="B825" s="52"/>
      <c r="C825" s="36" t="s">
        <v>701</v>
      </c>
      <c r="D825" s="36" t="s">
        <v>701</v>
      </c>
      <c r="E825" s="36" t="s">
        <v>741</v>
      </c>
      <c r="F825" s="41" t="s">
        <v>783</v>
      </c>
      <c r="G825" s="38"/>
      <c r="H825" s="38"/>
      <c r="I825" s="39" t="e">
        <f t="shared" si="39"/>
        <v>#DIV/0!</v>
      </c>
    </row>
    <row r="826" spans="1:9" ht="15" hidden="1">
      <c r="A826" s="57" t="s">
        <v>1163</v>
      </c>
      <c r="B826" s="52"/>
      <c r="C826" s="36" t="s">
        <v>701</v>
      </c>
      <c r="D826" s="36" t="s">
        <v>701</v>
      </c>
      <c r="E826" s="36" t="s">
        <v>741</v>
      </c>
      <c r="F826" s="41" t="s">
        <v>1164</v>
      </c>
      <c r="G826" s="38"/>
      <c r="H826" s="38"/>
      <c r="I826" s="39" t="e">
        <f t="shared" si="39"/>
        <v>#DIV/0!</v>
      </c>
    </row>
    <row r="827" spans="1:9" ht="28.5">
      <c r="A827" s="51" t="s">
        <v>1165</v>
      </c>
      <c r="B827" s="52"/>
      <c r="C827" s="53" t="s">
        <v>701</v>
      </c>
      <c r="D827" s="53" t="s">
        <v>701</v>
      </c>
      <c r="E827" s="53" t="s">
        <v>1166</v>
      </c>
      <c r="F827" s="41"/>
      <c r="G827" s="38">
        <f>SUM(G828+G834)</f>
        <v>415.3</v>
      </c>
      <c r="H827" s="38">
        <f>SUM(H828+H834)</f>
        <v>329.79999999999995</v>
      </c>
      <c r="I827" s="39">
        <f t="shared" si="39"/>
        <v>79.41247291114855</v>
      </c>
    </row>
    <row r="828" spans="1:9" ht="18" customHeight="1">
      <c r="A828" s="51" t="s">
        <v>1167</v>
      </c>
      <c r="B828" s="53"/>
      <c r="C828" s="53" t="s">
        <v>701</v>
      </c>
      <c r="D828" s="53" t="s">
        <v>701</v>
      </c>
      <c r="E828" s="53" t="s">
        <v>1168</v>
      </c>
      <c r="F828" s="41"/>
      <c r="G828" s="38">
        <f>SUM(G829,G832,G830)</f>
        <v>151.3</v>
      </c>
      <c r="H828" s="38">
        <f>SUM(H829,H832,H830)</f>
        <v>65.9</v>
      </c>
      <c r="I828" s="39">
        <f t="shared" si="39"/>
        <v>43.555849306014544</v>
      </c>
    </row>
    <row r="829" spans="1:9" ht="13.5" customHeight="1">
      <c r="A829" s="57" t="s">
        <v>782</v>
      </c>
      <c r="B829" s="52"/>
      <c r="C829" s="53" t="s">
        <v>701</v>
      </c>
      <c r="D829" s="53" t="s">
        <v>701</v>
      </c>
      <c r="E829" s="53" t="s">
        <v>1168</v>
      </c>
      <c r="F829" s="41" t="s">
        <v>783</v>
      </c>
      <c r="G829" s="38">
        <v>20.9</v>
      </c>
      <c r="H829" s="38">
        <v>20.9</v>
      </c>
      <c r="I829" s="39">
        <f t="shared" si="39"/>
        <v>100</v>
      </c>
    </row>
    <row r="830" spans="1:9" ht="27.75" customHeight="1">
      <c r="A830" s="57" t="s">
        <v>1169</v>
      </c>
      <c r="B830" s="52"/>
      <c r="C830" s="53" t="s">
        <v>701</v>
      </c>
      <c r="D830" s="53" t="s">
        <v>701</v>
      </c>
      <c r="E830" s="53" t="s">
        <v>1170</v>
      </c>
      <c r="F830" s="41"/>
      <c r="G830" s="38">
        <f>SUM(G831)</f>
        <v>45</v>
      </c>
      <c r="H830" s="38">
        <f>SUM(H831)</f>
        <v>45</v>
      </c>
      <c r="I830" s="39">
        <f t="shared" si="39"/>
        <v>100</v>
      </c>
    </row>
    <row r="831" spans="1:9" ht="13.5" customHeight="1">
      <c r="A831" s="57" t="s">
        <v>782</v>
      </c>
      <c r="B831" s="52"/>
      <c r="C831" s="53" t="s">
        <v>701</v>
      </c>
      <c r="D831" s="53" t="s">
        <v>701</v>
      </c>
      <c r="E831" s="53" t="s">
        <v>1170</v>
      </c>
      <c r="F831" s="41" t="s">
        <v>783</v>
      </c>
      <c r="G831" s="38">
        <v>45</v>
      </c>
      <c r="H831" s="38">
        <v>45</v>
      </c>
      <c r="I831" s="39">
        <f t="shared" si="39"/>
        <v>100</v>
      </c>
    </row>
    <row r="832" spans="1:9" ht="57.75" customHeight="1">
      <c r="A832" s="57" t="s">
        <v>1171</v>
      </c>
      <c r="B832" s="52"/>
      <c r="C832" s="53" t="s">
        <v>701</v>
      </c>
      <c r="D832" s="53" t="s">
        <v>701</v>
      </c>
      <c r="E832" s="53" t="s">
        <v>1172</v>
      </c>
      <c r="F832" s="41"/>
      <c r="G832" s="38">
        <f>SUM(G833)</f>
        <v>85.4</v>
      </c>
      <c r="H832" s="38">
        <f>SUM(H833)</f>
        <v>0</v>
      </c>
      <c r="I832" s="39">
        <f t="shared" si="39"/>
        <v>0</v>
      </c>
    </row>
    <row r="833" spans="1:9" ht="13.5" customHeight="1">
      <c r="A833" s="57" t="s">
        <v>782</v>
      </c>
      <c r="B833" s="52"/>
      <c r="C833" s="53" t="s">
        <v>701</v>
      </c>
      <c r="D833" s="53" t="s">
        <v>701</v>
      </c>
      <c r="E833" s="53" t="s">
        <v>1172</v>
      </c>
      <c r="F833" s="41" t="s">
        <v>783</v>
      </c>
      <c r="G833" s="38">
        <v>85.4</v>
      </c>
      <c r="H833" s="38"/>
      <c r="I833" s="39">
        <f t="shared" si="39"/>
        <v>0</v>
      </c>
    </row>
    <row r="834" spans="1:9" ht="36" customHeight="1">
      <c r="A834" s="34" t="s">
        <v>780</v>
      </c>
      <c r="B834" s="52"/>
      <c r="C834" s="53" t="s">
        <v>701</v>
      </c>
      <c r="D834" s="53" t="s">
        <v>701</v>
      </c>
      <c r="E834" s="53" t="s">
        <v>1173</v>
      </c>
      <c r="F834" s="41"/>
      <c r="G834" s="38">
        <f>SUM(G835)</f>
        <v>264</v>
      </c>
      <c r="H834" s="38">
        <f>SUM(H835)</f>
        <v>263.9</v>
      </c>
      <c r="I834" s="39">
        <f t="shared" si="39"/>
        <v>99.9621212121212</v>
      </c>
    </row>
    <row r="835" spans="1:9" ht="18.75" customHeight="1">
      <c r="A835" s="57" t="s">
        <v>782</v>
      </c>
      <c r="B835" s="52"/>
      <c r="C835" s="53" t="s">
        <v>701</v>
      </c>
      <c r="D835" s="53" t="s">
        <v>701</v>
      </c>
      <c r="E835" s="53" t="s">
        <v>1173</v>
      </c>
      <c r="F835" s="41" t="s">
        <v>783</v>
      </c>
      <c r="G835" s="38">
        <f>273.3-9.3</f>
        <v>264</v>
      </c>
      <c r="H835" s="38">
        <v>263.9</v>
      </c>
      <c r="I835" s="39">
        <f t="shared" si="39"/>
        <v>99.9621212121212</v>
      </c>
    </row>
    <row r="836" spans="1:9" ht="18.75" customHeight="1">
      <c r="A836" s="57" t="s">
        <v>1188</v>
      </c>
      <c r="B836" s="52"/>
      <c r="C836" s="53" t="s">
        <v>701</v>
      </c>
      <c r="D836" s="53" t="s">
        <v>887</v>
      </c>
      <c r="E836" s="53"/>
      <c r="F836" s="41"/>
      <c r="G836" s="38">
        <f>SUM(G837)</f>
        <v>92</v>
      </c>
      <c r="H836" s="38">
        <f>SUM(H837)</f>
        <v>89.9</v>
      </c>
      <c r="I836" s="39">
        <f t="shared" si="39"/>
        <v>97.71739130434783</v>
      </c>
    </row>
    <row r="837" spans="1:9" ht="21" customHeight="1">
      <c r="A837" s="74" t="s">
        <v>742</v>
      </c>
      <c r="B837" s="75"/>
      <c r="C837" s="53" t="s">
        <v>701</v>
      </c>
      <c r="D837" s="53" t="s">
        <v>887</v>
      </c>
      <c r="E837" s="53" t="s">
        <v>743</v>
      </c>
      <c r="F837" s="42"/>
      <c r="G837" s="38">
        <f>SUM(G838)</f>
        <v>92</v>
      </c>
      <c r="H837" s="38">
        <f>SUM(H838)</f>
        <v>89.9</v>
      </c>
      <c r="I837" s="39">
        <f t="shared" si="39"/>
        <v>97.71739130434783</v>
      </c>
    </row>
    <row r="838" spans="1:9" ht="19.5" customHeight="1">
      <c r="A838" s="74" t="s">
        <v>1163</v>
      </c>
      <c r="B838" s="75"/>
      <c r="C838" s="53" t="s">
        <v>701</v>
      </c>
      <c r="D838" s="53" t="s">
        <v>887</v>
      </c>
      <c r="E838" s="53" t="s">
        <v>743</v>
      </c>
      <c r="F838" s="42" t="s">
        <v>1164</v>
      </c>
      <c r="G838" s="38">
        <f>SUM(G839,G840,G841)</f>
        <v>92</v>
      </c>
      <c r="H838" s="38">
        <f>SUM(H839,H840,H841)</f>
        <v>89.9</v>
      </c>
      <c r="I838" s="39">
        <f t="shared" si="39"/>
        <v>97.71739130434783</v>
      </c>
    </row>
    <row r="839" spans="1:9" ht="45" customHeight="1">
      <c r="A839" s="74" t="s">
        <v>1213</v>
      </c>
      <c r="B839" s="75"/>
      <c r="C839" s="53" t="s">
        <v>701</v>
      </c>
      <c r="D839" s="53" t="s">
        <v>887</v>
      </c>
      <c r="E839" s="53" t="s">
        <v>1214</v>
      </c>
      <c r="F839" s="42" t="s">
        <v>1164</v>
      </c>
      <c r="G839" s="38">
        <v>55.1</v>
      </c>
      <c r="H839" s="38">
        <v>55.1</v>
      </c>
      <c r="I839" s="39">
        <f t="shared" si="39"/>
        <v>100</v>
      </c>
    </row>
    <row r="840" spans="1:9" ht="71.25" customHeight="1">
      <c r="A840" s="74" t="s">
        <v>1217</v>
      </c>
      <c r="B840" s="75"/>
      <c r="C840" s="53" t="s">
        <v>701</v>
      </c>
      <c r="D840" s="53" t="s">
        <v>887</v>
      </c>
      <c r="E840" s="53" t="s">
        <v>1218</v>
      </c>
      <c r="F840" s="42" t="s">
        <v>1164</v>
      </c>
      <c r="G840" s="38">
        <f>46.9-22.7</f>
        <v>24.2</v>
      </c>
      <c r="H840" s="38">
        <v>22.1</v>
      </c>
      <c r="I840" s="39">
        <f t="shared" si="39"/>
        <v>91.32231404958678</v>
      </c>
    </row>
    <row r="841" spans="1:9" ht="33.75" customHeight="1">
      <c r="A841" s="74" t="s">
        <v>1219</v>
      </c>
      <c r="B841" s="75"/>
      <c r="C841" s="53" t="s">
        <v>701</v>
      </c>
      <c r="D841" s="53" t="s">
        <v>887</v>
      </c>
      <c r="E841" s="53" t="s">
        <v>1220</v>
      </c>
      <c r="F841" s="42" t="s">
        <v>1164</v>
      </c>
      <c r="G841" s="38">
        <v>12.7</v>
      </c>
      <c r="H841" s="38">
        <v>12.7</v>
      </c>
      <c r="I841" s="39">
        <f t="shared" si="39"/>
        <v>100</v>
      </c>
    </row>
    <row r="842" spans="1:9" s="83" customFormat="1" ht="15">
      <c r="A842" s="46" t="s">
        <v>1253</v>
      </c>
      <c r="B842" s="47"/>
      <c r="C842" s="48" t="s">
        <v>887</v>
      </c>
      <c r="D842" s="48"/>
      <c r="E842" s="48"/>
      <c r="F842" s="133"/>
      <c r="G842" s="71">
        <f>SUM(G843+G849)</f>
        <v>2638.9</v>
      </c>
      <c r="H842" s="71">
        <f>SUM(H843+H849)</f>
        <v>2638.9</v>
      </c>
      <c r="I842" s="39">
        <f t="shared" si="39"/>
        <v>100</v>
      </c>
    </row>
    <row r="843" spans="1:9" ht="15">
      <c r="A843" s="34" t="s">
        <v>1281</v>
      </c>
      <c r="B843" s="35"/>
      <c r="C843" s="36" t="s">
        <v>887</v>
      </c>
      <c r="D843" s="36" t="s">
        <v>714</v>
      </c>
      <c r="E843" s="36"/>
      <c r="F843" s="37"/>
      <c r="G843" s="38">
        <f>SUM(G844,G846)</f>
        <v>524.9</v>
      </c>
      <c r="H843" s="38">
        <f>SUM(H844,H846)</f>
        <v>524.9</v>
      </c>
      <c r="I843" s="39">
        <f t="shared" si="39"/>
        <v>100</v>
      </c>
    </row>
    <row r="844" spans="1:9" ht="15" hidden="1">
      <c r="A844" s="57" t="s">
        <v>740</v>
      </c>
      <c r="B844" s="35"/>
      <c r="C844" s="36" t="s">
        <v>887</v>
      </c>
      <c r="D844" s="36" t="s">
        <v>714</v>
      </c>
      <c r="E844" s="53" t="s">
        <v>741</v>
      </c>
      <c r="F844" s="41"/>
      <c r="G844" s="38">
        <f>SUM(G845)</f>
        <v>0</v>
      </c>
      <c r="H844" s="38">
        <f>SUM(H845)</f>
        <v>0</v>
      </c>
      <c r="I844" s="39" t="e">
        <f t="shared" si="39"/>
        <v>#DIV/0!</v>
      </c>
    </row>
    <row r="845" spans="1:9" ht="28.5" hidden="1">
      <c r="A845" s="40" t="s">
        <v>685</v>
      </c>
      <c r="B845" s="35"/>
      <c r="C845" s="36" t="s">
        <v>887</v>
      </c>
      <c r="D845" s="36" t="s">
        <v>714</v>
      </c>
      <c r="E845" s="53" t="s">
        <v>741</v>
      </c>
      <c r="F845" s="41" t="s">
        <v>686</v>
      </c>
      <c r="G845" s="38">
        <f>50.3-50.3</f>
        <v>0</v>
      </c>
      <c r="H845" s="38">
        <f>50.3-50.3</f>
        <v>0</v>
      </c>
      <c r="I845" s="39" t="e">
        <f t="shared" si="39"/>
        <v>#DIV/0!</v>
      </c>
    </row>
    <row r="846" spans="1:9" ht="28.5">
      <c r="A846" s="34" t="s">
        <v>1282</v>
      </c>
      <c r="B846" s="35"/>
      <c r="C846" s="36" t="s">
        <v>887</v>
      </c>
      <c r="D846" s="36" t="s">
        <v>714</v>
      </c>
      <c r="E846" s="64" t="s">
        <v>1152</v>
      </c>
      <c r="F846" s="37"/>
      <c r="G846" s="38">
        <f>SUM(G847)</f>
        <v>524.9</v>
      </c>
      <c r="H846" s="38">
        <f>SUM(H847)</f>
        <v>524.9</v>
      </c>
      <c r="I846" s="39">
        <f t="shared" si="39"/>
        <v>100</v>
      </c>
    </row>
    <row r="847" spans="1:9" ht="30" customHeight="1">
      <c r="A847" s="34" t="s">
        <v>1110</v>
      </c>
      <c r="B847" s="35"/>
      <c r="C847" s="36" t="s">
        <v>887</v>
      </c>
      <c r="D847" s="36" t="s">
        <v>714</v>
      </c>
      <c r="E847" s="64" t="s">
        <v>1153</v>
      </c>
      <c r="F847" s="37"/>
      <c r="G847" s="38">
        <f>SUM(G848)</f>
        <v>524.9</v>
      </c>
      <c r="H847" s="38">
        <f>SUM(H848)</f>
        <v>524.9</v>
      </c>
      <c r="I847" s="39">
        <f t="shared" si="39"/>
        <v>100</v>
      </c>
    </row>
    <row r="848" spans="1:9" ht="30" customHeight="1">
      <c r="A848" s="40" t="s">
        <v>685</v>
      </c>
      <c r="B848" s="35"/>
      <c r="C848" s="36" t="s">
        <v>887</v>
      </c>
      <c r="D848" s="36" t="s">
        <v>714</v>
      </c>
      <c r="E848" s="64" t="s">
        <v>1153</v>
      </c>
      <c r="F848" s="37" t="s">
        <v>686</v>
      </c>
      <c r="G848" s="38">
        <v>524.9</v>
      </c>
      <c r="H848" s="38">
        <v>524.9</v>
      </c>
      <c r="I848" s="39">
        <f t="shared" si="39"/>
        <v>100</v>
      </c>
    </row>
    <row r="849" spans="1:9" ht="28.5">
      <c r="A849" s="34" t="s">
        <v>1285</v>
      </c>
      <c r="B849" s="35"/>
      <c r="C849" s="53" t="s">
        <v>887</v>
      </c>
      <c r="D849" s="53" t="s">
        <v>910</v>
      </c>
      <c r="E849" s="53"/>
      <c r="F849" s="41"/>
      <c r="G849" s="38">
        <f>SUM(G850+G853+G855)</f>
        <v>2114</v>
      </c>
      <c r="H849" s="38">
        <f>SUM(H850+H853+H855)</f>
        <v>2114</v>
      </c>
      <c r="I849" s="39">
        <f t="shared" si="39"/>
        <v>100</v>
      </c>
    </row>
    <row r="850" spans="1:9" ht="45.75" customHeight="1">
      <c r="A850" s="40" t="s">
        <v>681</v>
      </c>
      <c r="B850" s="35"/>
      <c r="C850" s="53" t="s">
        <v>887</v>
      </c>
      <c r="D850" s="53" t="s">
        <v>910</v>
      </c>
      <c r="E850" s="36" t="s">
        <v>682</v>
      </c>
      <c r="F850" s="41"/>
      <c r="G850" s="38">
        <f>SUM(G851)</f>
        <v>1832.8</v>
      </c>
      <c r="H850" s="38">
        <f>SUM(H851)</f>
        <v>1832.8</v>
      </c>
      <c r="I850" s="39">
        <f t="shared" si="39"/>
        <v>100</v>
      </c>
    </row>
    <row r="851" spans="1:9" ht="20.25" customHeight="1">
      <c r="A851" s="40" t="s">
        <v>689</v>
      </c>
      <c r="B851" s="35"/>
      <c r="C851" s="53" t="s">
        <v>887</v>
      </c>
      <c r="D851" s="53" t="s">
        <v>910</v>
      </c>
      <c r="E851" s="36" t="s">
        <v>691</v>
      </c>
      <c r="F851" s="41"/>
      <c r="G851" s="38">
        <f>SUM(G852)</f>
        <v>1832.8</v>
      </c>
      <c r="H851" s="38">
        <f>SUM(H852)</f>
        <v>1832.8</v>
      </c>
      <c r="I851" s="39">
        <f t="shared" si="39"/>
        <v>100</v>
      </c>
    </row>
    <row r="852" spans="1:9" ht="30.75" customHeight="1">
      <c r="A852" s="40" t="s">
        <v>685</v>
      </c>
      <c r="B852" s="35"/>
      <c r="C852" s="53" t="s">
        <v>887</v>
      </c>
      <c r="D852" s="53" t="s">
        <v>910</v>
      </c>
      <c r="E852" s="36" t="s">
        <v>691</v>
      </c>
      <c r="F852" s="37" t="s">
        <v>686</v>
      </c>
      <c r="G852" s="38">
        <f>1809.8+23</f>
        <v>1832.8</v>
      </c>
      <c r="H852" s="38">
        <f>1809.8+23</f>
        <v>1832.8</v>
      </c>
      <c r="I852" s="39">
        <f t="shared" si="39"/>
        <v>100</v>
      </c>
    </row>
    <row r="853" spans="1:9" ht="15">
      <c r="A853" s="57" t="s">
        <v>740</v>
      </c>
      <c r="B853" s="35"/>
      <c r="C853" s="36" t="s">
        <v>887</v>
      </c>
      <c r="D853" s="36" t="s">
        <v>910</v>
      </c>
      <c r="E853" s="53" t="s">
        <v>741</v>
      </c>
      <c r="F853" s="41"/>
      <c r="G853" s="38">
        <f>SUM(G854)</f>
        <v>5.3</v>
      </c>
      <c r="H853" s="38">
        <f>SUM(H854)</f>
        <v>5.3</v>
      </c>
      <c r="I853" s="39">
        <f t="shared" si="39"/>
        <v>100</v>
      </c>
    </row>
    <row r="854" spans="1:9" ht="28.5">
      <c r="A854" s="40" t="s">
        <v>685</v>
      </c>
      <c r="B854" s="35"/>
      <c r="C854" s="36" t="s">
        <v>887</v>
      </c>
      <c r="D854" s="36" t="s">
        <v>910</v>
      </c>
      <c r="E854" s="53" t="s">
        <v>741</v>
      </c>
      <c r="F854" s="41" t="s">
        <v>686</v>
      </c>
      <c r="G854" s="38">
        <v>5.3</v>
      </c>
      <c r="H854" s="38">
        <v>5.3</v>
      </c>
      <c r="I854" s="39">
        <f t="shared" si="39"/>
        <v>100</v>
      </c>
    </row>
    <row r="855" spans="1:9" ht="28.5">
      <c r="A855" s="54" t="s">
        <v>696</v>
      </c>
      <c r="B855" s="35"/>
      <c r="C855" s="36" t="s">
        <v>887</v>
      </c>
      <c r="D855" s="36" t="s">
        <v>910</v>
      </c>
      <c r="E855" s="36" t="s">
        <v>697</v>
      </c>
      <c r="F855" s="42"/>
      <c r="G855" s="38">
        <f>SUM(G857)</f>
        <v>275.9</v>
      </c>
      <c r="H855" s="38">
        <f>SUM(H857)</f>
        <v>275.9</v>
      </c>
      <c r="I855" s="39">
        <f t="shared" si="39"/>
        <v>100</v>
      </c>
    </row>
    <row r="856" spans="1:9" ht="15">
      <c r="A856" s="54" t="s">
        <v>698</v>
      </c>
      <c r="B856" s="35"/>
      <c r="C856" s="36" t="s">
        <v>887</v>
      </c>
      <c r="D856" s="36" t="s">
        <v>910</v>
      </c>
      <c r="E856" s="36" t="s">
        <v>786</v>
      </c>
      <c r="F856" s="42"/>
      <c r="G856" s="38">
        <f>SUM(G857)</f>
        <v>275.9</v>
      </c>
      <c r="H856" s="38">
        <f>SUM(H857)</f>
        <v>275.9</v>
      </c>
      <c r="I856" s="39">
        <f t="shared" si="39"/>
        <v>100</v>
      </c>
    </row>
    <row r="857" spans="1:9" ht="27" customHeight="1">
      <c r="A857" s="40" t="s">
        <v>685</v>
      </c>
      <c r="B857" s="35"/>
      <c r="C857" s="36" t="s">
        <v>887</v>
      </c>
      <c r="D857" s="36" t="s">
        <v>910</v>
      </c>
      <c r="E857" s="36" t="s">
        <v>786</v>
      </c>
      <c r="F857" s="42" t="s">
        <v>686</v>
      </c>
      <c r="G857" s="38">
        <v>275.9</v>
      </c>
      <c r="H857" s="38">
        <v>275.9</v>
      </c>
      <c r="I857" s="39">
        <f t="shared" si="39"/>
        <v>100</v>
      </c>
    </row>
    <row r="858" spans="1:9" ht="30" customHeight="1">
      <c r="A858" s="232" t="s">
        <v>423</v>
      </c>
      <c r="B858" s="128" t="s">
        <v>424</v>
      </c>
      <c r="C858" s="64"/>
      <c r="D858" s="126"/>
      <c r="E858" s="126"/>
      <c r="F858" s="127"/>
      <c r="G858" s="230">
        <f>SUM(G859)</f>
        <v>57979.799999999996</v>
      </c>
      <c r="H858" s="231">
        <f>SUM(H859)</f>
        <v>57808</v>
      </c>
      <c r="I858" s="63">
        <f aca="true" t="shared" si="40" ref="I858:I921">SUM(H858/G858*100)</f>
        <v>99.70368990579477</v>
      </c>
    </row>
    <row r="859" spans="1:9" ht="25.5" customHeight="1">
      <c r="A859" s="34" t="s">
        <v>799</v>
      </c>
      <c r="B859" s="35"/>
      <c r="C859" s="36" t="s">
        <v>688</v>
      </c>
      <c r="D859" s="36"/>
      <c r="E859" s="36"/>
      <c r="F859" s="37"/>
      <c r="G859" s="38">
        <f>SUM(G860)</f>
        <v>57979.799999999996</v>
      </c>
      <c r="H859" s="39">
        <f>SUM(H860)</f>
        <v>57808</v>
      </c>
      <c r="I859" s="39">
        <f t="shared" si="40"/>
        <v>99.70368990579477</v>
      </c>
    </row>
    <row r="860" spans="1:9" ht="21" customHeight="1">
      <c r="A860" s="34" t="s">
        <v>800</v>
      </c>
      <c r="B860" s="35"/>
      <c r="C860" s="36" t="s">
        <v>688</v>
      </c>
      <c r="D860" s="36" t="s">
        <v>680</v>
      </c>
      <c r="E860" s="36"/>
      <c r="F860" s="37"/>
      <c r="G860" s="38">
        <f>SUM(G861+G878)</f>
        <v>57979.799999999996</v>
      </c>
      <c r="H860" s="39">
        <f>SUM(H861+H878)</f>
        <v>57808</v>
      </c>
      <c r="I860" s="39">
        <f t="shared" si="40"/>
        <v>99.70368990579477</v>
      </c>
    </row>
    <row r="861" spans="1:9" ht="18" customHeight="1">
      <c r="A861" s="54" t="s">
        <v>801</v>
      </c>
      <c r="B861" s="35"/>
      <c r="C861" s="36" t="s">
        <v>688</v>
      </c>
      <c r="D861" s="36" t="s">
        <v>680</v>
      </c>
      <c r="E861" s="64" t="s">
        <v>802</v>
      </c>
      <c r="F861" s="37"/>
      <c r="G861" s="38">
        <f>SUM(G862+G864+G866+G868+G871+G876)</f>
        <v>56579.799999999996</v>
      </c>
      <c r="H861" s="39">
        <f>SUM(H862+H864+H866+H868+H871+H876)</f>
        <v>56408</v>
      </c>
      <c r="I861" s="39">
        <f t="shared" si="40"/>
        <v>99.69635806418546</v>
      </c>
    </row>
    <row r="862" spans="1:9" ht="70.5" customHeight="1">
      <c r="A862" s="54" t="s">
        <v>803</v>
      </c>
      <c r="B862" s="35"/>
      <c r="C862" s="36" t="s">
        <v>688</v>
      </c>
      <c r="D862" s="36" t="s">
        <v>680</v>
      </c>
      <c r="E862" s="64" t="s">
        <v>804</v>
      </c>
      <c r="F862" s="37"/>
      <c r="G862" s="38">
        <f>SUM(G863)</f>
        <v>5085</v>
      </c>
      <c r="H862" s="39">
        <f>SUM(H863)</f>
        <v>5085</v>
      </c>
      <c r="I862" s="39">
        <f t="shared" si="40"/>
        <v>100</v>
      </c>
    </row>
    <row r="863" spans="1:9" ht="42.75">
      <c r="A863" s="54" t="s">
        <v>805</v>
      </c>
      <c r="B863" s="35"/>
      <c r="C863" s="36" t="s">
        <v>688</v>
      </c>
      <c r="D863" s="36" t="s">
        <v>680</v>
      </c>
      <c r="E863" s="64" t="s">
        <v>804</v>
      </c>
      <c r="F863" s="37" t="s">
        <v>806</v>
      </c>
      <c r="G863" s="38">
        <v>5085</v>
      </c>
      <c r="H863" s="39">
        <v>5085</v>
      </c>
      <c r="I863" s="39">
        <f t="shared" si="40"/>
        <v>100</v>
      </c>
    </row>
    <row r="864" spans="1:9" ht="21" customHeight="1">
      <c r="A864" s="54" t="s">
        <v>807</v>
      </c>
      <c r="B864" s="35"/>
      <c r="C864" s="36" t="s">
        <v>688</v>
      </c>
      <c r="D864" s="36" t="s">
        <v>680</v>
      </c>
      <c r="E864" s="64" t="s">
        <v>808</v>
      </c>
      <c r="F864" s="37"/>
      <c r="G864" s="38">
        <f>SUM(G865)</f>
        <v>34803.2</v>
      </c>
      <c r="H864" s="39">
        <f>SUM(H865)</f>
        <v>34699.1</v>
      </c>
      <c r="I864" s="39">
        <f t="shared" si="40"/>
        <v>99.70088957337256</v>
      </c>
    </row>
    <row r="865" spans="1:9" ht="43.5" customHeight="1">
      <c r="A865" s="54" t="s">
        <v>805</v>
      </c>
      <c r="B865" s="35"/>
      <c r="C865" s="36" t="s">
        <v>688</v>
      </c>
      <c r="D865" s="36" t="s">
        <v>680</v>
      </c>
      <c r="E865" s="64" t="s">
        <v>808</v>
      </c>
      <c r="F865" s="37" t="s">
        <v>806</v>
      </c>
      <c r="G865" s="38">
        <v>34803.2</v>
      </c>
      <c r="H865" s="39">
        <v>34699.1</v>
      </c>
      <c r="I865" s="39">
        <f t="shared" si="40"/>
        <v>99.70088957337256</v>
      </c>
    </row>
    <row r="866" spans="1:9" ht="30.75" customHeight="1">
      <c r="A866" s="54" t="s">
        <v>864</v>
      </c>
      <c r="B866" s="35"/>
      <c r="C866" s="36" t="s">
        <v>688</v>
      </c>
      <c r="D866" s="36" t="s">
        <v>680</v>
      </c>
      <c r="E866" s="64" t="s">
        <v>865</v>
      </c>
      <c r="F866" s="37"/>
      <c r="G866" s="38">
        <f>SUM(G867)</f>
        <v>13707.7</v>
      </c>
      <c r="H866" s="39">
        <f>SUM(H867)</f>
        <v>13660.1</v>
      </c>
      <c r="I866" s="39">
        <f t="shared" si="40"/>
        <v>99.65274991428174</v>
      </c>
    </row>
    <row r="867" spans="1:9" ht="43.5" customHeight="1">
      <c r="A867" s="54" t="s">
        <v>805</v>
      </c>
      <c r="B867" s="35"/>
      <c r="C867" s="36" t="s">
        <v>688</v>
      </c>
      <c r="D867" s="36" t="s">
        <v>680</v>
      </c>
      <c r="E867" s="64" t="s">
        <v>865</v>
      </c>
      <c r="F867" s="37" t="s">
        <v>806</v>
      </c>
      <c r="G867" s="38">
        <v>13707.7</v>
      </c>
      <c r="H867" s="39">
        <v>13660.1</v>
      </c>
      <c r="I867" s="39">
        <f t="shared" si="40"/>
        <v>99.65274991428174</v>
      </c>
    </row>
    <row r="868" spans="1:9" s="135" customFormat="1" ht="15">
      <c r="A868" s="54" t="s">
        <v>866</v>
      </c>
      <c r="B868" s="35"/>
      <c r="C868" s="36" t="s">
        <v>688</v>
      </c>
      <c r="D868" s="36" t="s">
        <v>680</v>
      </c>
      <c r="E868" s="64" t="s">
        <v>867</v>
      </c>
      <c r="F868" s="37"/>
      <c r="G868" s="38">
        <f>SUM(G869)</f>
        <v>97.5</v>
      </c>
      <c r="H868" s="39">
        <f>SUM(H869)</f>
        <v>97.5</v>
      </c>
      <c r="I868" s="39">
        <f t="shared" si="40"/>
        <v>100</v>
      </c>
    </row>
    <row r="869" spans="1:9" s="135" customFormat="1" ht="36.75" customHeight="1">
      <c r="A869" s="54" t="s">
        <v>868</v>
      </c>
      <c r="B869" s="35"/>
      <c r="C869" s="36" t="s">
        <v>688</v>
      </c>
      <c r="D869" s="36" t="s">
        <v>680</v>
      </c>
      <c r="E869" s="64" t="s">
        <v>869</v>
      </c>
      <c r="F869" s="37"/>
      <c r="G869" s="38">
        <f>SUM(G870)</f>
        <v>97.5</v>
      </c>
      <c r="H869" s="39">
        <f>SUM(H870)</f>
        <v>97.5</v>
      </c>
      <c r="I869" s="39">
        <f t="shared" si="40"/>
        <v>100</v>
      </c>
    </row>
    <row r="870" spans="1:9" s="135" customFormat="1" ht="42.75">
      <c r="A870" s="54" t="s">
        <v>805</v>
      </c>
      <c r="B870" s="35"/>
      <c r="C870" s="36" t="s">
        <v>688</v>
      </c>
      <c r="D870" s="36" t="s">
        <v>680</v>
      </c>
      <c r="E870" s="64" t="s">
        <v>869</v>
      </c>
      <c r="F870" s="37" t="s">
        <v>806</v>
      </c>
      <c r="G870" s="38">
        <v>97.5</v>
      </c>
      <c r="H870" s="39">
        <v>97.5</v>
      </c>
      <c r="I870" s="39">
        <f t="shared" si="40"/>
        <v>100</v>
      </c>
    </row>
    <row r="871" spans="1:9" s="135" customFormat="1" ht="17.25" customHeight="1">
      <c r="A871" s="34" t="s">
        <v>870</v>
      </c>
      <c r="B871" s="35"/>
      <c r="C871" s="36" t="s">
        <v>871</v>
      </c>
      <c r="D871" s="36" t="s">
        <v>680</v>
      </c>
      <c r="E871" s="64" t="s">
        <v>872</v>
      </c>
      <c r="F871" s="37"/>
      <c r="G871" s="38">
        <f>SUM(G872+G874)</f>
        <v>1225.4</v>
      </c>
      <c r="H871" s="39">
        <f>SUM(H872+H874)</f>
        <v>1225.4</v>
      </c>
      <c r="I871" s="39">
        <f t="shared" si="40"/>
        <v>100</v>
      </c>
    </row>
    <row r="872" spans="1:9" ht="14.25" customHeight="1">
      <c r="A872" s="54" t="s">
        <v>873</v>
      </c>
      <c r="B872" s="35"/>
      <c r="C872" s="36" t="s">
        <v>871</v>
      </c>
      <c r="D872" s="36" t="s">
        <v>680</v>
      </c>
      <c r="E872" s="64" t="s">
        <v>874</v>
      </c>
      <c r="F872" s="37"/>
      <c r="G872" s="38">
        <f>SUM(G873)</f>
        <v>1060</v>
      </c>
      <c r="H872" s="39">
        <f>SUM(H873)</f>
        <v>1060</v>
      </c>
      <c r="I872" s="39">
        <f t="shared" si="40"/>
        <v>100</v>
      </c>
    </row>
    <row r="873" spans="1:9" ht="41.25" customHeight="1">
      <c r="A873" s="54" t="s">
        <v>805</v>
      </c>
      <c r="B873" s="35"/>
      <c r="C873" s="36" t="s">
        <v>871</v>
      </c>
      <c r="D873" s="36" t="s">
        <v>680</v>
      </c>
      <c r="E873" s="64" t="s">
        <v>874</v>
      </c>
      <c r="F873" s="37" t="s">
        <v>806</v>
      </c>
      <c r="G873" s="38">
        <v>1060</v>
      </c>
      <c r="H873" s="39">
        <v>1060</v>
      </c>
      <c r="I873" s="39">
        <f t="shared" si="40"/>
        <v>100</v>
      </c>
    </row>
    <row r="874" spans="1:9" ht="15.75" customHeight="1">
      <c r="A874" s="54" t="s">
        <v>875</v>
      </c>
      <c r="B874" s="35"/>
      <c r="C874" s="36" t="s">
        <v>871</v>
      </c>
      <c r="D874" s="36" t="s">
        <v>680</v>
      </c>
      <c r="E874" s="64" t="s">
        <v>876</v>
      </c>
      <c r="F874" s="37"/>
      <c r="G874" s="38">
        <f>SUM(G875)</f>
        <v>165.4</v>
      </c>
      <c r="H874" s="39">
        <f>SUM(H875)</f>
        <v>165.4</v>
      </c>
      <c r="I874" s="39">
        <f t="shared" si="40"/>
        <v>100</v>
      </c>
    </row>
    <row r="875" spans="1:9" ht="48" customHeight="1">
      <c r="A875" s="54" t="s">
        <v>805</v>
      </c>
      <c r="B875" s="35"/>
      <c r="C875" s="36" t="s">
        <v>871</v>
      </c>
      <c r="D875" s="36" t="s">
        <v>680</v>
      </c>
      <c r="E875" s="64" t="s">
        <v>876</v>
      </c>
      <c r="F875" s="37" t="s">
        <v>806</v>
      </c>
      <c r="G875" s="38">
        <v>165.4</v>
      </c>
      <c r="H875" s="39">
        <v>165.4</v>
      </c>
      <c r="I875" s="39">
        <f t="shared" si="40"/>
        <v>100</v>
      </c>
    </row>
    <row r="876" spans="1:9" ht="47.25" customHeight="1">
      <c r="A876" s="34" t="s">
        <v>877</v>
      </c>
      <c r="B876" s="35"/>
      <c r="C876" s="36" t="s">
        <v>871</v>
      </c>
      <c r="D876" s="36" t="s">
        <v>680</v>
      </c>
      <c r="E876" s="64" t="s">
        <v>878</v>
      </c>
      <c r="F876" s="37"/>
      <c r="G876" s="38">
        <f>SUM(G877)</f>
        <v>1661</v>
      </c>
      <c r="H876" s="39">
        <f>SUM(H877)</f>
        <v>1640.9</v>
      </c>
      <c r="I876" s="39">
        <f t="shared" si="40"/>
        <v>98.78988561107766</v>
      </c>
    </row>
    <row r="877" spans="1:9" ht="21" customHeight="1">
      <c r="A877" s="54" t="s">
        <v>879</v>
      </c>
      <c r="B877" s="35"/>
      <c r="C877" s="36" t="s">
        <v>871</v>
      </c>
      <c r="D877" s="36" t="s">
        <v>680</v>
      </c>
      <c r="E877" s="64" t="s">
        <v>878</v>
      </c>
      <c r="F877" s="37" t="s">
        <v>880</v>
      </c>
      <c r="G877" s="38">
        <v>1661</v>
      </c>
      <c r="H877" s="39">
        <v>1640.9</v>
      </c>
      <c r="I877" s="39">
        <f t="shared" si="40"/>
        <v>98.78988561107766</v>
      </c>
    </row>
    <row r="878" spans="1:9" ht="21" customHeight="1">
      <c r="A878" s="65" t="s">
        <v>742</v>
      </c>
      <c r="B878" s="66"/>
      <c r="C878" s="66" t="s">
        <v>688</v>
      </c>
      <c r="D878" s="66" t="s">
        <v>680</v>
      </c>
      <c r="E878" s="67" t="s">
        <v>743</v>
      </c>
      <c r="F878" s="68"/>
      <c r="G878" s="38">
        <f>SUM(G879)</f>
        <v>1400</v>
      </c>
      <c r="H878" s="39">
        <f>SUM(H879)</f>
        <v>1400</v>
      </c>
      <c r="I878" s="39">
        <f t="shared" si="40"/>
        <v>100</v>
      </c>
    </row>
    <row r="879" spans="1:9" ht="43.5" customHeight="1">
      <c r="A879" s="54" t="s">
        <v>805</v>
      </c>
      <c r="B879" s="66"/>
      <c r="C879" s="66" t="s">
        <v>688</v>
      </c>
      <c r="D879" s="66" t="s">
        <v>680</v>
      </c>
      <c r="E879" s="66" t="s">
        <v>881</v>
      </c>
      <c r="F879" s="69" t="s">
        <v>806</v>
      </c>
      <c r="G879" s="38">
        <f>SUM(G880)</f>
        <v>1400</v>
      </c>
      <c r="H879" s="39">
        <f>SUM(H880)</f>
        <v>1400</v>
      </c>
      <c r="I879" s="39">
        <f t="shared" si="40"/>
        <v>100</v>
      </c>
    </row>
    <row r="880" spans="1:9" ht="48" customHeight="1">
      <c r="A880" s="46" t="s">
        <v>882</v>
      </c>
      <c r="B880" s="70"/>
      <c r="C880" s="66" t="s">
        <v>688</v>
      </c>
      <c r="D880" s="66" t="s">
        <v>680</v>
      </c>
      <c r="E880" s="66" t="s">
        <v>883</v>
      </c>
      <c r="F880" s="69" t="s">
        <v>806</v>
      </c>
      <c r="G880" s="71">
        <v>1400</v>
      </c>
      <c r="H880" s="82">
        <v>1400</v>
      </c>
      <c r="I880" s="39">
        <f t="shared" si="40"/>
        <v>100</v>
      </c>
    </row>
    <row r="881" spans="1:9" ht="21" customHeight="1">
      <c r="A881" s="232" t="s">
        <v>425</v>
      </c>
      <c r="B881" s="128" t="s">
        <v>426</v>
      </c>
      <c r="C881" s="242"/>
      <c r="D881" s="242"/>
      <c r="E881" s="242"/>
      <c r="F881" s="243"/>
      <c r="G881" s="230">
        <f>SUM(G886+G1019)</f>
        <v>907110.4999999999</v>
      </c>
      <c r="H881" s="231">
        <f>SUM(H886+H1019)</f>
        <v>898556.3999999999</v>
      </c>
      <c r="I881" s="63">
        <f t="shared" si="40"/>
        <v>99.05699471012628</v>
      </c>
    </row>
    <row r="882" spans="1:9" ht="0.75" customHeight="1" hidden="1">
      <c r="A882" s="34" t="s">
        <v>711</v>
      </c>
      <c r="B882" s="35"/>
      <c r="C882" s="36" t="s">
        <v>712</v>
      </c>
      <c r="D882" s="36"/>
      <c r="E882" s="36"/>
      <c r="F882" s="37"/>
      <c r="G882" s="38">
        <f aca="true" t="shared" si="41" ref="G882:H884">SUM(G883)</f>
        <v>0</v>
      </c>
      <c r="H882" s="39">
        <f t="shared" si="41"/>
        <v>0</v>
      </c>
      <c r="I882" s="39" t="e">
        <f t="shared" si="40"/>
        <v>#DIV/0!</v>
      </c>
    </row>
    <row r="883" spans="1:9" ht="18" customHeight="1" hidden="1">
      <c r="A883" s="34" t="s">
        <v>1079</v>
      </c>
      <c r="B883" s="35"/>
      <c r="C883" s="36" t="s">
        <v>712</v>
      </c>
      <c r="D883" s="53" t="s">
        <v>678</v>
      </c>
      <c r="E883" s="126"/>
      <c r="F883" s="127"/>
      <c r="G883" s="38">
        <f t="shared" si="41"/>
        <v>0</v>
      </c>
      <c r="H883" s="39">
        <f t="shared" si="41"/>
        <v>0</v>
      </c>
      <c r="I883" s="39" t="e">
        <f t="shared" si="40"/>
        <v>#DIV/0!</v>
      </c>
    </row>
    <row r="884" spans="1:9" ht="17.25" customHeight="1" hidden="1">
      <c r="A884" s="34" t="s">
        <v>1080</v>
      </c>
      <c r="B884" s="35"/>
      <c r="C884" s="36" t="s">
        <v>712</v>
      </c>
      <c r="D884" s="53" t="s">
        <v>678</v>
      </c>
      <c r="E884" s="64" t="s">
        <v>1081</v>
      </c>
      <c r="F884" s="127"/>
      <c r="G884" s="38">
        <f t="shared" si="41"/>
        <v>0</v>
      </c>
      <c r="H884" s="39">
        <f t="shared" si="41"/>
        <v>0</v>
      </c>
      <c r="I884" s="39" t="e">
        <f t="shared" si="40"/>
        <v>#DIV/0!</v>
      </c>
    </row>
    <row r="885" spans="1:9" ht="15" hidden="1">
      <c r="A885" s="34" t="s">
        <v>1082</v>
      </c>
      <c r="B885" s="35"/>
      <c r="C885" s="36" t="s">
        <v>712</v>
      </c>
      <c r="D885" s="53" t="s">
        <v>678</v>
      </c>
      <c r="E885" s="64" t="s">
        <v>1081</v>
      </c>
      <c r="F885" s="127">
        <v>273</v>
      </c>
      <c r="G885" s="38"/>
      <c r="H885" s="39"/>
      <c r="I885" s="39" t="e">
        <f t="shared" si="40"/>
        <v>#DIV/0!</v>
      </c>
    </row>
    <row r="886" spans="1:9" ht="18.75" customHeight="1">
      <c r="A886" s="34" t="s">
        <v>700</v>
      </c>
      <c r="B886" s="35"/>
      <c r="C886" s="53" t="s">
        <v>701</v>
      </c>
      <c r="D886" s="53"/>
      <c r="E886" s="53"/>
      <c r="F886" s="41"/>
      <c r="G886" s="38">
        <f>SUM(G887+G904+G959+G981)</f>
        <v>886391.2999999999</v>
      </c>
      <c r="H886" s="38">
        <f>SUM(H887+H904+H959+H981)</f>
        <v>879562.4999999999</v>
      </c>
      <c r="I886" s="39">
        <f t="shared" si="40"/>
        <v>99.22959532657867</v>
      </c>
    </row>
    <row r="887" spans="1:9" ht="14.25" customHeight="1">
      <c r="A887" s="40" t="s">
        <v>1083</v>
      </c>
      <c r="B887" s="128"/>
      <c r="C887" s="53" t="s">
        <v>701</v>
      </c>
      <c r="D887" s="53" t="s">
        <v>678</v>
      </c>
      <c r="E887" s="53"/>
      <c r="F887" s="41"/>
      <c r="G887" s="38">
        <f>SUM(G888+G901)</f>
        <v>315342.3</v>
      </c>
      <c r="H887" s="38">
        <f>SUM(H888+H901)</f>
        <v>313299.79999999993</v>
      </c>
      <c r="I887" s="39">
        <f t="shared" si="40"/>
        <v>99.35229114520949</v>
      </c>
    </row>
    <row r="888" spans="1:9" ht="21" customHeight="1">
      <c r="A888" s="40" t="s">
        <v>1084</v>
      </c>
      <c r="B888" s="128"/>
      <c r="C888" s="53" t="s">
        <v>701</v>
      </c>
      <c r="D888" s="53" t="s">
        <v>678</v>
      </c>
      <c r="E888" s="53" t="s">
        <v>1085</v>
      </c>
      <c r="F888" s="41"/>
      <c r="G888" s="38">
        <f>SUM(G889)</f>
        <v>301214.6</v>
      </c>
      <c r="H888" s="39">
        <f>SUM(H889)</f>
        <v>300341.69999999995</v>
      </c>
      <c r="I888" s="39">
        <f t="shared" si="40"/>
        <v>99.71020661017094</v>
      </c>
    </row>
    <row r="889" spans="1:9" ht="28.5">
      <c r="A889" s="40" t="s">
        <v>780</v>
      </c>
      <c r="B889" s="128"/>
      <c r="C889" s="53" t="s">
        <v>701</v>
      </c>
      <c r="D889" s="53" t="s">
        <v>678</v>
      </c>
      <c r="E889" s="53" t="s">
        <v>1086</v>
      </c>
      <c r="F889" s="41"/>
      <c r="G889" s="38">
        <f>SUM(G890+G894+G896+G898)+G891</f>
        <v>301214.6</v>
      </c>
      <c r="H889" s="39">
        <f>SUM(H890+H894+H896+H898)+H891</f>
        <v>300341.69999999995</v>
      </c>
      <c r="I889" s="39">
        <f t="shared" si="40"/>
        <v>99.71020661017094</v>
      </c>
    </row>
    <row r="890" spans="1:9" ht="17.25" customHeight="1">
      <c r="A890" s="57" t="s">
        <v>782</v>
      </c>
      <c r="B890" s="72"/>
      <c r="C890" s="73" t="s">
        <v>701</v>
      </c>
      <c r="D890" s="73" t="s">
        <v>678</v>
      </c>
      <c r="E890" s="73" t="s">
        <v>1086</v>
      </c>
      <c r="F890" s="42" t="s">
        <v>783</v>
      </c>
      <c r="G890" s="38">
        <v>271659.7</v>
      </c>
      <c r="H890" s="39">
        <v>271554.6</v>
      </c>
      <c r="I890" s="39">
        <f t="shared" si="40"/>
        <v>99.96131189131107</v>
      </c>
    </row>
    <row r="891" spans="1:9" ht="82.5" customHeight="1">
      <c r="A891" s="57" t="s">
        <v>1089</v>
      </c>
      <c r="B891" s="72"/>
      <c r="C891" s="73" t="s">
        <v>701</v>
      </c>
      <c r="D891" s="73" t="s">
        <v>678</v>
      </c>
      <c r="E891" s="73" t="s">
        <v>1090</v>
      </c>
      <c r="F891" s="42"/>
      <c r="G891" s="38">
        <f>SUM(G892)</f>
        <v>579.3</v>
      </c>
      <c r="H891" s="39">
        <f>SUM(H892)</f>
        <v>496.5</v>
      </c>
      <c r="I891" s="39">
        <f t="shared" si="40"/>
        <v>85.70688762299328</v>
      </c>
    </row>
    <row r="892" spans="1:9" ht="29.25" customHeight="1">
      <c r="A892" s="57" t="s">
        <v>1091</v>
      </c>
      <c r="B892" s="72"/>
      <c r="C892" s="73" t="s">
        <v>701</v>
      </c>
      <c r="D892" s="73" t="s">
        <v>678</v>
      </c>
      <c r="E892" s="73" t="s">
        <v>1090</v>
      </c>
      <c r="F892" s="42" t="s">
        <v>1092</v>
      </c>
      <c r="G892" s="38">
        <v>579.3</v>
      </c>
      <c r="H892" s="39">
        <v>496.5</v>
      </c>
      <c r="I892" s="39">
        <f t="shared" si="40"/>
        <v>85.70688762299328</v>
      </c>
    </row>
    <row r="893" spans="1:9" ht="63" customHeight="1" hidden="1">
      <c r="A893" s="57" t="s">
        <v>1087</v>
      </c>
      <c r="B893" s="72"/>
      <c r="C893" s="73" t="s">
        <v>701</v>
      </c>
      <c r="D893" s="73" t="s">
        <v>678</v>
      </c>
      <c r="E893" s="73" t="s">
        <v>1086</v>
      </c>
      <c r="F893" s="41" t="s">
        <v>1088</v>
      </c>
      <c r="G893" s="38"/>
      <c r="H893" s="39"/>
      <c r="I893" s="39" t="e">
        <f t="shared" si="40"/>
        <v>#DIV/0!</v>
      </c>
    </row>
    <row r="894" spans="1:9" ht="37.5" customHeight="1">
      <c r="A894" s="57" t="s">
        <v>1093</v>
      </c>
      <c r="B894" s="35"/>
      <c r="C894" s="73" t="s">
        <v>701</v>
      </c>
      <c r="D894" s="73" t="s">
        <v>678</v>
      </c>
      <c r="E894" s="73" t="s">
        <v>1094</v>
      </c>
      <c r="F894" s="41"/>
      <c r="G894" s="38">
        <f>SUM(G895)</f>
        <v>24134</v>
      </c>
      <c r="H894" s="39">
        <f>SUM(H895)</f>
        <v>24134</v>
      </c>
      <c r="I894" s="39">
        <f t="shared" si="40"/>
        <v>100</v>
      </c>
    </row>
    <row r="895" spans="1:9" ht="20.25" customHeight="1">
      <c r="A895" s="57" t="s">
        <v>782</v>
      </c>
      <c r="B895" s="35"/>
      <c r="C895" s="73" t="s">
        <v>701</v>
      </c>
      <c r="D895" s="73" t="s">
        <v>678</v>
      </c>
      <c r="E895" s="73" t="s">
        <v>1094</v>
      </c>
      <c r="F895" s="41" t="s">
        <v>783</v>
      </c>
      <c r="G895" s="38">
        <v>24134</v>
      </c>
      <c r="H895" s="39">
        <v>24134</v>
      </c>
      <c r="I895" s="39">
        <f t="shared" si="40"/>
        <v>100</v>
      </c>
    </row>
    <row r="896" spans="1:9" ht="28.5" customHeight="1">
      <c r="A896" s="57" t="s">
        <v>1095</v>
      </c>
      <c r="B896" s="35"/>
      <c r="C896" s="73" t="s">
        <v>701</v>
      </c>
      <c r="D896" s="73" t="s">
        <v>678</v>
      </c>
      <c r="E896" s="73" t="s">
        <v>1096</v>
      </c>
      <c r="F896" s="41"/>
      <c r="G896" s="38">
        <f>SUM(G897)</f>
        <v>2341.6</v>
      </c>
      <c r="H896" s="39">
        <f>SUM(H897)</f>
        <v>1656.6</v>
      </c>
      <c r="I896" s="39">
        <f t="shared" si="40"/>
        <v>70.74649812094295</v>
      </c>
    </row>
    <row r="897" spans="1:9" ht="20.25" customHeight="1">
      <c r="A897" s="57" t="s">
        <v>782</v>
      </c>
      <c r="B897" s="35"/>
      <c r="C897" s="73" t="s">
        <v>701</v>
      </c>
      <c r="D897" s="73" t="s">
        <v>678</v>
      </c>
      <c r="E897" s="73" t="s">
        <v>1096</v>
      </c>
      <c r="F897" s="41" t="s">
        <v>783</v>
      </c>
      <c r="G897" s="38">
        <v>2341.6</v>
      </c>
      <c r="H897" s="39">
        <v>1656.6</v>
      </c>
      <c r="I897" s="39">
        <f t="shared" si="40"/>
        <v>70.74649812094295</v>
      </c>
    </row>
    <row r="898" spans="1:9" ht="31.5" customHeight="1">
      <c r="A898" s="40" t="s">
        <v>1097</v>
      </c>
      <c r="B898" s="43"/>
      <c r="C898" s="73" t="s">
        <v>701</v>
      </c>
      <c r="D898" s="73" t="s">
        <v>678</v>
      </c>
      <c r="E898" s="73" t="s">
        <v>1098</v>
      </c>
      <c r="F898" s="42"/>
      <c r="G898" s="38">
        <f>SUM(G900)</f>
        <v>2500</v>
      </c>
      <c r="H898" s="39">
        <f>SUM(H900)</f>
        <v>2500</v>
      </c>
      <c r="I898" s="39">
        <f t="shared" si="40"/>
        <v>100</v>
      </c>
    </row>
    <row r="899" spans="1:9" ht="28.5" customHeight="1" hidden="1">
      <c r="A899" s="40" t="s">
        <v>1118</v>
      </c>
      <c r="B899" s="43"/>
      <c r="C899" s="73" t="s">
        <v>701</v>
      </c>
      <c r="D899" s="73" t="s">
        <v>678</v>
      </c>
      <c r="E899" s="73" t="s">
        <v>1086</v>
      </c>
      <c r="F899" s="42" t="s">
        <v>1119</v>
      </c>
      <c r="G899" s="38"/>
      <c r="H899" s="39"/>
      <c r="I899" s="39" t="e">
        <f t="shared" si="40"/>
        <v>#DIV/0!</v>
      </c>
    </row>
    <row r="900" spans="1:9" ht="18.75" customHeight="1">
      <c r="A900" s="57" t="s">
        <v>782</v>
      </c>
      <c r="B900" s="43"/>
      <c r="C900" s="73" t="s">
        <v>701</v>
      </c>
      <c r="D900" s="73" t="s">
        <v>678</v>
      </c>
      <c r="E900" s="73" t="s">
        <v>1098</v>
      </c>
      <c r="F900" s="42" t="s">
        <v>783</v>
      </c>
      <c r="G900" s="38">
        <v>2500</v>
      </c>
      <c r="H900" s="39">
        <v>2500</v>
      </c>
      <c r="I900" s="39">
        <f t="shared" si="40"/>
        <v>100</v>
      </c>
    </row>
    <row r="901" spans="1:9" ht="18.75" customHeight="1">
      <c r="A901" s="40" t="s">
        <v>906</v>
      </c>
      <c r="B901" s="72"/>
      <c r="C901" s="73" t="s">
        <v>701</v>
      </c>
      <c r="D901" s="73" t="s">
        <v>678</v>
      </c>
      <c r="E901" s="53" t="s">
        <v>907</v>
      </c>
      <c r="F901" s="42"/>
      <c r="G901" s="38">
        <f>SUM(G902)</f>
        <v>14127.7</v>
      </c>
      <c r="H901" s="39">
        <f>SUM(H902)</f>
        <v>12958.1</v>
      </c>
      <c r="I901" s="39">
        <f t="shared" si="40"/>
        <v>91.72122850853287</v>
      </c>
    </row>
    <row r="902" spans="1:9" ht="63" customHeight="1">
      <c r="A902" s="40" t="s">
        <v>1099</v>
      </c>
      <c r="B902" s="72"/>
      <c r="C902" s="73" t="s">
        <v>701</v>
      </c>
      <c r="D902" s="73" t="s">
        <v>678</v>
      </c>
      <c r="E902" s="53" t="s">
        <v>1100</v>
      </c>
      <c r="F902" s="42"/>
      <c r="G902" s="38">
        <f>SUM(G903)</f>
        <v>14127.7</v>
      </c>
      <c r="H902" s="39">
        <f>SUM(H903)</f>
        <v>12958.1</v>
      </c>
      <c r="I902" s="39">
        <f t="shared" si="40"/>
        <v>91.72122850853287</v>
      </c>
    </row>
    <row r="903" spans="1:9" ht="18.75" customHeight="1">
      <c r="A903" s="57" t="s">
        <v>782</v>
      </c>
      <c r="B903" s="72"/>
      <c r="C903" s="73" t="s">
        <v>701</v>
      </c>
      <c r="D903" s="73" t="s">
        <v>678</v>
      </c>
      <c r="E903" s="53" t="s">
        <v>1100</v>
      </c>
      <c r="F903" s="42" t="s">
        <v>783</v>
      </c>
      <c r="G903" s="38">
        <v>14127.7</v>
      </c>
      <c r="H903" s="39">
        <v>12958.1</v>
      </c>
      <c r="I903" s="39">
        <f t="shared" si="40"/>
        <v>91.72122850853287</v>
      </c>
    </row>
    <row r="904" spans="1:9" ht="19.5" customHeight="1">
      <c r="A904" s="40" t="s">
        <v>1101</v>
      </c>
      <c r="B904" s="128"/>
      <c r="C904" s="53" t="s">
        <v>701</v>
      </c>
      <c r="D904" s="53" t="s">
        <v>680</v>
      </c>
      <c r="E904" s="53"/>
      <c r="F904" s="41"/>
      <c r="G904" s="38">
        <f>SUM(G910+G931+G941+G954)+G950+G905</f>
        <v>482230.5999999999</v>
      </c>
      <c r="H904" s="38">
        <f>SUM(H910+H931+H941+H954)+H950+H905</f>
        <v>477613.5999999999</v>
      </c>
      <c r="I904" s="39">
        <f t="shared" si="40"/>
        <v>99.04257423730472</v>
      </c>
    </row>
    <row r="905" spans="1:9" ht="18.75" customHeight="1" hidden="1">
      <c r="A905" s="40" t="s">
        <v>769</v>
      </c>
      <c r="B905" s="128"/>
      <c r="C905" s="53" t="s">
        <v>701</v>
      </c>
      <c r="D905" s="53" t="s">
        <v>680</v>
      </c>
      <c r="E905" s="53" t="s">
        <v>771</v>
      </c>
      <c r="F905" s="41"/>
      <c r="G905" s="38">
        <f>SUM(G906+G908)</f>
        <v>0</v>
      </c>
      <c r="H905" s="39">
        <f>SUM(H906+H908)</f>
        <v>0</v>
      </c>
      <c r="I905" s="39" t="e">
        <f t="shared" si="40"/>
        <v>#DIV/0!</v>
      </c>
    </row>
    <row r="906" spans="1:9" ht="20.25" customHeight="1" hidden="1">
      <c r="A906" s="40" t="s">
        <v>1102</v>
      </c>
      <c r="B906" s="128"/>
      <c r="C906" s="53" t="s">
        <v>701</v>
      </c>
      <c r="D906" s="53" t="s">
        <v>680</v>
      </c>
      <c r="E906" s="53" t="s">
        <v>1103</v>
      </c>
      <c r="F906" s="41"/>
      <c r="G906" s="38">
        <f>SUM(G907)</f>
        <v>0</v>
      </c>
      <c r="H906" s="39">
        <f>SUM(H907)</f>
        <v>0</v>
      </c>
      <c r="I906" s="39" t="e">
        <f t="shared" si="40"/>
        <v>#DIV/0!</v>
      </c>
    </row>
    <row r="907" spans="1:9" ht="20.25" customHeight="1" hidden="1">
      <c r="A907" s="57" t="s">
        <v>782</v>
      </c>
      <c r="B907" s="128"/>
      <c r="C907" s="53" t="s">
        <v>701</v>
      </c>
      <c r="D907" s="53" t="s">
        <v>680</v>
      </c>
      <c r="E907" s="53" t="s">
        <v>1103</v>
      </c>
      <c r="F907" s="41" t="s">
        <v>783</v>
      </c>
      <c r="G907" s="38"/>
      <c r="H907" s="39"/>
      <c r="I907" s="39" t="e">
        <f t="shared" si="40"/>
        <v>#DIV/0!</v>
      </c>
    </row>
    <row r="908" spans="1:9" ht="20.25" customHeight="1" hidden="1">
      <c r="A908" s="34" t="s">
        <v>740</v>
      </c>
      <c r="B908" s="35"/>
      <c r="C908" s="53" t="s">
        <v>701</v>
      </c>
      <c r="D908" s="53" t="s">
        <v>680</v>
      </c>
      <c r="E908" s="36" t="s">
        <v>741</v>
      </c>
      <c r="F908" s="41"/>
      <c r="G908" s="38">
        <f>SUM(G909)</f>
        <v>0</v>
      </c>
      <c r="H908" s="39">
        <f>SUM(H909)</f>
        <v>0</v>
      </c>
      <c r="I908" s="39" t="e">
        <f t="shared" si="40"/>
        <v>#DIV/0!</v>
      </c>
    </row>
    <row r="909" spans="1:9" ht="20.25" customHeight="1" hidden="1">
      <c r="A909" s="57" t="s">
        <v>782</v>
      </c>
      <c r="B909" s="128"/>
      <c r="C909" s="53" t="s">
        <v>701</v>
      </c>
      <c r="D909" s="53" t="s">
        <v>680</v>
      </c>
      <c r="E909" s="53" t="s">
        <v>741</v>
      </c>
      <c r="F909" s="41" t="s">
        <v>783</v>
      </c>
      <c r="G909" s="38"/>
      <c r="H909" s="39"/>
      <c r="I909" s="39" t="e">
        <f t="shared" si="40"/>
        <v>#DIV/0!</v>
      </c>
    </row>
    <row r="910" spans="1:9" ht="27.75" customHeight="1">
      <c r="A910" s="40" t="s">
        <v>1104</v>
      </c>
      <c r="B910" s="128"/>
      <c r="C910" s="53" t="s">
        <v>701</v>
      </c>
      <c r="D910" s="53" t="s">
        <v>680</v>
      </c>
      <c r="E910" s="53" t="s">
        <v>1105</v>
      </c>
      <c r="F910" s="41"/>
      <c r="G910" s="38">
        <f>SUM(G911)</f>
        <v>397013.39999999997</v>
      </c>
      <c r="H910" s="39">
        <f>SUM(H911)</f>
        <v>393907.89999999997</v>
      </c>
      <c r="I910" s="39">
        <f t="shared" si="40"/>
        <v>99.217784588631</v>
      </c>
    </row>
    <row r="911" spans="1:9" ht="37.5" customHeight="1">
      <c r="A911" s="40" t="s">
        <v>780</v>
      </c>
      <c r="B911" s="128"/>
      <c r="C911" s="53" t="s">
        <v>701</v>
      </c>
      <c r="D911" s="53" t="s">
        <v>680</v>
      </c>
      <c r="E911" s="53" t="s">
        <v>1106</v>
      </c>
      <c r="F911" s="41"/>
      <c r="G911" s="38">
        <f>SUM(G912+G920+G922+G929)+G924+G914+G918+G927</f>
        <v>397013.39999999997</v>
      </c>
      <c r="H911" s="39">
        <f>SUM(H912+H920+H922+H929)+H924+H914+H918+H927</f>
        <v>393907.89999999997</v>
      </c>
      <c r="I911" s="39">
        <f t="shared" si="40"/>
        <v>99.217784588631</v>
      </c>
    </row>
    <row r="912" spans="1:9" ht="19.5" customHeight="1">
      <c r="A912" s="57" t="s">
        <v>782</v>
      </c>
      <c r="B912" s="72"/>
      <c r="C912" s="53" t="s">
        <v>701</v>
      </c>
      <c r="D912" s="53" t="s">
        <v>680</v>
      </c>
      <c r="E912" s="53" t="s">
        <v>1106</v>
      </c>
      <c r="F912" s="42" t="s">
        <v>783</v>
      </c>
      <c r="G912" s="38">
        <v>96008.9</v>
      </c>
      <c r="H912" s="39">
        <v>94121</v>
      </c>
      <c r="I912" s="39">
        <f t="shared" si="40"/>
        <v>98.03361979983106</v>
      </c>
    </row>
    <row r="913" spans="1:9" ht="75.75" customHeight="1">
      <c r="A913" s="57" t="s">
        <v>1089</v>
      </c>
      <c r="B913" s="72"/>
      <c r="C913" s="53" t="s">
        <v>701</v>
      </c>
      <c r="D913" s="53" t="s">
        <v>680</v>
      </c>
      <c r="E913" s="53" t="s">
        <v>1109</v>
      </c>
      <c r="F913" s="42"/>
      <c r="G913" s="38">
        <f>SUM(G914)</f>
        <v>1016.5</v>
      </c>
      <c r="H913" s="39">
        <f>SUM(H914)</f>
        <v>850</v>
      </c>
      <c r="I913" s="39">
        <f t="shared" si="40"/>
        <v>83.62026561731432</v>
      </c>
    </row>
    <row r="914" spans="1:9" ht="31.5" customHeight="1">
      <c r="A914" s="57" t="s">
        <v>1091</v>
      </c>
      <c r="B914" s="72"/>
      <c r="C914" s="53" t="s">
        <v>701</v>
      </c>
      <c r="D914" s="53" t="s">
        <v>680</v>
      </c>
      <c r="E914" s="53" t="s">
        <v>1109</v>
      </c>
      <c r="F914" s="42" t="s">
        <v>1092</v>
      </c>
      <c r="G914" s="38">
        <v>1016.5</v>
      </c>
      <c r="H914" s="39">
        <v>850</v>
      </c>
      <c r="I914" s="39">
        <f t="shared" si="40"/>
        <v>83.62026561731432</v>
      </c>
    </row>
    <row r="915" spans="1:9" ht="28.5" customHeight="1" hidden="1">
      <c r="A915" s="57" t="s">
        <v>1087</v>
      </c>
      <c r="B915" s="72"/>
      <c r="C915" s="53" t="s">
        <v>701</v>
      </c>
      <c r="D915" s="53" t="s">
        <v>680</v>
      </c>
      <c r="E915" s="53" t="s">
        <v>1106</v>
      </c>
      <c r="F915" s="41" t="s">
        <v>1088</v>
      </c>
      <c r="G915" s="38"/>
      <c r="H915" s="39"/>
      <c r="I915" s="39" t="e">
        <f t="shared" si="40"/>
        <v>#DIV/0!</v>
      </c>
    </row>
    <row r="916" spans="1:9" ht="22.5" customHeight="1" hidden="1">
      <c r="A916" s="57" t="s">
        <v>782</v>
      </c>
      <c r="B916" s="72"/>
      <c r="C916" s="53" t="s">
        <v>701</v>
      </c>
      <c r="D916" s="53" t="s">
        <v>680</v>
      </c>
      <c r="E916" s="73" t="s">
        <v>1111</v>
      </c>
      <c r="F916" s="42" t="s">
        <v>783</v>
      </c>
      <c r="G916" s="38"/>
      <c r="H916" s="39"/>
      <c r="I916" s="39" t="e">
        <f t="shared" si="40"/>
        <v>#DIV/0!</v>
      </c>
    </row>
    <row r="917" spans="1:9" ht="30" customHeight="1" hidden="1">
      <c r="A917" s="57" t="s">
        <v>1107</v>
      </c>
      <c r="B917" s="72"/>
      <c r="C917" s="53" t="s">
        <v>701</v>
      </c>
      <c r="D917" s="53" t="s">
        <v>680</v>
      </c>
      <c r="E917" s="53" t="s">
        <v>1106</v>
      </c>
      <c r="F917" s="42" t="s">
        <v>1108</v>
      </c>
      <c r="G917" s="38"/>
      <c r="H917" s="39"/>
      <c r="I917" s="39" t="e">
        <f t="shared" si="40"/>
        <v>#DIV/0!</v>
      </c>
    </row>
    <row r="918" spans="1:9" ht="23.25" customHeight="1" hidden="1">
      <c r="A918" s="57" t="s">
        <v>1110</v>
      </c>
      <c r="B918" s="72"/>
      <c r="C918" s="53" t="s">
        <v>701</v>
      </c>
      <c r="D918" s="53" t="s">
        <v>680</v>
      </c>
      <c r="E918" s="73" t="s">
        <v>1111</v>
      </c>
      <c r="F918" s="42"/>
      <c r="G918" s="38">
        <f>SUM(G919)</f>
        <v>0</v>
      </c>
      <c r="H918" s="39">
        <f>SUM(H919)</f>
        <v>0</v>
      </c>
      <c r="I918" s="39" t="e">
        <f t="shared" si="40"/>
        <v>#DIV/0!</v>
      </c>
    </row>
    <row r="919" spans="1:9" ht="22.5" customHeight="1" hidden="1">
      <c r="A919" s="57" t="s">
        <v>782</v>
      </c>
      <c r="B919" s="72"/>
      <c r="C919" s="53" t="s">
        <v>701</v>
      </c>
      <c r="D919" s="53" t="s">
        <v>680</v>
      </c>
      <c r="E919" s="73" t="s">
        <v>1111</v>
      </c>
      <c r="F919" s="42" t="s">
        <v>783</v>
      </c>
      <c r="G919" s="38"/>
      <c r="H919" s="39"/>
      <c r="I919" s="39" t="e">
        <f t="shared" si="40"/>
        <v>#DIV/0!</v>
      </c>
    </row>
    <row r="920" spans="1:9" ht="76.5" customHeight="1">
      <c r="A920" s="57" t="s">
        <v>1112</v>
      </c>
      <c r="B920" s="72"/>
      <c r="C920" s="53" t="s">
        <v>701</v>
      </c>
      <c r="D920" s="53" t="s">
        <v>680</v>
      </c>
      <c r="E920" s="53" t="s">
        <v>1113</v>
      </c>
      <c r="F920" s="42"/>
      <c r="G920" s="38">
        <f>SUM(G921)</f>
        <v>9564.4</v>
      </c>
      <c r="H920" s="39">
        <f>SUM(H921)</f>
        <v>8946.1</v>
      </c>
      <c r="I920" s="39">
        <f t="shared" si="40"/>
        <v>93.53540211618085</v>
      </c>
    </row>
    <row r="921" spans="1:9" ht="17.25" customHeight="1">
      <c r="A921" s="57" t="s">
        <v>782</v>
      </c>
      <c r="B921" s="72"/>
      <c r="C921" s="53" t="s">
        <v>701</v>
      </c>
      <c r="D921" s="53" t="s">
        <v>680</v>
      </c>
      <c r="E921" s="53" t="s">
        <v>1113</v>
      </c>
      <c r="F921" s="42" t="s">
        <v>783</v>
      </c>
      <c r="G921" s="38">
        <v>9564.4</v>
      </c>
      <c r="H921" s="39">
        <v>8946.1</v>
      </c>
      <c r="I921" s="39">
        <f t="shared" si="40"/>
        <v>93.53540211618085</v>
      </c>
    </row>
    <row r="922" spans="1:9" ht="19.5" customHeight="1" hidden="1">
      <c r="A922" s="40" t="s">
        <v>1114</v>
      </c>
      <c r="B922" s="43"/>
      <c r="C922" s="53" t="s">
        <v>701</v>
      </c>
      <c r="D922" s="53" t="s">
        <v>680</v>
      </c>
      <c r="E922" s="53" t="s">
        <v>1115</v>
      </c>
      <c r="F922" s="42"/>
      <c r="G922" s="38">
        <f>SUM(G923)</f>
        <v>0</v>
      </c>
      <c r="H922" s="39">
        <f>SUM(H923)</f>
        <v>0</v>
      </c>
      <c r="I922" s="39" t="e">
        <f aca="true" t="shared" si="42" ref="I922:I985">SUM(H922/G922*100)</f>
        <v>#DIV/0!</v>
      </c>
    </row>
    <row r="923" spans="1:9" ht="16.5" customHeight="1" hidden="1">
      <c r="A923" s="57" t="s">
        <v>782</v>
      </c>
      <c r="B923" s="43"/>
      <c r="C923" s="53" t="s">
        <v>701</v>
      </c>
      <c r="D923" s="53" t="s">
        <v>680</v>
      </c>
      <c r="E923" s="53" t="s">
        <v>1115</v>
      </c>
      <c r="F923" s="42" t="s">
        <v>783</v>
      </c>
      <c r="G923" s="38"/>
      <c r="H923" s="39"/>
      <c r="I923" s="39" t="e">
        <f t="shared" si="42"/>
        <v>#DIV/0!</v>
      </c>
    </row>
    <row r="924" spans="1:9" ht="60.75" customHeight="1">
      <c r="A924" s="57" t="s">
        <v>1116</v>
      </c>
      <c r="B924" s="72"/>
      <c r="C924" s="53" t="s">
        <v>701</v>
      </c>
      <c r="D924" s="53" t="s">
        <v>680</v>
      </c>
      <c r="E924" s="53" t="s">
        <v>1117</v>
      </c>
      <c r="F924" s="42"/>
      <c r="G924" s="38">
        <f>SUM(G926)</f>
        <v>799</v>
      </c>
      <c r="H924" s="39">
        <f>SUM(H926)</f>
        <v>584.3</v>
      </c>
      <c r="I924" s="39">
        <f t="shared" si="42"/>
        <v>73.12891113892364</v>
      </c>
    </row>
    <row r="925" spans="1:9" ht="20.25" customHeight="1" hidden="1">
      <c r="A925" s="40" t="s">
        <v>1118</v>
      </c>
      <c r="B925" s="72"/>
      <c r="C925" s="53" t="s">
        <v>701</v>
      </c>
      <c r="D925" s="53" t="s">
        <v>680</v>
      </c>
      <c r="E925" s="53" t="s">
        <v>1106</v>
      </c>
      <c r="F925" s="42" t="s">
        <v>1119</v>
      </c>
      <c r="G925" s="38"/>
      <c r="H925" s="39"/>
      <c r="I925" s="39" t="e">
        <f t="shared" si="42"/>
        <v>#DIV/0!</v>
      </c>
    </row>
    <row r="926" spans="1:9" ht="20.25" customHeight="1">
      <c r="A926" s="57" t="s">
        <v>782</v>
      </c>
      <c r="B926" s="72"/>
      <c r="C926" s="53" t="s">
        <v>701</v>
      </c>
      <c r="D926" s="53" t="s">
        <v>680</v>
      </c>
      <c r="E926" s="53" t="s">
        <v>1117</v>
      </c>
      <c r="F926" s="42" t="s">
        <v>783</v>
      </c>
      <c r="G926" s="38">
        <f>772.3+26.7</f>
        <v>799</v>
      </c>
      <c r="H926" s="39">
        <v>584.3</v>
      </c>
      <c r="I926" s="39">
        <f t="shared" si="42"/>
        <v>73.12891113892364</v>
      </c>
    </row>
    <row r="927" spans="1:9" ht="75.75" customHeight="1" hidden="1">
      <c r="A927" s="57" t="s">
        <v>1120</v>
      </c>
      <c r="B927" s="72"/>
      <c r="C927" s="53" t="s">
        <v>701</v>
      </c>
      <c r="D927" s="53" t="s">
        <v>680</v>
      </c>
      <c r="E927" s="53" t="s">
        <v>1121</v>
      </c>
      <c r="F927" s="42"/>
      <c r="G927" s="38">
        <f>SUM(G928)</f>
        <v>0</v>
      </c>
      <c r="H927" s="39">
        <f>SUM(H928)</f>
        <v>0</v>
      </c>
      <c r="I927" s="39" t="e">
        <f t="shared" si="42"/>
        <v>#DIV/0!</v>
      </c>
    </row>
    <row r="928" spans="1:9" ht="21" customHeight="1" hidden="1">
      <c r="A928" s="57" t="s">
        <v>1122</v>
      </c>
      <c r="B928" s="72"/>
      <c r="C928" s="53" t="s">
        <v>701</v>
      </c>
      <c r="D928" s="53" t="s">
        <v>680</v>
      </c>
      <c r="E928" s="53" t="s">
        <v>1121</v>
      </c>
      <c r="F928" s="42" t="s">
        <v>1123</v>
      </c>
      <c r="G928" s="38"/>
      <c r="H928" s="39"/>
      <c r="I928" s="39" t="e">
        <f t="shared" si="42"/>
        <v>#DIV/0!</v>
      </c>
    </row>
    <row r="929" spans="1:9" ht="62.25" customHeight="1">
      <c r="A929" s="57" t="s">
        <v>1124</v>
      </c>
      <c r="B929" s="72"/>
      <c r="C929" s="53" t="s">
        <v>701</v>
      </c>
      <c r="D929" s="53" t="s">
        <v>680</v>
      </c>
      <c r="E929" s="53" t="s">
        <v>1125</v>
      </c>
      <c r="F929" s="42"/>
      <c r="G929" s="38">
        <f>SUM(G930)</f>
        <v>289624.6</v>
      </c>
      <c r="H929" s="39">
        <f>SUM(H930)</f>
        <v>289406.5</v>
      </c>
      <c r="I929" s="39">
        <f t="shared" si="42"/>
        <v>99.9246956232309</v>
      </c>
    </row>
    <row r="930" spans="1:9" ht="15">
      <c r="A930" s="57" t="s">
        <v>782</v>
      </c>
      <c r="B930" s="72"/>
      <c r="C930" s="53" t="s">
        <v>701</v>
      </c>
      <c r="D930" s="53" t="s">
        <v>680</v>
      </c>
      <c r="E930" s="53" t="s">
        <v>1125</v>
      </c>
      <c r="F930" s="42" t="s">
        <v>783</v>
      </c>
      <c r="G930" s="38">
        <f>280453.5+9171.1</f>
        <v>289624.6</v>
      </c>
      <c r="H930" s="39">
        <v>289406.5</v>
      </c>
      <c r="I930" s="39">
        <f t="shared" si="42"/>
        <v>99.9246956232309</v>
      </c>
    </row>
    <row r="931" spans="1:9" ht="15" customHeight="1">
      <c r="A931" s="34" t="s">
        <v>1126</v>
      </c>
      <c r="B931" s="35"/>
      <c r="C931" s="53" t="s">
        <v>701</v>
      </c>
      <c r="D931" s="53" t="s">
        <v>680</v>
      </c>
      <c r="E931" s="53" t="s">
        <v>1127</v>
      </c>
      <c r="F931" s="41"/>
      <c r="G931" s="38">
        <f>SUM(G932)</f>
        <v>50996.1</v>
      </c>
      <c r="H931" s="39">
        <f>SUM(H932)</f>
        <v>50973.3</v>
      </c>
      <c r="I931" s="39">
        <f t="shared" si="42"/>
        <v>99.9552906987005</v>
      </c>
    </row>
    <row r="932" spans="1:9" ht="32.25" customHeight="1">
      <c r="A932" s="40" t="s">
        <v>780</v>
      </c>
      <c r="B932" s="128"/>
      <c r="C932" s="53" t="s">
        <v>701</v>
      </c>
      <c r="D932" s="53" t="s">
        <v>680</v>
      </c>
      <c r="E932" s="53" t="s">
        <v>1128</v>
      </c>
      <c r="F932" s="41"/>
      <c r="G932" s="38">
        <f>SUM(G933+G938+G934)</f>
        <v>50996.1</v>
      </c>
      <c r="H932" s="39">
        <f>SUM(H933+H938+H934)</f>
        <v>50973.3</v>
      </c>
      <c r="I932" s="39">
        <f t="shared" si="42"/>
        <v>99.9552906987005</v>
      </c>
    </row>
    <row r="933" spans="1:9" ht="19.5" customHeight="1">
      <c r="A933" s="57" t="s">
        <v>782</v>
      </c>
      <c r="B933" s="72"/>
      <c r="C933" s="53" t="s">
        <v>701</v>
      </c>
      <c r="D933" s="53" t="s">
        <v>680</v>
      </c>
      <c r="E933" s="53" t="s">
        <v>1128</v>
      </c>
      <c r="F933" s="42" t="s">
        <v>783</v>
      </c>
      <c r="G933" s="38">
        <v>50793.9</v>
      </c>
      <c r="H933" s="39">
        <v>50793.9</v>
      </c>
      <c r="I933" s="39">
        <f t="shared" si="42"/>
        <v>100</v>
      </c>
    </row>
    <row r="934" spans="1:9" ht="78" customHeight="1">
      <c r="A934" s="57" t="s">
        <v>1089</v>
      </c>
      <c r="B934" s="72"/>
      <c r="C934" s="53" t="s">
        <v>701</v>
      </c>
      <c r="D934" s="53" t="s">
        <v>680</v>
      </c>
      <c r="E934" s="53" t="s">
        <v>1131</v>
      </c>
      <c r="F934" s="42"/>
      <c r="G934" s="38">
        <f>SUM(G935)</f>
        <v>202.2</v>
      </c>
      <c r="H934" s="39">
        <f>SUM(H935)</f>
        <v>179.4</v>
      </c>
      <c r="I934" s="39">
        <f t="shared" si="42"/>
        <v>88.72403560830861</v>
      </c>
    </row>
    <row r="935" spans="1:9" ht="37.5" customHeight="1">
      <c r="A935" s="57" t="s">
        <v>1091</v>
      </c>
      <c r="B935" s="72"/>
      <c r="C935" s="53" t="s">
        <v>701</v>
      </c>
      <c r="D935" s="53" t="s">
        <v>680</v>
      </c>
      <c r="E935" s="53" t="s">
        <v>1131</v>
      </c>
      <c r="F935" s="42" t="s">
        <v>1092</v>
      </c>
      <c r="G935" s="38">
        <v>202.2</v>
      </c>
      <c r="H935" s="39">
        <v>179.4</v>
      </c>
      <c r="I935" s="39">
        <f t="shared" si="42"/>
        <v>88.72403560830861</v>
      </c>
    </row>
    <row r="936" spans="1:9" ht="27" customHeight="1" hidden="1">
      <c r="A936" s="57" t="s">
        <v>1129</v>
      </c>
      <c r="B936" s="72"/>
      <c r="C936" s="53" t="s">
        <v>701</v>
      </c>
      <c r="D936" s="53" t="s">
        <v>680</v>
      </c>
      <c r="E936" s="53" t="s">
        <v>1128</v>
      </c>
      <c r="F936" s="42" t="s">
        <v>1130</v>
      </c>
      <c r="G936" s="38"/>
      <c r="H936" s="39"/>
      <c r="I936" s="39" t="e">
        <f t="shared" si="42"/>
        <v>#DIV/0!</v>
      </c>
    </row>
    <row r="937" spans="1:9" ht="32.25" customHeight="1" hidden="1">
      <c r="A937" s="57" t="s">
        <v>1087</v>
      </c>
      <c r="B937" s="72"/>
      <c r="C937" s="53" t="s">
        <v>701</v>
      </c>
      <c r="D937" s="53" t="s">
        <v>680</v>
      </c>
      <c r="E937" s="53" t="s">
        <v>1128</v>
      </c>
      <c r="F937" s="41" t="s">
        <v>1088</v>
      </c>
      <c r="G937" s="38"/>
      <c r="H937" s="39"/>
      <c r="I937" s="39" t="e">
        <f t="shared" si="42"/>
        <v>#DIV/0!</v>
      </c>
    </row>
    <row r="938" spans="1:9" s="139" customFormat="1" ht="57" customHeight="1" hidden="1">
      <c r="A938" s="40" t="s">
        <v>1114</v>
      </c>
      <c r="B938" s="72"/>
      <c r="C938" s="53" t="s">
        <v>701</v>
      </c>
      <c r="D938" s="53" t="s">
        <v>680</v>
      </c>
      <c r="E938" s="53" t="s">
        <v>1132</v>
      </c>
      <c r="F938" s="42"/>
      <c r="G938" s="38">
        <f>SUM(G940)</f>
        <v>0</v>
      </c>
      <c r="H938" s="39">
        <f>SUM(H940)</f>
        <v>0</v>
      </c>
      <c r="I938" s="39" t="e">
        <f t="shared" si="42"/>
        <v>#DIV/0!</v>
      </c>
    </row>
    <row r="939" spans="1:9" ht="42.75" customHeight="1" hidden="1">
      <c r="A939" s="40" t="s">
        <v>1118</v>
      </c>
      <c r="B939" s="72"/>
      <c r="C939" s="53" t="s">
        <v>701</v>
      </c>
      <c r="D939" s="53" t="s">
        <v>680</v>
      </c>
      <c r="E939" s="53" t="s">
        <v>1128</v>
      </c>
      <c r="F939" s="42" t="s">
        <v>1119</v>
      </c>
      <c r="G939" s="38"/>
      <c r="H939" s="39"/>
      <c r="I939" s="39" t="e">
        <f t="shared" si="42"/>
        <v>#DIV/0!</v>
      </c>
    </row>
    <row r="940" spans="1:9" ht="21.75" customHeight="1" hidden="1">
      <c r="A940" s="57" t="s">
        <v>782</v>
      </c>
      <c r="B940" s="72"/>
      <c r="C940" s="53" t="s">
        <v>701</v>
      </c>
      <c r="D940" s="53" t="s">
        <v>680</v>
      </c>
      <c r="E940" s="53" t="s">
        <v>1132</v>
      </c>
      <c r="F940" s="42" t="s">
        <v>783</v>
      </c>
      <c r="G940" s="38"/>
      <c r="H940" s="39"/>
      <c r="I940" s="39" t="e">
        <f t="shared" si="42"/>
        <v>#DIV/0!</v>
      </c>
    </row>
    <row r="941" spans="1:9" ht="19.5" customHeight="1">
      <c r="A941" s="40" t="s">
        <v>1140</v>
      </c>
      <c r="B941" s="53"/>
      <c r="C941" s="53" t="s">
        <v>701</v>
      </c>
      <c r="D941" s="53" t="s">
        <v>680</v>
      </c>
      <c r="E941" s="53" t="s">
        <v>1141</v>
      </c>
      <c r="F941" s="41"/>
      <c r="G941" s="38">
        <f>SUM(G942)</f>
        <v>21611.8</v>
      </c>
      <c r="H941" s="39">
        <f>SUM(H942)</f>
        <v>21548.600000000002</v>
      </c>
      <c r="I941" s="39">
        <f t="shared" si="42"/>
        <v>99.70756716238353</v>
      </c>
    </row>
    <row r="942" spans="1:9" ht="27" customHeight="1">
      <c r="A942" s="40" t="s">
        <v>780</v>
      </c>
      <c r="B942" s="128"/>
      <c r="C942" s="53" t="s">
        <v>701</v>
      </c>
      <c r="D942" s="53" t="s">
        <v>680</v>
      </c>
      <c r="E942" s="53" t="s">
        <v>1142</v>
      </c>
      <c r="F942" s="41"/>
      <c r="G942" s="38">
        <f>SUM(G944+G946+G948)</f>
        <v>21611.8</v>
      </c>
      <c r="H942" s="39">
        <f>SUM(H944+H946+H948)</f>
        <v>21548.600000000002</v>
      </c>
      <c r="I942" s="39">
        <f t="shared" si="42"/>
        <v>99.70756716238353</v>
      </c>
    </row>
    <row r="943" spans="1:9" ht="21.75" customHeight="1" hidden="1">
      <c r="A943" s="57" t="s">
        <v>782</v>
      </c>
      <c r="B943" s="72"/>
      <c r="C943" s="53" t="s">
        <v>701</v>
      </c>
      <c r="D943" s="53" t="s">
        <v>680</v>
      </c>
      <c r="E943" s="53" t="s">
        <v>1142</v>
      </c>
      <c r="F943" s="42" t="s">
        <v>783</v>
      </c>
      <c r="G943" s="38"/>
      <c r="H943" s="39"/>
      <c r="I943" s="39" t="e">
        <f t="shared" si="42"/>
        <v>#DIV/0!</v>
      </c>
    </row>
    <row r="944" spans="1:9" ht="78" customHeight="1">
      <c r="A944" s="57" t="s">
        <v>1089</v>
      </c>
      <c r="B944" s="72"/>
      <c r="C944" s="53" t="s">
        <v>701</v>
      </c>
      <c r="D944" s="53" t="s">
        <v>680</v>
      </c>
      <c r="E944" s="53" t="s">
        <v>1143</v>
      </c>
      <c r="F944" s="42"/>
      <c r="G944" s="38">
        <f>SUM(G945)</f>
        <v>62</v>
      </c>
      <c r="H944" s="39">
        <f>SUM(H945)</f>
        <v>52.6</v>
      </c>
      <c r="I944" s="39">
        <f t="shared" si="42"/>
        <v>84.83870967741936</v>
      </c>
    </row>
    <row r="945" spans="1:9" ht="37.5" customHeight="1">
      <c r="A945" s="57" t="s">
        <v>1091</v>
      </c>
      <c r="B945" s="72"/>
      <c r="C945" s="53" t="s">
        <v>701</v>
      </c>
      <c r="D945" s="53" t="s">
        <v>680</v>
      </c>
      <c r="E945" s="53" t="s">
        <v>1143</v>
      </c>
      <c r="F945" s="42" t="s">
        <v>1092</v>
      </c>
      <c r="G945" s="38">
        <v>62</v>
      </c>
      <c r="H945" s="39">
        <v>52.6</v>
      </c>
      <c r="I945" s="39">
        <f t="shared" si="42"/>
        <v>84.83870967741936</v>
      </c>
    </row>
    <row r="946" spans="1:9" ht="63.75" customHeight="1">
      <c r="A946" s="57" t="s">
        <v>1116</v>
      </c>
      <c r="B946" s="72"/>
      <c r="C946" s="53" t="s">
        <v>701</v>
      </c>
      <c r="D946" s="53" t="s">
        <v>680</v>
      </c>
      <c r="E946" s="53" t="s">
        <v>1144</v>
      </c>
      <c r="F946" s="42"/>
      <c r="G946" s="38">
        <f>SUM(G947)</f>
        <v>27.6</v>
      </c>
      <c r="H946" s="39">
        <f>SUM(H947)</f>
        <v>17.8</v>
      </c>
      <c r="I946" s="39">
        <f t="shared" si="42"/>
        <v>64.4927536231884</v>
      </c>
    </row>
    <row r="947" spans="1:9" ht="19.5" customHeight="1">
      <c r="A947" s="57" t="s">
        <v>782</v>
      </c>
      <c r="B947" s="72"/>
      <c r="C947" s="53" t="s">
        <v>701</v>
      </c>
      <c r="D947" s="53" t="s">
        <v>680</v>
      </c>
      <c r="E947" s="53" t="s">
        <v>1144</v>
      </c>
      <c r="F947" s="42" t="s">
        <v>783</v>
      </c>
      <c r="G947" s="38">
        <v>27.6</v>
      </c>
      <c r="H947" s="39">
        <v>17.8</v>
      </c>
      <c r="I947" s="39">
        <f t="shared" si="42"/>
        <v>64.4927536231884</v>
      </c>
    </row>
    <row r="948" spans="1:9" ht="99.75">
      <c r="A948" s="57" t="s">
        <v>1145</v>
      </c>
      <c r="B948" s="72"/>
      <c r="C948" s="53" t="s">
        <v>701</v>
      </c>
      <c r="D948" s="53" t="s">
        <v>680</v>
      </c>
      <c r="E948" s="53" t="s">
        <v>1146</v>
      </c>
      <c r="F948" s="42"/>
      <c r="G948" s="38">
        <f>SUM(G949)</f>
        <v>21522.2</v>
      </c>
      <c r="H948" s="39">
        <f>SUM(H949)</f>
        <v>21478.2</v>
      </c>
      <c r="I948" s="39">
        <f t="shared" si="42"/>
        <v>99.79555993346405</v>
      </c>
    </row>
    <row r="949" spans="1:9" ht="19.5" customHeight="1">
      <c r="A949" s="57" t="s">
        <v>782</v>
      </c>
      <c r="B949" s="72"/>
      <c r="C949" s="53" t="s">
        <v>701</v>
      </c>
      <c r="D949" s="53" t="s">
        <v>680</v>
      </c>
      <c r="E949" s="53" t="s">
        <v>1146</v>
      </c>
      <c r="F949" s="42" t="s">
        <v>783</v>
      </c>
      <c r="G949" s="38">
        <v>21522.2</v>
      </c>
      <c r="H949" s="39">
        <v>21478.2</v>
      </c>
      <c r="I949" s="39">
        <f t="shared" si="42"/>
        <v>99.79555993346405</v>
      </c>
    </row>
    <row r="950" spans="1:9" ht="32.25" customHeight="1" hidden="1">
      <c r="A950" s="57" t="s">
        <v>1151</v>
      </c>
      <c r="B950" s="72"/>
      <c r="C950" s="53" t="s">
        <v>701</v>
      </c>
      <c r="D950" s="53" t="s">
        <v>680</v>
      </c>
      <c r="E950" s="53" t="s">
        <v>1152</v>
      </c>
      <c r="F950" s="42"/>
      <c r="G950" s="38">
        <f aca="true" t="shared" si="43" ref="G950:H952">SUM(G951)</f>
        <v>0</v>
      </c>
      <c r="H950" s="39">
        <f t="shared" si="43"/>
        <v>0</v>
      </c>
      <c r="I950" s="39" t="e">
        <f t="shared" si="42"/>
        <v>#DIV/0!</v>
      </c>
    </row>
    <row r="951" spans="1:9" ht="35.25" customHeight="1" hidden="1">
      <c r="A951" s="57" t="s">
        <v>1110</v>
      </c>
      <c r="B951" s="72"/>
      <c r="C951" s="53" t="s">
        <v>701</v>
      </c>
      <c r="D951" s="53" t="s">
        <v>680</v>
      </c>
      <c r="E951" s="53" t="s">
        <v>1153</v>
      </c>
      <c r="F951" s="42"/>
      <c r="G951" s="38">
        <f t="shared" si="43"/>
        <v>0</v>
      </c>
      <c r="H951" s="39">
        <f t="shared" si="43"/>
        <v>0</v>
      </c>
      <c r="I951" s="39" t="e">
        <f t="shared" si="42"/>
        <v>#DIV/0!</v>
      </c>
    </row>
    <row r="952" spans="1:9" s="116" customFormat="1" ht="45.75" customHeight="1" hidden="1">
      <c r="A952" s="57" t="s">
        <v>1154</v>
      </c>
      <c r="B952" s="72"/>
      <c r="C952" s="53" t="s">
        <v>701</v>
      </c>
      <c r="D952" s="53" t="s">
        <v>680</v>
      </c>
      <c r="E952" s="53" t="s">
        <v>1155</v>
      </c>
      <c r="F952" s="42"/>
      <c r="G952" s="38">
        <f t="shared" si="43"/>
        <v>0</v>
      </c>
      <c r="H952" s="39">
        <f t="shared" si="43"/>
        <v>0</v>
      </c>
      <c r="I952" s="39" t="e">
        <f t="shared" si="42"/>
        <v>#DIV/0!</v>
      </c>
    </row>
    <row r="953" spans="1:9" s="135" customFormat="1" ht="25.5" customHeight="1" hidden="1">
      <c r="A953" s="57" t="s">
        <v>782</v>
      </c>
      <c r="B953" s="72"/>
      <c r="C953" s="53" t="s">
        <v>701</v>
      </c>
      <c r="D953" s="53" t="s">
        <v>680</v>
      </c>
      <c r="E953" s="53" t="s">
        <v>1155</v>
      </c>
      <c r="F953" s="42" t="s">
        <v>783</v>
      </c>
      <c r="G953" s="38"/>
      <c r="H953" s="39"/>
      <c r="I953" s="39" t="e">
        <f t="shared" si="42"/>
        <v>#DIV/0!</v>
      </c>
    </row>
    <row r="954" spans="1:9" s="135" customFormat="1" ht="27.75" customHeight="1">
      <c r="A954" s="40" t="s">
        <v>1080</v>
      </c>
      <c r="B954" s="53"/>
      <c r="C954" s="53" t="s">
        <v>701</v>
      </c>
      <c r="D954" s="53" t="s">
        <v>680</v>
      </c>
      <c r="E954" s="53" t="s">
        <v>1156</v>
      </c>
      <c r="F954" s="41"/>
      <c r="G954" s="38">
        <f>SUM(G955)+G957</f>
        <v>12609.3</v>
      </c>
      <c r="H954" s="39">
        <f>SUM(H955)+H957</f>
        <v>11183.8</v>
      </c>
      <c r="I954" s="39">
        <f t="shared" si="42"/>
        <v>88.69485221225604</v>
      </c>
    </row>
    <row r="955" spans="1:9" s="135" customFormat="1" ht="28.5">
      <c r="A955" s="54" t="s">
        <v>1157</v>
      </c>
      <c r="B955" s="53"/>
      <c r="C955" s="53" t="s">
        <v>701</v>
      </c>
      <c r="D955" s="53" t="s">
        <v>680</v>
      </c>
      <c r="E955" s="53" t="s">
        <v>1158</v>
      </c>
      <c r="F955" s="41"/>
      <c r="G955" s="38">
        <f>SUM(G956)</f>
        <v>11615.1</v>
      </c>
      <c r="H955" s="39">
        <f>SUM(H956)</f>
        <v>10189.6</v>
      </c>
      <c r="I955" s="39">
        <f t="shared" si="42"/>
        <v>87.72718271904677</v>
      </c>
    </row>
    <row r="956" spans="1:9" s="135" customFormat="1" ht="25.5" customHeight="1">
      <c r="A956" s="57" t="s">
        <v>782</v>
      </c>
      <c r="B956" s="53"/>
      <c r="C956" s="53" t="s">
        <v>701</v>
      </c>
      <c r="D956" s="53" t="s">
        <v>680</v>
      </c>
      <c r="E956" s="53" t="s">
        <v>1158</v>
      </c>
      <c r="F956" s="41" t="s">
        <v>783</v>
      </c>
      <c r="G956" s="38">
        <f>9628.2+1986.9</f>
        <v>11615.1</v>
      </c>
      <c r="H956" s="39">
        <v>10189.6</v>
      </c>
      <c r="I956" s="39">
        <f t="shared" si="42"/>
        <v>87.72718271904677</v>
      </c>
    </row>
    <row r="957" spans="1:9" s="106" customFormat="1" ht="46.5" customHeight="1">
      <c r="A957" s="54" t="s">
        <v>1159</v>
      </c>
      <c r="B957" s="53"/>
      <c r="C957" s="53" t="s">
        <v>701</v>
      </c>
      <c r="D957" s="53" t="s">
        <v>680</v>
      </c>
      <c r="E957" s="53" t="s">
        <v>1160</v>
      </c>
      <c r="F957" s="41"/>
      <c r="G957" s="38">
        <f>SUM(G958)</f>
        <v>994.1999999999998</v>
      </c>
      <c r="H957" s="39">
        <f>SUM(H958)</f>
        <v>994.1999999999998</v>
      </c>
      <c r="I957" s="39">
        <f t="shared" si="42"/>
        <v>100</v>
      </c>
    </row>
    <row r="958" spans="1:9" ht="15">
      <c r="A958" s="57" t="s">
        <v>782</v>
      </c>
      <c r="B958" s="53"/>
      <c r="C958" s="53" t="s">
        <v>701</v>
      </c>
      <c r="D958" s="53" t="s">
        <v>680</v>
      </c>
      <c r="E958" s="53" t="s">
        <v>1160</v>
      </c>
      <c r="F958" s="41" t="s">
        <v>783</v>
      </c>
      <c r="G958" s="38">
        <f>2981.1-1986.9</f>
        <v>994.1999999999998</v>
      </c>
      <c r="H958" s="39">
        <f>2981.1-1986.9</f>
        <v>994.1999999999998</v>
      </c>
      <c r="I958" s="39">
        <f t="shared" si="42"/>
        <v>100</v>
      </c>
    </row>
    <row r="959" spans="1:9" ht="20.25" customHeight="1">
      <c r="A959" s="40" t="s">
        <v>702</v>
      </c>
      <c r="B959" s="43"/>
      <c r="C959" s="36" t="s">
        <v>701</v>
      </c>
      <c r="D959" s="36" t="s">
        <v>701</v>
      </c>
      <c r="E959" s="36"/>
      <c r="F959" s="37"/>
      <c r="G959" s="38">
        <f>SUM(G964+G973+G960)</f>
        <v>30738.4</v>
      </c>
      <c r="H959" s="39">
        <f>SUM(H964+H973+H960)</f>
        <v>30738.4</v>
      </c>
      <c r="I959" s="39">
        <f t="shared" si="42"/>
        <v>100</v>
      </c>
    </row>
    <row r="960" spans="1:9" ht="17.25" customHeight="1">
      <c r="A960" s="34" t="s">
        <v>769</v>
      </c>
      <c r="B960" s="35"/>
      <c r="C960" s="36" t="s">
        <v>701</v>
      </c>
      <c r="D960" s="36" t="s">
        <v>701</v>
      </c>
      <c r="E960" s="36" t="s">
        <v>771</v>
      </c>
      <c r="F960" s="37"/>
      <c r="G960" s="38">
        <f>SUM(G961)</f>
        <v>1335.9</v>
      </c>
      <c r="H960" s="39">
        <f>SUM(H961)</f>
        <v>1335.9</v>
      </c>
      <c r="I960" s="39">
        <f t="shared" si="42"/>
        <v>100</v>
      </c>
    </row>
    <row r="961" spans="1:9" ht="15.75" customHeight="1">
      <c r="A961" s="34" t="s">
        <v>740</v>
      </c>
      <c r="B961" s="35"/>
      <c r="C961" s="36" t="s">
        <v>701</v>
      </c>
      <c r="D961" s="36" t="s">
        <v>701</v>
      </c>
      <c r="E961" s="36" t="s">
        <v>741</v>
      </c>
      <c r="F961" s="37"/>
      <c r="G961" s="38">
        <f>SUM(G962+G963)</f>
        <v>1335.9</v>
      </c>
      <c r="H961" s="39">
        <f>SUM(H962+H963)</f>
        <v>1335.9</v>
      </c>
      <c r="I961" s="39">
        <f t="shared" si="42"/>
        <v>100</v>
      </c>
    </row>
    <row r="962" spans="1:9" ht="17.25" customHeight="1">
      <c r="A962" s="57" t="s">
        <v>782</v>
      </c>
      <c r="B962" s="52"/>
      <c r="C962" s="36" t="s">
        <v>701</v>
      </c>
      <c r="D962" s="36" t="s">
        <v>701</v>
      </c>
      <c r="E962" s="36" t="s">
        <v>741</v>
      </c>
      <c r="F962" s="41" t="s">
        <v>783</v>
      </c>
      <c r="G962" s="38">
        <f>1000-36</f>
        <v>964</v>
      </c>
      <c r="H962" s="39">
        <v>964</v>
      </c>
      <c r="I962" s="39">
        <f t="shared" si="42"/>
        <v>100</v>
      </c>
    </row>
    <row r="963" spans="1:9" ht="17.25" customHeight="1">
      <c r="A963" s="57" t="s">
        <v>1163</v>
      </c>
      <c r="B963" s="52"/>
      <c r="C963" s="36" t="s">
        <v>701</v>
      </c>
      <c r="D963" s="36" t="s">
        <v>701</v>
      </c>
      <c r="E963" s="36" t="s">
        <v>741</v>
      </c>
      <c r="F963" s="41" t="s">
        <v>1164</v>
      </c>
      <c r="G963" s="38">
        <v>371.9</v>
      </c>
      <c r="H963" s="39">
        <v>371.9</v>
      </c>
      <c r="I963" s="39">
        <f t="shared" si="42"/>
        <v>100</v>
      </c>
    </row>
    <row r="964" spans="1:9" ht="28.5">
      <c r="A964" s="51" t="s">
        <v>1165</v>
      </c>
      <c r="B964" s="52"/>
      <c r="C964" s="53" t="s">
        <v>701</v>
      </c>
      <c r="D964" s="53" t="s">
        <v>701</v>
      </c>
      <c r="E964" s="53" t="s">
        <v>1166</v>
      </c>
      <c r="F964" s="41"/>
      <c r="G964" s="38">
        <f>SUM(G965+G971+G969)</f>
        <v>1960.4</v>
      </c>
      <c r="H964" s="39">
        <f>SUM(H965+H971+H969)</f>
        <v>1960.4</v>
      </c>
      <c r="I964" s="39">
        <f t="shared" si="42"/>
        <v>100</v>
      </c>
    </row>
    <row r="965" spans="1:9" ht="20.25" customHeight="1">
      <c r="A965" s="51" t="s">
        <v>1167</v>
      </c>
      <c r="B965" s="53"/>
      <c r="C965" s="53" t="s">
        <v>701</v>
      </c>
      <c r="D965" s="53" t="s">
        <v>701</v>
      </c>
      <c r="E965" s="53" t="s">
        <v>1168</v>
      </c>
      <c r="F965" s="41"/>
      <c r="G965" s="38">
        <f>SUM(G966+G967)</f>
        <v>351.90000000000003</v>
      </c>
      <c r="H965" s="39">
        <f>SUM(H966+H967)</f>
        <v>351.9</v>
      </c>
      <c r="I965" s="39">
        <f t="shared" si="42"/>
        <v>99.99999999999999</v>
      </c>
    </row>
    <row r="966" spans="1:9" ht="18.75" customHeight="1">
      <c r="A966" s="57" t="s">
        <v>782</v>
      </c>
      <c r="B966" s="52"/>
      <c r="C966" s="53" t="s">
        <v>701</v>
      </c>
      <c r="D966" s="53" t="s">
        <v>701</v>
      </c>
      <c r="E966" s="53" t="s">
        <v>1168</v>
      </c>
      <c r="F966" s="41" t="s">
        <v>783</v>
      </c>
      <c r="G966" s="38">
        <f>372.8-20.9</f>
        <v>351.90000000000003</v>
      </c>
      <c r="H966" s="39">
        <v>351.9</v>
      </c>
      <c r="I966" s="39">
        <f t="shared" si="42"/>
        <v>99.99999999999999</v>
      </c>
    </row>
    <row r="967" spans="1:9" ht="28.5" hidden="1">
      <c r="A967" s="34" t="s">
        <v>780</v>
      </c>
      <c r="B967" s="52"/>
      <c r="C967" s="53" t="s">
        <v>701</v>
      </c>
      <c r="D967" s="53" t="s">
        <v>701</v>
      </c>
      <c r="E967" s="53" t="s">
        <v>427</v>
      </c>
      <c r="F967" s="41"/>
      <c r="G967" s="38">
        <f>SUM(G968)</f>
        <v>0</v>
      </c>
      <c r="H967" s="39">
        <f>SUM(H968)</f>
        <v>0</v>
      </c>
      <c r="I967" s="39" t="e">
        <f t="shared" si="42"/>
        <v>#DIV/0!</v>
      </c>
    </row>
    <row r="968" spans="1:9" ht="15" hidden="1">
      <c r="A968" s="57" t="s">
        <v>782</v>
      </c>
      <c r="B968" s="52"/>
      <c r="C968" s="53" t="s">
        <v>701</v>
      </c>
      <c r="D968" s="53" t="s">
        <v>701</v>
      </c>
      <c r="E968" s="53" t="s">
        <v>427</v>
      </c>
      <c r="F968" s="41" t="s">
        <v>783</v>
      </c>
      <c r="G968" s="38"/>
      <c r="H968" s="39"/>
      <c r="I968" s="39" t="e">
        <f t="shared" si="42"/>
        <v>#DIV/0!</v>
      </c>
    </row>
    <row r="969" spans="1:9" ht="55.5" customHeight="1">
      <c r="A969" s="57" t="s">
        <v>1171</v>
      </c>
      <c r="B969" s="52"/>
      <c r="C969" s="53" t="s">
        <v>701</v>
      </c>
      <c r="D969" s="53" t="s">
        <v>701</v>
      </c>
      <c r="E969" s="53" t="s">
        <v>1172</v>
      </c>
      <c r="F969" s="41"/>
      <c r="G969" s="38">
        <f>SUM(G970)</f>
        <v>444.6</v>
      </c>
      <c r="H969" s="39">
        <f>SUM(H970)</f>
        <v>444.6</v>
      </c>
      <c r="I969" s="39">
        <f t="shared" si="42"/>
        <v>100</v>
      </c>
    </row>
    <row r="970" spans="1:9" ht="24" customHeight="1">
      <c r="A970" s="57" t="s">
        <v>782</v>
      </c>
      <c r="B970" s="52"/>
      <c r="C970" s="53" t="s">
        <v>701</v>
      </c>
      <c r="D970" s="53" t="s">
        <v>701</v>
      </c>
      <c r="E970" s="53" t="s">
        <v>1172</v>
      </c>
      <c r="F970" s="41" t="s">
        <v>783</v>
      </c>
      <c r="G970" s="38">
        <f>530-85.4</f>
        <v>444.6</v>
      </c>
      <c r="H970" s="39">
        <v>444.6</v>
      </c>
      <c r="I970" s="39">
        <f t="shared" si="42"/>
        <v>100</v>
      </c>
    </row>
    <row r="971" spans="1:9" ht="28.5">
      <c r="A971" s="34" t="s">
        <v>780</v>
      </c>
      <c r="B971" s="52"/>
      <c r="C971" s="53" t="s">
        <v>701</v>
      </c>
      <c r="D971" s="53" t="s">
        <v>701</v>
      </c>
      <c r="E971" s="53" t="s">
        <v>1173</v>
      </c>
      <c r="F971" s="41"/>
      <c r="G971" s="38">
        <f>SUM(G972)</f>
        <v>1163.9</v>
      </c>
      <c r="H971" s="39">
        <f>SUM(H972)</f>
        <v>1163.9</v>
      </c>
      <c r="I971" s="39">
        <f t="shared" si="42"/>
        <v>100</v>
      </c>
    </row>
    <row r="972" spans="1:9" ht="18" customHeight="1">
      <c r="A972" s="57" t="s">
        <v>782</v>
      </c>
      <c r="B972" s="52"/>
      <c r="C972" s="53" t="s">
        <v>701</v>
      </c>
      <c r="D972" s="53" t="s">
        <v>701</v>
      </c>
      <c r="E972" s="53" t="s">
        <v>1173</v>
      </c>
      <c r="F972" s="41" t="s">
        <v>783</v>
      </c>
      <c r="G972" s="38">
        <f>1428.5-0.6-273.3+9.3</f>
        <v>1163.9</v>
      </c>
      <c r="H972" s="39">
        <v>1163.9</v>
      </c>
      <c r="I972" s="39">
        <f t="shared" si="42"/>
        <v>100</v>
      </c>
    </row>
    <row r="973" spans="1:9" ht="28.5">
      <c r="A973" s="54" t="s">
        <v>1174</v>
      </c>
      <c r="B973" s="43"/>
      <c r="C973" s="36" t="s">
        <v>701</v>
      </c>
      <c r="D973" s="36" t="s">
        <v>701</v>
      </c>
      <c r="E973" s="36" t="s">
        <v>704</v>
      </c>
      <c r="F973" s="37"/>
      <c r="G973" s="38">
        <f>SUM(G975+G977+G979)</f>
        <v>27442.1</v>
      </c>
      <c r="H973" s="39">
        <f>SUM(H975+H977+H979)</f>
        <v>27442.1</v>
      </c>
      <c r="I973" s="39">
        <f t="shared" si="42"/>
        <v>100</v>
      </c>
    </row>
    <row r="974" spans="1:9" ht="15">
      <c r="A974" s="54" t="s">
        <v>1175</v>
      </c>
      <c r="B974" s="43"/>
      <c r="C974" s="36" t="s">
        <v>701</v>
      </c>
      <c r="D974" s="36" t="s">
        <v>701</v>
      </c>
      <c r="E974" s="36" t="s">
        <v>1176</v>
      </c>
      <c r="F974" s="37"/>
      <c r="G974" s="38">
        <f>SUM(G975)</f>
        <v>2757.3</v>
      </c>
      <c r="H974" s="39">
        <f>SUM(H975)</f>
        <v>2757.3</v>
      </c>
      <c r="I974" s="39">
        <f t="shared" si="42"/>
        <v>100</v>
      </c>
    </row>
    <row r="975" spans="1:9" ht="15.75" customHeight="1">
      <c r="A975" s="57" t="s">
        <v>782</v>
      </c>
      <c r="B975" s="43"/>
      <c r="C975" s="36" t="s">
        <v>701</v>
      </c>
      <c r="D975" s="36" t="s">
        <v>701</v>
      </c>
      <c r="E975" s="36" t="s">
        <v>1176</v>
      </c>
      <c r="F975" s="37" t="s">
        <v>783</v>
      </c>
      <c r="G975" s="38">
        <f>2818.4-61.1</f>
        <v>2757.3</v>
      </c>
      <c r="H975" s="39">
        <v>2757.3</v>
      </c>
      <c r="I975" s="39">
        <f t="shared" si="42"/>
        <v>100</v>
      </c>
    </row>
    <row r="976" spans="1:9" ht="75.75" customHeight="1">
      <c r="A976" s="57" t="s">
        <v>1120</v>
      </c>
      <c r="B976" s="72"/>
      <c r="C976" s="36" t="s">
        <v>701</v>
      </c>
      <c r="D976" s="36" t="s">
        <v>701</v>
      </c>
      <c r="E976" s="53" t="s">
        <v>1177</v>
      </c>
      <c r="F976" s="42"/>
      <c r="G976" s="38">
        <f>SUM(G977)</f>
        <v>6986.3</v>
      </c>
      <c r="H976" s="39">
        <f>SUM(H977)</f>
        <v>6986.3</v>
      </c>
      <c r="I976" s="39">
        <f t="shared" si="42"/>
        <v>100</v>
      </c>
    </row>
    <row r="977" spans="1:9" ht="21" customHeight="1">
      <c r="A977" s="57" t="s">
        <v>1122</v>
      </c>
      <c r="B977" s="72"/>
      <c r="C977" s="36" t="s">
        <v>701</v>
      </c>
      <c r="D977" s="36" t="s">
        <v>701</v>
      </c>
      <c r="E977" s="53" t="s">
        <v>1177</v>
      </c>
      <c r="F977" s="42" t="s">
        <v>1123</v>
      </c>
      <c r="G977" s="38">
        <v>6986.3</v>
      </c>
      <c r="H977" s="39">
        <v>6986.3</v>
      </c>
      <c r="I977" s="39">
        <f t="shared" si="42"/>
        <v>100</v>
      </c>
    </row>
    <row r="978" spans="1:9" ht="60.75" customHeight="1">
      <c r="A978" s="57" t="s">
        <v>1178</v>
      </c>
      <c r="B978" s="43"/>
      <c r="C978" s="53" t="s">
        <v>701</v>
      </c>
      <c r="D978" s="36" t="s">
        <v>701</v>
      </c>
      <c r="E978" s="53" t="s">
        <v>1179</v>
      </c>
      <c r="F978" s="37"/>
      <c r="G978" s="38">
        <f>SUM(G979)</f>
        <v>17698.5</v>
      </c>
      <c r="H978" s="39">
        <f>SUM(H979)</f>
        <v>17698.5</v>
      </c>
      <c r="I978" s="39">
        <f t="shared" si="42"/>
        <v>100</v>
      </c>
    </row>
    <row r="979" spans="1:9" ht="18" customHeight="1">
      <c r="A979" s="57" t="s">
        <v>903</v>
      </c>
      <c r="B979" s="43"/>
      <c r="C979" s="53" t="s">
        <v>701</v>
      </c>
      <c r="D979" s="36" t="s">
        <v>701</v>
      </c>
      <c r="E979" s="53" t="s">
        <v>1179</v>
      </c>
      <c r="F979" s="37" t="s">
        <v>904</v>
      </c>
      <c r="G979" s="38">
        <v>17698.5</v>
      </c>
      <c r="H979" s="39">
        <v>17698.5</v>
      </c>
      <c r="I979" s="39">
        <f t="shared" si="42"/>
        <v>100</v>
      </c>
    </row>
    <row r="980" spans="1:9" ht="14.25" customHeight="1" hidden="1">
      <c r="A980" s="57" t="s">
        <v>1186</v>
      </c>
      <c r="B980" s="43"/>
      <c r="C980" s="53" t="s">
        <v>701</v>
      </c>
      <c r="D980" s="36" t="s">
        <v>701</v>
      </c>
      <c r="E980" s="53" t="s">
        <v>1185</v>
      </c>
      <c r="F980" s="37" t="s">
        <v>1187</v>
      </c>
      <c r="G980" s="38"/>
      <c r="H980" s="39"/>
      <c r="I980" s="39" t="e">
        <f t="shared" si="42"/>
        <v>#DIV/0!</v>
      </c>
    </row>
    <row r="981" spans="1:9" ht="15">
      <c r="A981" s="34" t="s">
        <v>1188</v>
      </c>
      <c r="B981" s="35"/>
      <c r="C981" s="53" t="s">
        <v>701</v>
      </c>
      <c r="D981" s="53" t="s">
        <v>887</v>
      </c>
      <c r="E981" s="53"/>
      <c r="F981" s="41"/>
      <c r="G981" s="38">
        <f>SUM(G982+G986+G993+G1011+G1006)</f>
        <v>58080</v>
      </c>
      <c r="H981" s="38">
        <f>SUM(H982+H986+H993+H1011)</f>
        <v>57910.7</v>
      </c>
      <c r="I981" s="39">
        <f t="shared" si="42"/>
        <v>99.70850550964187</v>
      </c>
    </row>
    <row r="982" spans="1:9" ht="15">
      <c r="A982" s="103" t="s">
        <v>1147</v>
      </c>
      <c r="B982" s="92"/>
      <c r="C982" s="53" t="s">
        <v>701</v>
      </c>
      <c r="D982" s="53" t="s">
        <v>887</v>
      </c>
      <c r="E982" s="53" t="s">
        <v>1148</v>
      </c>
      <c r="F982" s="41"/>
      <c r="G982" s="38">
        <f aca="true" t="shared" si="44" ref="G982:H984">SUM(G983)</f>
        <v>2757.6</v>
      </c>
      <c r="H982" s="39">
        <f t="shared" si="44"/>
        <v>2711.9</v>
      </c>
      <c r="I982" s="39">
        <f t="shared" si="42"/>
        <v>98.3427618218741</v>
      </c>
    </row>
    <row r="983" spans="1:9" ht="15">
      <c r="A983" s="40" t="s">
        <v>1190</v>
      </c>
      <c r="B983" s="92"/>
      <c r="C983" s="53" t="s">
        <v>701</v>
      </c>
      <c r="D983" s="53" t="s">
        <v>887</v>
      </c>
      <c r="E983" s="53" t="s">
        <v>1191</v>
      </c>
      <c r="F983" s="41"/>
      <c r="G983" s="38">
        <f t="shared" si="44"/>
        <v>2757.6</v>
      </c>
      <c r="H983" s="39">
        <f t="shared" si="44"/>
        <v>2711.9</v>
      </c>
      <c r="I983" s="39">
        <f t="shared" si="42"/>
        <v>98.3427618218741</v>
      </c>
    </row>
    <row r="984" spans="1:9" ht="30.75" customHeight="1">
      <c r="A984" s="57" t="s">
        <v>1192</v>
      </c>
      <c r="B984" s="92"/>
      <c r="C984" s="53" t="s">
        <v>701</v>
      </c>
      <c r="D984" s="53" t="s">
        <v>887</v>
      </c>
      <c r="E984" s="53" t="s">
        <v>1193</v>
      </c>
      <c r="F984" s="41"/>
      <c r="G984" s="38">
        <f t="shared" si="44"/>
        <v>2757.6</v>
      </c>
      <c r="H984" s="39">
        <f t="shared" si="44"/>
        <v>2711.9</v>
      </c>
      <c r="I984" s="39">
        <f t="shared" si="42"/>
        <v>98.3427618218741</v>
      </c>
    </row>
    <row r="985" spans="1:9" ht="28.5">
      <c r="A985" s="57" t="s">
        <v>685</v>
      </c>
      <c r="B985" s="92"/>
      <c r="C985" s="53" t="s">
        <v>701</v>
      </c>
      <c r="D985" s="53" t="s">
        <v>887</v>
      </c>
      <c r="E985" s="53" t="s">
        <v>1193</v>
      </c>
      <c r="F985" s="41" t="s">
        <v>686</v>
      </c>
      <c r="G985" s="38">
        <f>2671+86.6</f>
        <v>2757.6</v>
      </c>
      <c r="H985" s="39">
        <v>2711.9</v>
      </c>
      <c r="I985" s="39">
        <f t="shared" si="42"/>
        <v>98.3427618218741</v>
      </c>
    </row>
    <row r="986" spans="1:9" ht="72" customHeight="1">
      <c r="A986" s="54" t="s">
        <v>1194</v>
      </c>
      <c r="B986" s="35"/>
      <c r="C986" s="53" t="s">
        <v>701</v>
      </c>
      <c r="D986" s="53" t="s">
        <v>887</v>
      </c>
      <c r="E986" s="53" t="s">
        <v>1195</v>
      </c>
      <c r="F986" s="41"/>
      <c r="G986" s="38">
        <f>SUM(G987)</f>
        <v>25955.5</v>
      </c>
      <c r="H986" s="39">
        <f>SUM(H987)</f>
        <v>25832.2</v>
      </c>
      <c r="I986" s="39">
        <f aca="true" t="shared" si="45" ref="I986:I1049">SUM(H986/G986*100)</f>
        <v>99.52495617499181</v>
      </c>
    </row>
    <row r="987" spans="1:9" ht="28.5">
      <c r="A987" s="40" t="s">
        <v>780</v>
      </c>
      <c r="B987" s="92"/>
      <c r="C987" s="53" t="s">
        <v>701</v>
      </c>
      <c r="D987" s="53" t="s">
        <v>887</v>
      </c>
      <c r="E987" s="53" t="s">
        <v>1196</v>
      </c>
      <c r="F987" s="41"/>
      <c r="G987" s="38">
        <f>SUM(G988+G989+G991)</f>
        <v>25955.5</v>
      </c>
      <c r="H987" s="39">
        <f>SUM(H988+H989+H991)</f>
        <v>25832.2</v>
      </c>
      <c r="I987" s="39">
        <f t="shared" si="45"/>
        <v>99.52495617499181</v>
      </c>
    </row>
    <row r="988" spans="1:9" ht="15">
      <c r="A988" s="57" t="s">
        <v>782</v>
      </c>
      <c r="B988" s="92"/>
      <c r="C988" s="53" t="s">
        <v>701</v>
      </c>
      <c r="D988" s="53" t="s">
        <v>887</v>
      </c>
      <c r="E988" s="53" t="s">
        <v>1196</v>
      </c>
      <c r="F988" s="41" t="s">
        <v>783</v>
      </c>
      <c r="G988" s="38">
        <v>25834</v>
      </c>
      <c r="H988" s="39">
        <v>25832.2</v>
      </c>
      <c r="I988" s="39">
        <f t="shared" si="45"/>
        <v>99.99303243787257</v>
      </c>
    </row>
    <row r="989" spans="1:9" ht="28.5">
      <c r="A989" s="57" t="s">
        <v>428</v>
      </c>
      <c r="B989" s="92"/>
      <c r="C989" s="53" t="s">
        <v>701</v>
      </c>
      <c r="D989" s="53" t="s">
        <v>887</v>
      </c>
      <c r="E989" s="53" t="s">
        <v>1197</v>
      </c>
      <c r="F989" s="41"/>
      <c r="G989" s="38">
        <f>SUM(G990)</f>
        <v>121.5</v>
      </c>
      <c r="H989" s="39">
        <f>SUM(H990)</f>
        <v>0</v>
      </c>
      <c r="I989" s="39">
        <f t="shared" si="45"/>
        <v>0</v>
      </c>
    </row>
    <row r="990" spans="1:9" ht="18.75" customHeight="1">
      <c r="A990" s="57" t="s">
        <v>782</v>
      </c>
      <c r="B990" s="92"/>
      <c r="C990" s="53" t="s">
        <v>701</v>
      </c>
      <c r="D990" s="53" t="s">
        <v>887</v>
      </c>
      <c r="E990" s="53" t="s">
        <v>1197</v>
      </c>
      <c r="F990" s="41" t="s">
        <v>783</v>
      </c>
      <c r="G990" s="38">
        <v>121.5</v>
      </c>
      <c r="H990" s="39"/>
      <c r="I990" s="39">
        <f t="shared" si="45"/>
        <v>0</v>
      </c>
    </row>
    <row r="991" spans="1:9" ht="0.75" customHeight="1" hidden="1">
      <c r="A991" s="40" t="s">
        <v>1114</v>
      </c>
      <c r="B991" s="72"/>
      <c r="C991" s="53" t="s">
        <v>701</v>
      </c>
      <c r="D991" s="53" t="s">
        <v>887</v>
      </c>
      <c r="E991" s="53" t="s">
        <v>1198</v>
      </c>
      <c r="F991" s="42"/>
      <c r="G991" s="38">
        <f>SUM(G992)</f>
        <v>0</v>
      </c>
      <c r="H991" s="39">
        <f>SUM(H992)</f>
        <v>0</v>
      </c>
      <c r="I991" s="39" t="e">
        <f t="shared" si="45"/>
        <v>#DIV/0!</v>
      </c>
    </row>
    <row r="992" spans="1:9" ht="15" hidden="1">
      <c r="A992" s="57" t="s">
        <v>782</v>
      </c>
      <c r="B992" s="72"/>
      <c r="C992" s="53" t="s">
        <v>701</v>
      </c>
      <c r="D992" s="53" t="s">
        <v>887</v>
      </c>
      <c r="E992" s="53" t="s">
        <v>1198</v>
      </c>
      <c r="F992" s="42" t="s">
        <v>783</v>
      </c>
      <c r="G992" s="38"/>
      <c r="H992" s="39"/>
      <c r="I992" s="39" t="e">
        <f t="shared" si="45"/>
        <v>#DIV/0!</v>
      </c>
    </row>
    <row r="993" spans="1:9" ht="15" customHeight="1">
      <c r="A993" s="40" t="s">
        <v>906</v>
      </c>
      <c r="B993" s="72"/>
      <c r="C993" s="53" t="s">
        <v>701</v>
      </c>
      <c r="D993" s="53" t="s">
        <v>887</v>
      </c>
      <c r="E993" s="53" t="s">
        <v>907</v>
      </c>
      <c r="F993" s="42"/>
      <c r="G993" s="38">
        <f>SUM(G996+G1000+G1004+G998+G1002+G994)</f>
        <v>1045.2</v>
      </c>
      <c r="H993" s="39">
        <f>SUM(H996+H1000+H1004+H998+H1002)+H994</f>
        <v>1045.2</v>
      </c>
      <c r="I993" s="39">
        <f t="shared" si="45"/>
        <v>100</v>
      </c>
    </row>
    <row r="994" spans="1:9" ht="62.25" customHeight="1">
      <c r="A994" s="40" t="s">
        <v>1199</v>
      </c>
      <c r="B994" s="72"/>
      <c r="C994" s="53" t="s">
        <v>701</v>
      </c>
      <c r="D994" s="53" t="s">
        <v>887</v>
      </c>
      <c r="E994" s="53" t="s">
        <v>1200</v>
      </c>
      <c r="F994" s="42"/>
      <c r="G994" s="38">
        <f>SUM(G995)</f>
        <v>346</v>
      </c>
      <c r="H994" s="39">
        <f>SUM(H995)</f>
        <v>346</v>
      </c>
      <c r="I994" s="39"/>
    </row>
    <row r="995" spans="1:9" ht="15" customHeight="1">
      <c r="A995" s="57" t="s">
        <v>782</v>
      </c>
      <c r="B995" s="72"/>
      <c r="C995" s="53" t="s">
        <v>701</v>
      </c>
      <c r="D995" s="53" t="s">
        <v>887</v>
      </c>
      <c r="E995" s="53" t="s">
        <v>1200</v>
      </c>
      <c r="F995" s="42" t="s">
        <v>783</v>
      </c>
      <c r="G995" s="38">
        <v>346</v>
      </c>
      <c r="H995" s="39">
        <v>346</v>
      </c>
      <c r="I995" s="39"/>
    </row>
    <row r="996" spans="1:9" ht="57" hidden="1">
      <c r="A996" s="40" t="s">
        <v>429</v>
      </c>
      <c r="B996" s="72"/>
      <c r="C996" s="53" t="s">
        <v>701</v>
      </c>
      <c r="D996" s="53" t="s">
        <v>887</v>
      </c>
      <c r="E996" s="53" t="s">
        <v>430</v>
      </c>
      <c r="F996" s="42"/>
      <c r="G996" s="38">
        <f>SUM(G997)</f>
        <v>0</v>
      </c>
      <c r="H996" s="39">
        <f>SUM(H997)</f>
        <v>0</v>
      </c>
      <c r="I996" s="39" t="e">
        <f t="shared" si="45"/>
        <v>#DIV/0!</v>
      </c>
    </row>
    <row r="997" spans="1:9" ht="15" hidden="1">
      <c r="A997" s="40" t="s">
        <v>403</v>
      </c>
      <c r="B997" s="72"/>
      <c r="C997" s="53" t="s">
        <v>701</v>
      </c>
      <c r="D997" s="53" t="s">
        <v>887</v>
      </c>
      <c r="E997" s="53" t="s">
        <v>430</v>
      </c>
      <c r="F997" s="42" t="s">
        <v>1352</v>
      </c>
      <c r="G997" s="38"/>
      <c r="H997" s="39"/>
      <c r="I997" s="39" t="e">
        <f t="shared" si="45"/>
        <v>#DIV/0!</v>
      </c>
    </row>
    <row r="998" spans="1:9" ht="71.25" hidden="1">
      <c r="A998" s="40" t="s">
        <v>1201</v>
      </c>
      <c r="B998" s="72"/>
      <c r="C998" s="53" t="s">
        <v>701</v>
      </c>
      <c r="D998" s="53" t="s">
        <v>887</v>
      </c>
      <c r="E998" s="53" t="s">
        <v>1202</v>
      </c>
      <c r="F998" s="42"/>
      <c r="G998" s="38">
        <f>SUM(G999)</f>
        <v>0</v>
      </c>
      <c r="H998" s="39">
        <f>SUM(H999)</f>
        <v>0</v>
      </c>
      <c r="I998" s="39" t="e">
        <f t="shared" si="45"/>
        <v>#DIV/0!</v>
      </c>
    </row>
    <row r="999" spans="1:9" ht="28.5" hidden="1">
      <c r="A999" s="40" t="s">
        <v>1110</v>
      </c>
      <c r="B999" s="72"/>
      <c r="C999" s="53" t="s">
        <v>701</v>
      </c>
      <c r="D999" s="53" t="s">
        <v>887</v>
      </c>
      <c r="E999" s="53" t="s">
        <v>1202</v>
      </c>
      <c r="F999" s="42" t="s">
        <v>1203</v>
      </c>
      <c r="G999" s="38"/>
      <c r="H999" s="39"/>
      <c r="I999" s="39" t="e">
        <f t="shared" si="45"/>
        <v>#DIV/0!</v>
      </c>
    </row>
    <row r="1000" spans="1:9" ht="57" hidden="1">
      <c r="A1000" s="40" t="s">
        <v>1099</v>
      </c>
      <c r="B1000" s="72"/>
      <c r="C1000" s="53" t="s">
        <v>701</v>
      </c>
      <c r="D1000" s="53" t="s">
        <v>887</v>
      </c>
      <c r="E1000" s="53" t="s">
        <v>1100</v>
      </c>
      <c r="F1000" s="42"/>
      <c r="G1000" s="38">
        <f>SUM(G1001)</f>
        <v>0</v>
      </c>
      <c r="H1000" s="39">
        <f>SUM(H1001)</f>
        <v>0</v>
      </c>
      <c r="I1000" s="39" t="e">
        <f t="shared" si="45"/>
        <v>#DIV/0!</v>
      </c>
    </row>
    <row r="1001" spans="1:9" ht="15" hidden="1">
      <c r="A1001" s="57" t="s">
        <v>782</v>
      </c>
      <c r="B1001" s="72"/>
      <c r="C1001" s="53" t="s">
        <v>701</v>
      </c>
      <c r="D1001" s="53" t="s">
        <v>887</v>
      </c>
      <c r="E1001" s="53" t="s">
        <v>1100</v>
      </c>
      <c r="F1001" s="42" t="s">
        <v>783</v>
      </c>
      <c r="G1001" s="38"/>
      <c r="H1001" s="39"/>
      <c r="I1001" s="39" t="e">
        <f t="shared" si="45"/>
        <v>#DIV/0!</v>
      </c>
    </row>
    <row r="1002" spans="1:9" ht="42.75" hidden="1">
      <c r="A1002" s="57" t="s">
        <v>1204</v>
      </c>
      <c r="B1002" s="72"/>
      <c r="C1002" s="53" t="s">
        <v>701</v>
      </c>
      <c r="D1002" s="53" t="s">
        <v>887</v>
      </c>
      <c r="E1002" s="53" t="s">
        <v>1205</v>
      </c>
      <c r="F1002" s="42"/>
      <c r="G1002" s="38">
        <f>SUM(G1003)</f>
        <v>0</v>
      </c>
      <c r="H1002" s="39">
        <f>SUM(H1003)</f>
        <v>0</v>
      </c>
      <c r="I1002" s="39" t="e">
        <f t="shared" si="45"/>
        <v>#DIV/0!</v>
      </c>
    </row>
    <row r="1003" spans="1:9" ht="10.5" customHeight="1" hidden="1">
      <c r="A1003" s="40" t="s">
        <v>1110</v>
      </c>
      <c r="B1003" s="72"/>
      <c r="C1003" s="53" t="s">
        <v>701</v>
      </c>
      <c r="D1003" s="53" t="s">
        <v>887</v>
      </c>
      <c r="E1003" s="53" t="s">
        <v>1205</v>
      </c>
      <c r="F1003" s="42" t="s">
        <v>1203</v>
      </c>
      <c r="G1003" s="38"/>
      <c r="H1003" s="39"/>
      <c r="I1003" s="39" t="e">
        <f t="shared" si="45"/>
        <v>#DIV/0!</v>
      </c>
    </row>
    <row r="1004" spans="1:9" ht="39.75" customHeight="1">
      <c r="A1004" s="40" t="s">
        <v>1206</v>
      </c>
      <c r="B1004" s="72"/>
      <c r="C1004" s="53" t="s">
        <v>701</v>
      </c>
      <c r="D1004" s="53" t="s">
        <v>887</v>
      </c>
      <c r="E1004" s="53" t="s">
        <v>1207</v>
      </c>
      <c r="F1004" s="42"/>
      <c r="G1004" s="38">
        <f>SUM(G1007)</f>
        <v>699.2</v>
      </c>
      <c r="H1004" s="38">
        <f>SUM(H1007)</f>
        <v>699.2</v>
      </c>
      <c r="I1004" s="39">
        <f t="shared" si="45"/>
        <v>100</v>
      </c>
    </row>
    <row r="1005" spans="1:9" ht="12.75" customHeight="1" hidden="1">
      <c r="A1005" s="40" t="s">
        <v>1208</v>
      </c>
      <c r="B1005" s="72"/>
      <c r="C1005" s="53" t="s">
        <v>701</v>
      </c>
      <c r="D1005" s="53" t="s">
        <v>887</v>
      </c>
      <c r="E1005" s="53" t="s">
        <v>1207</v>
      </c>
      <c r="F1005" s="42" t="s">
        <v>1092</v>
      </c>
      <c r="G1005" s="38"/>
      <c r="H1005" s="39"/>
      <c r="I1005" s="39" t="e">
        <f t="shared" si="45"/>
        <v>#DIV/0!</v>
      </c>
    </row>
    <row r="1006" spans="1:9" ht="15" hidden="1">
      <c r="A1006" s="40" t="s">
        <v>906</v>
      </c>
      <c r="B1006" s="72"/>
      <c r="C1006" s="53" t="s">
        <v>701</v>
      </c>
      <c r="D1006" s="53" t="s">
        <v>887</v>
      </c>
      <c r="E1006" s="53" t="s">
        <v>907</v>
      </c>
      <c r="F1006" s="42"/>
      <c r="G1006" s="38"/>
      <c r="H1006" s="39"/>
      <c r="I1006" s="39" t="e">
        <f t="shared" si="45"/>
        <v>#DIV/0!</v>
      </c>
    </row>
    <row r="1007" spans="1:9" ht="45" customHeight="1">
      <c r="A1007" s="40" t="s">
        <v>431</v>
      </c>
      <c r="B1007" s="72"/>
      <c r="C1007" s="53" t="s">
        <v>701</v>
      </c>
      <c r="D1007" s="53" t="s">
        <v>887</v>
      </c>
      <c r="E1007" s="53" t="s">
        <v>1207</v>
      </c>
      <c r="F1007" s="42"/>
      <c r="G1007" s="38">
        <f>SUM(G1009+G1008)</f>
        <v>699.2</v>
      </c>
      <c r="H1007" s="38">
        <f>SUM(H1009+H1008)</f>
        <v>699.2</v>
      </c>
      <c r="I1007" s="39">
        <f t="shared" si="45"/>
        <v>100</v>
      </c>
    </row>
    <row r="1008" spans="1:9" ht="30.75" customHeight="1">
      <c r="A1008" s="57" t="s">
        <v>1209</v>
      </c>
      <c r="B1008" s="72"/>
      <c r="C1008" s="53" t="s">
        <v>701</v>
      </c>
      <c r="D1008" s="53" t="s">
        <v>887</v>
      </c>
      <c r="E1008" s="53" t="s">
        <v>1207</v>
      </c>
      <c r="F1008" s="42" t="s">
        <v>1092</v>
      </c>
      <c r="G1008" s="38">
        <v>73.2</v>
      </c>
      <c r="H1008" s="39">
        <v>73.2</v>
      </c>
      <c r="I1008" s="39"/>
    </row>
    <row r="1009" spans="1:9" ht="89.25" customHeight="1">
      <c r="A1009" s="132" t="s">
        <v>1210</v>
      </c>
      <c r="B1009" s="72"/>
      <c r="C1009" s="53" t="s">
        <v>701</v>
      </c>
      <c r="D1009" s="53" t="s">
        <v>887</v>
      </c>
      <c r="E1009" s="53" t="s">
        <v>1211</v>
      </c>
      <c r="F1009" s="42"/>
      <c r="G1009" s="38">
        <f>SUM(G1010)</f>
        <v>626</v>
      </c>
      <c r="H1009" s="39">
        <f>SUM(H1010)</f>
        <v>626</v>
      </c>
      <c r="I1009" s="39">
        <f t="shared" si="45"/>
        <v>100</v>
      </c>
    </row>
    <row r="1010" spans="1:9" ht="15">
      <c r="A1010" s="57" t="s">
        <v>782</v>
      </c>
      <c r="B1010" s="72"/>
      <c r="C1010" s="53" t="s">
        <v>701</v>
      </c>
      <c r="D1010" s="53" t="s">
        <v>887</v>
      </c>
      <c r="E1010" s="53" t="s">
        <v>1211</v>
      </c>
      <c r="F1010" s="42" t="s">
        <v>783</v>
      </c>
      <c r="G1010" s="38">
        <v>626</v>
      </c>
      <c r="H1010" s="39">
        <v>626</v>
      </c>
      <c r="I1010" s="39">
        <f t="shared" si="45"/>
        <v>100</v>
      </c>
    </row>
    <row r="1011" spans="1:9" ht="21" customHeight="1">
      <c r="A1011" s="74" t="s">
        <v>742</v>
      </c>
      <c r="B1011" s="75"/>
      <c r="C1011" s="53" t="s">
        <v>701</v>
      </c>
      <c r="D1011" s="53" t="s">
        <v>887</v>
      </c>
      <c r="E1011" s="53" t="s">
        <v>743</v>
      </c>
      <c r="F1011" s="42"/>
      <c r="G1011" s="38">
        <f>SUM(G1012)</f>
        <v>28321.7</v>
      </c>
      <c r="H1011" s="39">
        <f>SUM(H1012)</f>
        <v>28321.399999999998</v>
      </c>
      <c r="I1011" s="39">
        <f t="shared" si="45"/>
        <v>99.99894074155152</v>
      </c>
    </row>
    <row r="1012" spans="1:9" ht="19.5" customHeight="1">
      <c r="A1012" s="74" t="s">
        <v>1163</v>
      </c>
      <c r="B1012" s="75"/>
      <c r="C1012" s="53" t="s">
        <v>701</v>
      </c>
      <c r="D1012" s="53" t="s">
        <v>887</v>
      </c>
      <c r="E1012" s="53" t="s">
        <v>743</v>
      </c>
      <c r="F1012" s="42" t="s">
        <v>1164</v>
      </c>
      <c r="G1012" s="38">
        <f>SUM(G1013:G1018)</f>
        <v>28321.7</v>
      </c>
      <c r="H1012" s="38">
        <f>SUM(H1013:H1018)</f>
        <v>28321.399999999998</v>
      </c>
      <c r="I1012" s="39">
        <f t="shared" si="45"/>
        <v>99.99894074155152</v>
      </c>
    </row>
    <row r="1013" spans="1:9" ht="63" customHeight="1">
      <c r="A1013" s="74" t="s">
        <v>901</v>
      </c>
      <c r="B1013" s="75"/>
      <c r="C1013" s="53" t="s">
        <v>1212</v>
      </c>
      <c r="D1013" s="53" t="s">
        <v>887</v>
      </c>
      <c r="E1013" s="53" t="s">
        <v>902</v>
      </c>
      <c r="F1013" s="42" t="s">
        <v>1164</v>
      </c>
      <c r="G1013" s="38">
        <v>600</v>
      </c>
      <c r="H1013" s="39">
        <v>600</v>
      </c>
      <c r="I1013" s="39">
        <f t="shared" si="45"/>
        <v>100</v>
      </c>
    </row>
    <row r="1014" spans="1:9" ht="46.5" customHeight="1">
      <c r="A1014" s="93" t="s">
        <v>1213</v>
      </c>
      <c r="B1014" s="75"/>
      <c r="C1014" s="53" t="s">
        <v>701</v>
      </c>
      <c r="D1014" s="53" t="s">
        <v>887</v>
      </c>
      <c r="E1014" s="53" t="s">
        <v>1214</v>
      </c>
      <c r="F1014" s="42" t="s">
        <v>1164</v>
      </c>
      <c r="G1014" s="38">
        <f>250-55.1</f>
        <v>194.9</v>
      </c>
      <c r="H1014" s="39">
        <v>194.9</v>
      </c>
      <c r="I1014" s="39">
        <f t="shared" si="45"/>
        <v>100</v>
      </c>
    </row>
    <row r="1015" spans="1:9" ht="17.25" customHeight="1">
      <c r="A1015" s="93" t="s">
        <v>1215</v>
      </c>
      <c r="B1015" s="35"/>
      <c r="C1015" s="53" t="s">
        <v>701</v>
      </c>
      <c r="D1015" s="53" t="s">
        <v>887</v>
      </c>
      <c r="E1015" s="53" t="s">
        <v>1216</v>
      </c>
      <c r="F1015" s="42" t="s">
        <v>1164</v>
      </c>
      <c r="G1015" s="71">
        <v>19514.9</v>
      </c>
      <c r="H1015" s="82">
        <v>19514.6</v>
      </c>
      <c r="I1015" s="39">
        <f t="shared" si="45"/>
        <v>99.99846271310638</v>
      </c>
    </row>
    <row r="1016" spans="1:9" ht="73.5" customHeight="1">
      <c r="A1016" s="93" t="s">
        <v>1217</v>
      </c>
      <c r="B1016" s="35"/>
      <c r="C1016" s="53" t="s">
        <v>701</v>
      </c>
      <c r="D1016" s="53" t="s">
        <v>887</v>
      </c>
      <c r="E1016" s="53" t="s">
        <v>1218</v>
      </c>
      <c r="F1016" s="42" t="s">
        <v>1164</v>
      </c>
      <c r="G1016" s="71">
        <f>5042.9-265.3</f>
        <v>4777.599999999999</v>
      </c>
      <c r="H1016" s="82">
        <v>4777.6</v>
      </c>
      <c r="I1016" s="39">
        <f t="shared" si="45"/>
        <v>100.00000000000003</v>
      </c>
    </row>
    <row r="1017" spans="1:9" ht="32.25" customHeight="1">
      <c r="A1017" s="93" t="s">
        <v>1219</v>
      </c>
      <c r="B1017" s="35"/>
      <c r="C1017" s="53" t="s">
        <v>701</v>
      </c>
      <c r="D1017" s="53" t="s">
        <v>887</v>
      </c>
      <c r="E1017" s="53" t="s">
        <v>1220</v>
      </c>
      <c r="F1017" s="42" t="s">
        <v>1164</v>
      </c>
      <c r="G1017" s="71">
        <f>2545-12.7</f>
        <v>2532.3</v>
      </c>
      <c r="H1017" s="82">
        <v>2532.3</v>
      </c>
      <c r="I1017" s="39">
        <f t="shared" si="45"/>
        <v>100</v>
      </c>
    </row>
    <row r="1018" spans="1:9" ht="18.75" customHeight="1">
      <c r="A1018" s="93" t="s">
        <v>1221</v>
      </c>
      <c r="B1018" s="35"/>
      <c r="C1018" s="53" t="s">
        <v>701</v>
      </c>
      <c r="D1018" s="53" t="s">
        <v>887</v>
      </c>
      <c r="E1018" s="53" t="s">
        <v>1222</v>
      </c>
      <c r="F1018" s="42" t="s">
        <v>1164</v>
      </c>
      <c r="G1018" s="71">
        <v>702</v>
      </c>
      <c r="H1018" s="82">
        <v>702</v>
      </c>
      <c r="I1018" s="39">
        <f t="shared" si="45"/>
        <v>100</v>
      </c>
    </row>
    <row r="1019" spans="1:9" ht="18" customHeight="1">
      <c r="A1019" s="46" t="s">
        <v>1302</v>
      </c>
      <c r="B1019" s="35"/>
      <c r="C1019" s="81" t="s">
        <v>910</v>
      </c>
      <c r="D1019" s="81" t="s">
        <v>1303</v>
      </c>
      <c r="E1019" s="53"/>
      <c r="F1019" s="42"/>
      <c r="G1019" s="71">
        <f>SUM(G1024)+G1020</f>
        <v>20719.199999999997</v>
      </c>
      <c r="H1019" s="82">
        <f>SUM(H1024)+H1020</f>
        <v>18993.9</v>
      </c>
      <c r="I1019" s="39">
        <f t="shared" si="45"/>
        <v>91.67294104019462</v>
      </c>
    </row>
    <row r="1020" spans="1:9" ht="18" customHeight="1">
      <c r="A1020" s="54" t="s">
        <v>1320</v>
      </c>
      <c r="B1020" s="35"/>
      <c r="C1020" s="48" t="s">
        <v>910</v>
      </c>
      <c r="D1020" s="81" t="s">
        <v>688</v>
      </c>
      <c r="E1020" s="81" t="s">
        <v>1395</v>
      </c>
      <c r="F1020" s="42"/>
      <c r="G1020" s="71">
        <f aca="true" t="shared" si="46" ref="G1020:H1022">SUM(G1021)</f>
        <v>3335.6</v>
      </c>
      <c r="H1020" s="82">
        <f t="shared" si="46"/>
        <v>3130</v>
      </c>
      <c r="I1020" s="39">
        <f t="shared" si="45"/>
        <v>93.8361913898549</v>
      </c>
    </row>
    <row r="1021" spans="1:9" ht="18" customHeight="1">
      <c r="A1021" s="93" t="s">
        <v>1326</v>
      </c>
      <c r="B1021" s="35"/>
      <c r="C1021" s="48" t="s">
        <v>910</v>
      </c>
      <c r="D1021" s="81" t="s">
        <v>688</v>
      </c>
      <c r="E1021" s="53" t="s">
        <v>1327</v>
      </c>
      <c r="F1021" s="42"/>
      <c r="G1021" s="71">
        <f t="shared" si="46"/>
        <v>3335.6</v>
      </c>
      <c r="H1021" s="82">
        <f t="shared" si="46"/>
        <v>3130</v>
      </c>
      <c r="I1021" s="39">
        <f t="shared" si="45"/>
        <v>93.8361913898549</v>
      </c>
    </row>
    <row r="1022" spans="1:9" ht="18" customHeight="1">
      <c r="A1022" s="93" t="s">
        <v>399</v>
      </c>
      <c r="B1022" s="35"/>
      <c r="C1022" s="48" t="s">
        <v>910</v>
      </c>
      <c r="D1022" s="81" t="s">
        <v>688</v>
      </c>
      <c r="E1022" s="53" t="s">
        <v>400</v>
      </c>
      <c r="F1022" s="42"/>
      <c r="G1022" s="71">
        <f t="shared" si="46"/>
        <v>3335.6</v>
      </c>
      <c r="H1022" s="82">
        <f t="shared" si="46"/>
        <v>3130</v>
      </c>
      <c r="I1022" s="39">
        <f t="shared" si="45"/>
        <v>93.8361913898549</v>
      </c>
    </row>
    <row r="1023" spans="1:9" ht="18" customHeight="1">
      <c r="A1023" s="93" t="s">
        <v>879</v>
      </c>
      <c r="B1023" s="35"/>
      <c r="C1023" s="48" t="s">
        <v>910</v>
      </c>
      <c r="D1023" s="81" t="s">
        <v>688</v>
      </c>
      <c r="E1023" s="53" t="s">
        <v>400</v>
      </c>
      <c r="F1023" s="42" t="s">
        <v>880</v>
      </c>
      <c r="G1023" s="71">
        <f>3155.5+180.1</f>
        <v>3335.6</v>
      </c>
      <c r="H1023" s="82">
        <v>3130</v>
      </c>
      <c r="I1023" s="39">
        <f t="shared" si="45"/>
        <v>93.8361913898549</v>
      </c>
    </row>
    <row r="1024" spans="1:9" ht="17.25" customHeight="1">
      <c r="A1024" s="54" t="s">
        <v>1356</v>
      </c>
      <c r="B1024" s="35"/>
      <c r="C1024" s="48" t="s">
        <v>910</v>
      </c>
      <c r="D1024" s="81" t="s">
        <v>712</v>
      </c>
      <c r="E1024" s="81" t="s">
        <v>1395</v>
      </c>
      <c r="F1024" s="42"/>
      <c r="G1024" s="71">
        <f aca="true" t="shared" si="47" ref="G1024:H1027">SUM(G1025)</f>
        <v>17383.6</v>
      </c>
      <c r="H1024" s="82">
        <f t="shared" si="47"/>
        <v>15863.9</v>
      </c>
      <c r="I1024" s="39">
        <f t="shared" si="45"/>
        <v>91.25785222853725</v>
      </c>
    </row>
    <row r="1025" spans="1:9" ht="28.5">
      <c r="A1025" s="93" t="s">
        <v>1080</v>
      </c>
      <c r="B1025" s="35"/>
      <c r="C1025" s="48" t="s">
        <v>910</v>
      </c>
      <c r="D1025" s="81" t="s">
        <v>712</v>
      </c>
      <c r="E1025" s="53" t="s">
        <v>1081</v>
      </c>
      <c r="F1025" s="42"/>
      <c r="G1025" s="71">
        <f t="shared" si="47"/>
        <v>17383.6</v>
      </c>
      <c r="H1025" s="82">
        <f t="shared" si="47"/>
        <v>15863.9</v>
      </c>
      <c r="I1025" s="39">
        <f t="shared" si="45"/>
        <v>91.25785222853725</v>
      </c>
    </row>
    <row r="1026" spans="1:9" ht="71.25">
      <c r="A1026" s="93" t="s">
        <v>1360</v>
      </c>
      <c r="B1026" s="35"/>
      <c r="C1026" s="48" t="s">
        <v>910</v>
      </c>
      <c r="D1026" s="81" t="s">
        <v>712</v>
      </c>
      <c r="E1026" s="53" t="s">
        <v>1361</v>
      </c>
      <c r="F1026" s="42"/>
      <c r="G1026" s="71">
        <f t="shared" si="47"/>
        <v>17383.6</v>
      </c>
      <c r="H1026" s="82">
        <f t="shared" si="47"/>
        <v>15863.9</v>
      </c>
      <c r="I1026" s="39">
        <f t="shared" si="45"/>
        <v>91.25785222853725</v>
      </c>
    </row>
    <row r="1027" spans="1:9" ht="85.5">
      <c r="A1027" s="93" t="s">
        <v>1362</v>
      </c>
      <c r="B1027" s="35"/>
      <c r="C1027" s="48" t="s">
        <v>910</v>
      </c>
      <c r="D1027" s="81" t="s">
        <v>712</v>
      </c>
      <c r="E1027" s="53" t="s">
        <v>1363</v>
      </c>
      <c r="F1027" s="42"/>
      <c r="G1027" s="71">
        <f t="shared" si="47"/>
        <v>17383.6</v>
      </c>
      <c r="H1027" s="82">
        <f t="shared" si="47"/>
        <v>15863.9</v>
      </c>
      <c r="I1027" s="39">
        <f t="shared" si="45"/>
        <v>91.25785222853725</v>
      </c>
    </row>
    <row r="1028" spans="1:9" ht="15">
      <c r="A1028" s="93" t="s">
        <v>879</v>
      </c>
      <c r="B1028" s="35"/>
      <c r="C1028" s="48" t="s">
        <v>910</v>
      </c>
      <c r="D1028" s="81" t="s">
        <v>712</v>
      </c>
      <c r="E1028" s="53" t="s">
        <v>1363</v>
      </c>
      <c r="F1028" s="42" t="s">
        <v>686</v>
      </c>
      <c r="G1028" s="71">
        <v>17383.6</v>
      </c>
      <c r="H1028" s="82">
        <v>15863.9</v>
      </c>
      <c r="I1028" s="39">
        <f t="shared" si="45"/>
        <v>91.25785222853725</v>
      </c>
    </row>
    <row r="1029" spans="1:9" ht="15.75">
      <c r="A1029" s="232" t="s">
        <v>432</v>
      </c>
      <c r="B1029" s="128" t="s">
        <v>433</v>
      </c>
      <c r="C1029" s="53"/>
      <c r="D1029" s="53"/>
      <c r="E1029" s="53"/>
      <c r="F1029" s="41"/>
      <c r="G1029" s="230">
        <f>SUM(G1030+G1046)</f>
        <v>77447.1</v>
      </c>
      <c r="H1029" s="230">
        <f>SUM(H1030+H1046)</f>
        <v>76578.1</v>
      </c>
      <c r="I1029" s="63">
        <f t="shared" si="45"/>
        <v>98.87794378356323</v>
      </c>
    </row>
    <row r="1030" spans="1:9" ht="15">
      <c r="A1030" s="34" t="s">
        <v>700</v>
      </c>
      <c r="B1030" s="35"/>
      <c r="C1030" s="53" t="s">
        <v>701</v>
      </c>
      <c r="D1030" s="53"/>
      <c r="E1030" s="53"/>
      <c r="F1030" s="41"/>
      <c r="G1030" s="38">
        <f>SUM(G1031)+G1037</f>
        <v>25442.300000000003</v>
      </c>
      <c r="H1030" s="38">
        <f>SUM(H1031)+H1037</f>
        <v>25424.300000000003</v>
      </c>
      <c r="I1030" s="39">
        <f t="shared" si="45"/>
        <v>99.92925167929</v>
      </c>
    </row>
    <row r="1031" spans="1:9" ht="15">
      <c r="A1031" s="40" t="s">
        <v>1101</v>
      </c>
      <c r="B1031" s="128"/>
      <c r="C1031" s="53" t="s">
        <v>701</v>
      </c>
      <c r="D1031" s="53" t="s">
        <v>680</v>
      </c>
      <c r="E1031" s="53"/>
      <c r="F1031" s="41"/>
      <c r="G1031" s="38">
        <f>SUM(G1032)</f>
        <v>25134.9</v>
      </c>
      <c r="H1031" s="38">
        <f>SUM(H1032)</f>
        <v>25116.9</v>
      </c>
      <c r="I1031" s="39">
        <f t="shared" si="45"/>
        <v>99.92838642684076</v>
      </c>
    </row>
    <row r="1032" spans="1:9" ht="15">
      <c r="A1032" s="34" t="s">
        <v>1126</v>
      </c>
      <c r="B1032" s="128"/>
      <c r="C1032" s="53" t="s">
        <v>701</v>
      </c>
      <c r="D1032" s="53" t="s">
        <v>680</v>
      </c>
      <c r="E1032" s="53" t="s">
        <v>1127</v>
      </c>
      <c r="F1032" s="41"/>
      <c r="G1032" s="38">
        <f>SUM(G1033)</f>
        <v>25134.9</v>
      </c>
      <c r="H1032" s="38">
        <f>SUM(H1033)</f>
        <v>25116.9</v>
      </c>
      <c r="I1032" s="39">
        <f t="shared" si="45"/>
        <v>99.92838642684076</v>
      </c>
    </row>
    <row r="1033" spans="1:9" ht="28.5">
      <c r="A1033" s="40" t="s">
        <v>780</v>
      </c>
      <c r="B1033" s="128"/>
      <c r="C1033" s="53" t="s">
        <v>701</v>
      </c>
      <c r="D1033" s="53" t="s">
        <v>680</v>
      </c>
      <c r="E1033" s="53" t="s">
        <v>1128</v>
      </c>
      <c r="F1033" s="41"/>
      <c r="G1033" s="38">
        <f>SUM(G1034:G1035)</f>
        <v>25134.9</v>
      </c>
      <c r="H1033" s="38">
        <f>SUM(H1034:H1035)</f>
        <v>25116.9</v>
      </c>
      <c r="I1033" s="39">
        <f t="shared" si="45"/>
        <v>99.92838642684076</v>
      </c>
    </row>
    <row r="1034" spans="1:9" ht="15">
      <c r="A1034" s="57" t="s">
        <v>782</v>
      </c>
      <c r="B1034" s="72"/>
      <c r="C1034" s="53" t="s">
        <v>701</v>
      </c>
      <c r="D1034" s="53" t="s">
        <v>680</v>
      </c>
      <c r="E1034" s="53" t="s">
        <v>1128</v>
      </c>
      <c r="F1034" s="42" t="s">
        <v>783</v>
      </c>
      <c r="G1034" s="38">
        <v>25134.9</v>
      </c>
      <c r="H1034" s="38">
        <v>25116.9</v>
      </c>
      <c r="I1034" s="39">
        <f t="shared" si="45"/>
        <v>99.92838642684076</v>
      </c>
    </row>
    <row r="1035" spans="1:9" ht="55.5" customHeight="1" hidden="1">
      <c r="A1035" s="40" t="s">
        <v>1114</v>
      </c>
      <c r="B1035" s="43"/>
      <c r="C1035" s="53" t="s">
        <v>701</v>
      </c>
      <c r="D1035" s="53" t="s">
        <v>680</v>
      </c>
      <c r="E1035" s="53" t="s">
        <v>1132</v>
      </c>
      <c r="F1035" s="42"/>
      <c r="G1035" s="38">
        <f>SUM(G1036)</f>
        <v>0</v>
      </c>
      <c r="H1035" s="38">
        <f>SUM(H1036)</f>
        <v>0</v>
      </c>
      <c r="I1035" s="39" t="e">
        <f t="shared" si="45"/>
        <v>#DIV/0!</v>
      </c>
    </row>
    <row r="1036" spans="1:9" ht="15" hidden="1">
      <c r="A1036" s="57" t="s">
        <v>782</v>
      </c>
      <c r="B1036" s="72"/>
      <c r="C1036" s="53" t="s">
        <v>701</v>
      </c>
      <c r="D1036" s="53" t="s">
        <v>680</v>
      </c>
      <c r="E1036" s="53" t="s">
        <v>1132</v>
      </c>
      <c r="F1036" s="42" t="s">
        <v>783</v>
      </c>
      <c r="G1036" s="38"/>
      <c r="H1036" s="38"/>
      <c r="I1036" s="39" t="e">
        <f t="shared" si="45"/>
        <v>#DIV/0!</v>
      </c>
    </row>
    <row r="1037" spans="1:9" ht="20.25" customHeight="1">
      <c r="A1037" s="40" t="s">
        <v>702</v>
      </c>
      <c r="B1037" s="43"/>
      <c r="C1037" s="36" t="s">
        <v>701</v>
      </c>
      <c r="D1037" s="36" t="s">
        <v>701</v>
      </c>
      <c r="E1037" s="53"/>
      <c r="F1037" s="42"/>
      <c r="G1037" s="38">
        <f>SUM(G1043+G1038+G1041)</f>
        <v>307.4</v>
      </c>
      <c r="H1037" s="38">
        <f>SUM(H1043+H1038+H1041)</f>
        <v>307.4</v>
      </c>
      <c r="I1037" s="39">
        <f t="shared" si="45"/>
        <v>100</v>
      </c>
    </row>
    <row r="1038" spans="1:9" ht="28.5" customHeight="1" hidden="1">
      <c r="A1038" s="51" t="s">
        <v>1165</v>
      </c>
      <c r="B1038" s="52"/>
      <c r="C1038" s="53" t="s">
        <v>701</v>
      </c>
      <c r="D1038" s="53" t="s">
        <v>701</v>
      </c>
      <c r="E1038" s="53" t="s">
        <v>1166</v>
      </c>
      <c r="F1038" s="41"/>
      <c r="G1038" s="38">
        <f>SUM(G1039)</f>
        <v>0</v>
      </c>
      <c r="H1038" s="38">
        <f>SUM(H1039)</f>
        <v>0</v>
      </c>
      <c r="I1038" s="39" t="e">
        <f t="shared" si="45"/>
        <v>#DIV/0!</v>
      </c>
    </row>
    <row r="1039" spans="1:9" ht="21" customHeight="1" hidden="1">
      <c r="A1039" s="51" t="s">
        <v>1167</v>
      </c>
      <c r="B1039" s="53"/>
      <c r="C1039" s="53" t="s">
        <v>701</v>
      </c>
      <c r="D1039" s="53" t="s">
        <v>701</v>
      </c>
      <c r="E1039" s="53" t="s">
        <v>1168</v>
      </c>
      <c r="F1039" s="41"/>
      <c r="G1039" s="38">
        <f>SUM(G1040)</f>
        <v>0</v>
      </c>
      <c r="H1039" s="38">
        <f>SUM(H1040)</f>
        <v>0</v>
      </c>
      <c r="I1039" s="39" t="e">
        <f t="shared" si="45"/>
        <v>#DIV/0!</v>
      </c>
    </row>
    <row r="1040" spans="1:9" ht="21" customHeight="1" hidden="1">
      <c r="A1040" s="57" t="s">
        <v>782</v>
      </c>
      <c r="B1040" s="52"/>
      <c r="C1040" s="53" t="s">
        <v>701</v>
      </c>
      <c r="D1040" s="53" t="s">
        <v>701</v>
      </c>
      <c r="E1040" s="53" t="s">
        <v>1168</v>
      </c>
      <c r="F1040" s="41" t="s">
        <v>783</v>
      </c>
      <c r="G1040" s="38"/>
      <c r="H1040" s="38"/>
      <c r="I1040" s="39" t="e">
        <f t="shared" si="45"/>
        <v>#DIV/0!</v>
      </c>
    </row>
    <row r="1041" spans="1:9" ht="21" customHeight="1">
      <c r="A1041" s="57" t="s">
        <v>740</v>
      </c>
      <c r="B1041" s="52"/>
      <c r="C1041" s="53" t="s">
        <v>701</v>
      </c>
      <c r="D1041" s="53" t="s">
        <v>701</v>
      </c>
      <c r="E1041" s="53" t="s">
        <v>741</v>
      </c>
      <c r="F1041" s="41"/>
      <c r="G1041" s="38">
        <f>SUM(G1042)</f>
        <v>108.1</v>
      </c>
      <c r="H1041" s="38">
        <f>SUM(H1042)</f>
        <v>108.1</v>
      </c>
      <c r="I1041" s="39">
        <f t="shared" si="45"/>
        <v>100</v>
      </c>
    </row>
    <row r="1042" spans="1:9" ht="21" customHeight="1">
      <c r="A1042" s="57" t="s">
        <v>1163</v>
      </c>
      <c r="B1042" s="52"/>
      <c r="C1042" s="53" t="s">
        <v>701</v>
      </c>
      <c r="D1042" s="53" t="s">
        <v>701</v>
      </c>
      <c r="E1042" s="53" t="s">
        <v>741</v>
      </c>
      <c r="F1042" s="41" t="s">
        <v>1164</v>
      </c>
      <c r="G1042" s="38">
        <v>108.1</v>
      </c>
      <c r="H1042" s="38">
        <v>108.1</v>
      </c>
      <c r="I1042" s="39">
        <f t="shared" si="45"/>
        <v>100</v>
      </c>
    </row>
    <row r="1043" spans="1:9" ht="29.25" customHeight="1">
      <c r="A1043" s="54" t="s">
        <v>1174</v>
      </c>
      <c r="B1043" s="43"/>
      <c r="C1043" s="36" t="s">
        <v>701</v>
      </c>
      <c r="D1043" s="36" t="s">
        <v>701</v>
      </c>
      <c r="E1043" s="36" t="s">
        <v>704</v>
      </c>
      <c r="F1043" s="37"/>
      <c r="G1043" s="38">
        <f>SUM(G1044)</f>
        <v>199.3</v>
      </c>
      <c r="H1043" s="38">
        <f>SUM(H1044)</f>
        <v>199.3</v>
      </c>
      <c r="I1043" s="39">
        <f t="shared" si="45"/>
        <v>100</v>
      </c>
    </row>
    <row r="1044" spans="1:9" ht="23.25" customHeight="1">
      <c r="A1044" s="54" t="s">
        <v>1175</v>
      </c>
      <c r="B1044" s="43"/>
      <c r="C1044" s="36" t="s">
        <v>701</v>
      </c>
      <c r="D1044" s="36" t="s">
        <v>701</v>
      </c>
      <c r="E1044" s="36" t="s">
        <v>1176</v>
      </c>
      <c r="F1044" s="37"/>
      <c r="G1044" s="38">
        <f>SUM(G1045)</f>
        <v>199.3</v>
      </c>
      <c r="H1044" s="38">
        <f>SUM(H1045)</f>
        <v>199.3</v>
      </c>
      <c r="I1044" s="39">
        <f t="shared" si="45"/>
        <v>100</v>
      </c>
    </row>
    <row r="1045" spans="1:9" ht="24.75" customHeight="1">
      <c r="A1045" s="57" t="s">
        <v>782</v>
      </c>
      <c r="B1045" s="43"/>
      <c r="C1045" s="36" t="s">
        <v>701</v>
      </c>
      <c r="D1045" s="36" t="s">
        <v>701</v>
      </c>
      <c r="E1045" s="36" t="s">
        <v>1176</v>
      </c>
      <c r="F1045" s="37" t="s">
        <v>783</v>
      </c>
      <c r="G1045" s="38">
        <f>200-0.7</f>
        <v>199.3</v>
      </c>
      <c r="H1045" s="38">
        <f>200-0.7</f>
        <v>199.3</v>
      </c>
      <c r="I1045" s="39">
        <f t="shared" si="45"/>
        <v>100</v>
      </c>
    </row>
    <row r="1046" spans="1:9" ht="28.5">
      <c r="A1046" s="34" t="s">
        <v>1223</v>
      </c>
      <c r="B1046" s="35"/>
      <c r="C1046" s="53" t="s">
        <v>714</v>
      </c>
      <c r="D1046" s="53"/>
      <c r="E1046" s="53"/>
      <c r="F1046" s="41"/>
      <c r="G1046" s="38">
        <f>SUM(G1047+G1072)</f>
        <v>52004.799999999996</v>
      </c>
      <c r="H1046" s="38">
        <f>SUM(H1047+H1072)</f>
        <v>51153.8</v>
      </c>
      <c r="I1046" s="39">
        <f t="shared" si="45"/>
        <v>98.36361258960713</v>
      </c>
    </row>
    <row r="1047" spans="1:9" ht="15">
      <c r="A1047" s="34" t="s">
        <v>1224</v>
      </c>
      <c r="B1047" s="35"/>
      <c r="C1047" s="53" t="s">
        <v>714</v>
      </c>
      <c r="D1047" s="53" t="s">
        <v>678</v>
      </c>
      <c r="E1047" s="53"/>
      <c r="F1047" s="41"/>
      <c r="G1047" s="38">
        <f>SUM(G1060+G1054+G1048+G1068)</f>
        <v>40862.2</v>
      </c>
      <c r="H1047" s="38">
        <f>SUM(H1060+H1054+H1048+H1068)</f>
        <v>40268</v>
      </c>
      <c r="I1047" s="39">
        <f t="shared" si="45"/>
        <v>98.5458443255625</v>
      </c>
    </row>
    <row r="1048" spans="1:9" ht="28.5">
      <c r="A1048" s="34" t="s">
        <v>792</v>
      </c>
      <c r="B1048" s="35"/>
      <c r="C1048" s="53" t="s">
        <v>714</v>
      </c>
      <c r="D1048" s="53" t="s">
        <v>678</v>
      </c>
      <c r="E1048" s="53" t="s">
        <v>793</v>
      </c>
      <c r="F1048" s="41"/>
      <c r="G1048" s="38">
        <f>SUM(G1049)</f>
        <v>21558.5</v>
      </c>
      <c r="H1048" s="38">
        <f>SUM(H1049)</f>
        <v>21442.6</v>
      </c>
      <c r="I1048" s="39">
        <f t="shared" si="45"/>
        <v>99.46239302363337</v>
      </c>
    </row>
    <row r="1049" spans="1:9" ht="28.5">
      <c r="A1049" s="40" t="s">
        <v>780</v>
      </c>
      <c r="B1049" s="128"/>
      <c r="C1049" s="53" t="s">
        <v>714</v>
      </c>
      <c r="D1049" s="53" t="s">
        <v>678</v>
      </c>
      <c r="E1049" s="53" t="s">
        <v>794</v>
      </c>
      <c r="F1049" s="41"/>
      <c r="G1049" s="38">
        <f>SUM(G1050:G1052)</f>
        <v>21558.5</v>
      </c>
      <c r="H1049" s="38">
        <f>SUM(H1050:H1052)</f>
        <v>21442.6</v>
      </c>
      <c r="I1049" s="39">
        <f t="shared" si="45"/>
        <v>99.46239302363337</v>
      </c>
    </row>
    <row r="1050" spans="1:9" ht="18.75" customHeight="1">
      <c r="A1050" s="57" t="s">
        <v>782</v>
      </c>
      <c r="B1050" s="72"/>
      <c r="C1050" s="53" t="s">
        <v>714</v>
      </c>
      <c r="D1050" s="53" t="s">
        <v>678</v>
      </c>
      <c r="E1050" s="53" t="s">
        <v>794</v>
      </c>
      <c r="F1050" s="42" t="s">
        <v>783</v>
      </c>
      <c r="G1050" s="38">
        <v>21558.5</v>
      </c>
      <c r="H1050" s="38">
        <v>21442.6</v>
      </c>
      <c r="I1050" s="39">
        <f aca="true" t="shared" si="48" ref="I1050:I1113">SUM(H1050/G1050*100)</f>
        <v>99.46239302363337</v>
      </c>
    </row>
    <row r="1051" spans="1:9" ht="43.5" customHeight="1" hidden="1">
      <c r="A1051" s="57" t="s">
        <v>1225</v>
      </c>
      <c r="B1051" s="72"/>
      <c r="C1051" s="53" t="s">
        <v>714</v>
      </c>
      <c r="D1051" s="53" t="s">
        <v>678</v>
      </c>
      <c r="E1051" s="53" t="s">
        <v>794</v>
      </c>
      <c r="F1051" s="42" t="s">
        <v>1226</v>
      </c>
      <c r="G1051" s="38"/>
      <c r="H1051" s="38"/>
      <c r="I1051" s="39" t="e">
        <f t="shared" si="48"/>
        <v>#DIV/0!</v>
      </c>
    </row>
    <row r="1052" spans="1:9" ht="55.5" customHeight="1" hidden="1">
      <c r="A1052" s="40" t="s">
        <v>1114</v>
      </c>
      <c r="B1052" s="43"/>
      <c r="C1052" s="53" t="s">
        <v>714</v>
      </c>
      <c r="D1052" s="53" t="s">
        <v>678</v>
      </c>
      <c r="E1052" s="53" t="s">
        <v>1227</v>
      </c>
      <c r="F1052" s="42"/>
      <c r="G1052" s="38">
        <f>SUM(G1053)</f>
        <v>0</v>
      </c>
      <c r="H1052" s="38">
        <f>SUM(H1053)</f>
        <v>0</v>
      </c>
      <c r="I1052" s="39" t="e">
        <f t="shared" si="48"/>
        <v>#DIV/0!</v>
      </c>
    </row>
    <row r="1053" spans="1:9" ht="0.75" customHeight="1" hidden="1">
      <c r="A1053" s="57" t="s">
        <v>782</v>
      </c>
      <c r="B1053" s="72"/>
      <c r="C1053" s="53" t="s">
        <v>714</v>
      </c>
      <c r="D1053" s="53" t="s">
        <v>678</v>
      </c>
      <c r="E1053" s="53" t="s">
        <v>1227</v>
      </c>
      <c r="F1053" s="42" t="s">
        <v>783</v>
      </c>
      <c r="G1053" s="38"/>
      <c r="H1053" s="38"/>
      <c r="I1053" s="39" t="e">
        <f t="shared" si="48"/>
        <v>#DIV/0!</v>
      </c>
    </row>
    <row r="1054" spans="1:9" ht="15">
      <c r="A1054" s="34" t="s">
        <v>1228</v>
      </c>
      <c r="B1054" s="35"/>
      <c r="C1054" s="53" t="s">
        <v>714</v>
      </c>
      <c r="D1054" s="53" t="s">
        <v>678</v>
      </c>
      <c r="E1054" s="53" t="s">
        <v>1229</v>
      </c>
      <c r="F1054" s="41"/>
      <c r="G1054" s="38">
        <f>SUM(G1055)</f>
        <v>3118.4</v>
      </c>
      <c r="H1054" s="38">
        <f>SUM(H1055)</f>
        <v>3115.7</v>
      </c>
      <c r="I1054" s="39">
        <f t="shared" si="48"/>
        <v>99.91341713699332</v>
      </c>
    </row>
    <row r="1055" spans="1:9" ht="28.5">
      <c r="A1055" s="40" t="s">
        <v>780</v>
      </c>
      <c r="B1055" s="128"/>
      <c r="C1055" s="53" t="s">
        <v>714</v>
      </c>
      <c r="D1055" s="53" t="s">
        <v>678</v>
      </c>
      <c r="E1055" s="53" t="s">
        <v>1230</v>
      </c>
      <c r="F1055" s="41"/>
      <c r="G1055" s="38">
        <f>SUM(G1056:G1058)</f>
        <v>3118.4</v>
      </c>
      <c r="H1055" s="38">
        <f>SUM(H1056:H1058)</f>
        <v>3115.7</v>
      </c>
      <c r="I1055" s="39">
        <f t="shared" si="48"/>
        <v>99.91341713699332</v>
      </c>
    </row>
    <row r="1056" spans="1:9" ht="15" customHeight="1">
      <c r="A1056" s="57" t="s">
        <v>782</v>
      </c>
      <c r="B1056" s="72"/>
      <c r="C1056" s="53" t="s">
        <v>714</v>
      </c>
      <c r="D1056" s="53" t="s">
        <v>678</v>
      </c>
      <c r="E1056" s="53" t="s">
        <v>1230</v>
      </c>
      <c r="F1056" s="42" t="s">
        <v>783</v>
      </c>
      <c r="G1056" s="38">
        <v>3118.4</v>
      </c>
      <c r="H1056" s="38">
        <v>3115.7</v>
      </c>
      <c r="I1056" s="39">
        <f t="shared" si="48"/>
        <v>99.91341713699332</v>
      </c>
    </row>
    <row r="1057" spans="1:9" ht="47.25" customHeight="1" hidden="1">
      <c r="A1057" s="57" t="s">
        <v>1225</v>
      </c>
      <c r="B1057" s="72"/>
      <c r="C1057" s="53" t="s">
        <v>714</v>
      </c>
      <c r="D1057" s="53" t="s">
        <v>678</v>
      </c>
      <c r="E1057" s="53" t="s">
        <v>1230</v>
      </c>
      <c r="F1057" s="42" t="s">
        <v>1226</v>
      </c>
      <c r="G1057" s="38"/>
      <c r="H1057" s="38"/>
      <c r="I1057" s="39" t="e">
        <f t="shared" si="48"/>
        <v>#DIV/0!</v>
      </c>
    </row>
    <row r="1058" spans="1:9" ht="0.75" customHeight="1" hidden="1">
      <c r="A1058" s="40" t="s">
        <v>1114</v>
      </c>
      <c r="B1058" s="43"/>
      <c r="C1058" s="53" t="s">
        <v>714</v>
      </c>
      <c r="D1058" s="53" t="s">
        <v>678</v>
      </c>
      <c r="E1058" s="53" t="s">
        <v>1231</v>
      </c>
      <c r="F1058" s="42"/>
      <c r="G1058" s="38">
        <f>SUM(G1059)</f>
        <v>0</v>
      </c>
      <c r="H1058" s="38">
        <f>SUM(H1059)</f>
        <v>0</v>
      </c>
      <c r="I1058" s="39" t="e">
        <f t="shared" si="48"/>
        <v>#DIV/0!</v>
      </c>
    </row>
    <row r="1059" spans="1:9" ht="15" hidden="1">
      <c r="A1059" s="57" t="s">
        <v>782</v>
      </c>
      <c r="B1059" s="72"/>
      <c r="C1059" s="53" t="s">
        <v>714</v>
      </c>
      <c r="D1059" s="53" t="s">
        <v>678</v>
      </c>
      <c r="E1059" s="53" t="s">
        <v>1231</v>
      </c>
      <c r="F1059" s="42" t="s">
        <v>783</v>
      </c>
      <c r="G1059" s="38"/>
      <c r="H1059" s="38"/>
      <c r="I1059" s="39" t="e">
        <f t="shared" si="48"/>
        <v>#DIV/0!</v>
      </c>
    </row>
    <row r="1060" spans="1:9" ht="15">
      <c r="A1060" s="34" t="s">
        <v>1232</v>
      </c>
      <c r="B1060" s="35"/>
      <c r="C1060" s="53" t="s">
        <v>714</v>
      </c>
      <c r="D1060" s="53" t="s">
        <v>678</v>
      </c>
      <c r="E1060" s="53" t="s">
        <v>1233</v>
      </c>
      <c r="F1060" s="41"/>
      <c r="G1060" s="38">
        <f>SUM(G1061)</f>
        <v>15815.3</v>
      </c>
      <c r="H1060" s="38">
        <f>SUM(H1061)</f>
        <v>15339.7</v>
      </c>
      <c r="I1060" s="39">
        <f t="shared" si="48"/>
        <v>96.99278546723743</v>
      </c>
    </row>
    <row r="1061" spans="1:9" ht="28.5">
      <c r="A1061" s="40" t="s">
        <v>780</v>
      </c>
      <c r="B1061" s="128"/>
      <c r="C1061" s="53" t="s">
        <v>714</v>
      </c>
      <c r="D1061" s="53" t="s">
        <v>678</v>
      </c>
      <c r="E1061" s="53" t="s">
        <v>1234</v>
      </c>
      <c r="F1061" s="41"/>
      <c r="G1061" s="38">
        <f>SUM(G1062+G1065+G1067)</f>
        <v>15815.3</v>
      </c>
      <c r="H1061" s="38">
        <f>SUM(H1062+H1065+H1067)</f>
        <v>15339.7</v>
      </c>
      <c r="I1061" s="39">
        <f t="shared" si="48"/>
        <v>96.99278546723743</v>
      </c>
    </row>
    <row r="1062" spans="1:9" ht="15" customHeight="1">
      <c r="A1062" s="57" t="s">
        <v>782</v>
      </c>
      <c r="B1062" s="72"/>
      <c r="C1062" s="53" t="s">
        <v>714</v>
      </c>
      <c r="D1062" s="53" t="s">
        <v>678</v>
      </c>
      <c r="E1062" s="53" t="s">
        <v>1234</v>
      </c>
      <c r="F1062" s="42" t="s">
        <v>783</v>
      </c>
      <c r="G1062" s="38">
        <v>13717.6</v>
      </c>
      <c r="H1062" s="38">
        <v>13694</v>
      </c>
      <c r="I1062" s="39">
        <f t="shared" si="48"/>
        <v>99.8279582434245</v>
      </c>
    </row>
    <row r="1063" spans="1:9" ht="45.75" customHeight="1" hidden="1">
      <c r="A1063" s="57" t="s">
        <v>1225</v>
      </c>
      <c r="B1063" s="72"/>
      <c r="C1063" s="53" t="s">
        <v>714</v>
      </c>
      <c r="D1063" s="53" t="s">
        <v>678</v>
      </c>
      <c r="E1063" s="53" t="s">
        <v>1234</v>
      </c>
      <c r="F1063" s="42" t="s">
        <v>1226</v>
      </c>
      <c r="G1063" s="38"/>
      <c r="H1063" s="38"/>
      <c r="I1063" s="39" t="e">
        <f t="shared" si="48"/>
        <v>#DIV/0!</v>
      </c>
    </row>
    <row r="1064" spans="1:9" ht="54.75" customHeight="1" hidden="1">
      <c r="A1064" s="40" t="s">
        <v>1114</v>
      </c>
      <c r="B1064" s="43"/>
      <c r="C1064" s="53" t="s">
        <v>714</v>
      </c>
      <c r="D1064" s="53" t="s">
        <v>678</v>
      </c>
      <c r="E1064" s="53" t="s">
        <v>1235</v>
      </c>
      <c r="F1064" s="42"/>
      <c r="G1064" s="38">
        <f>SUM(G1065)</f>
        <v>0</v>
      </c>
      <c r="H1064" s="38">
        <f>SUM(H1065)</f>
        <v>0</v>
      </c>
      <c r="I1064" s="39" t="e">
        <f t="shared" si="48"/>
        <v>#DIV/0!</v>
      </c>
    </row>
    <row r="1065" spans="1:9" ht="15" hidden="1">
      <c r="A1065" s="57" t="s">
        <v>782</v>
      </c>
      <c r="B1065" s="72"/>
      <c r="C1065" s="53" t="s">
        <v>714</v>
      </c>
      <c r="D1065" s="53" t="s">
        <v>678</v>
      </c>
      <c r="E1065" s="53" t="s">
        <v>1235</v>
      </c>
      <c r="F1065" s="42" t="s">
        <v>783</v>
      </c>
      <c r="G1065" s="38"/>
      <c r="H1065" s="38"/>
      <c r="I1065" s="39" t="e">
        <f t="shared" si="48"/>
        <v>#DIV/0!</v>
      </c>
    </row>
    <row r="1066" spans="1:9" ht="71.25">
      <c r="A1066" s="57" t="s">
        <v>1236</v>
      </c>
      <c r="B1066" s="72"/>
      <c r="C1066" s="53" t="s">
        <v>714</v>
      </c>
      <c r="D1066" s="53" t="s">
        <v>678</v>
      </c>
      <c r="E1066" s="53" t="s">
        <v>1237</v>
      </c>
      <c r="F1066" s="42"/>
      <c r="G1066" s="38">
        <f>SUM(G1067)</f>
        <v>2097.7</v>
      </c>
      <c r="H1066" s="38">
        <f>SUM(H1067)</f>
        <v>1645.7</v>
      </c>
      <c r="I1066" s="39">
        <f t="shared" si="48"/>
        <v>78.45259093292654</v>
      </c>
    </row>
    <row r="1067" spans="1:9" ht="15">
      <c r="A1067" s="57" t="s">
        <v>782</v>
      </c>
      <c r="B1067" s="72"/>
      <c r="C1067" s="53" t="s">
        <v>714</v>
      </c>
      <c r="D1067" s="53" t="s">
        <v>678</v>
      </c>
      <c r="E1067" s="53" t="s">
        <v>1237</v>
      </c>
      <c r="F1067" s="42" t="s">
        <v>783</v>
      </c>
      <c r="G1067" s="38">
        <f>2030+67.7</f>
        <v>2097.7</v>
      </c>
      <c r="H1067" s="38">
        <v>1645.7</v>
      </c>
      <c r="I1067" s="39">
        <f t="shared" si="48"/>
        <v>78.45259093292654</v>
      </c>
    </row>
    <row r="1068" spans="1:9" ht="28.5">
      <c r="A1068" s="57" t="s">
        <v>1238</v>
      </c>
      <c r="B1068" s="72"/>
      <c r="C1068" s="53" t="s">
        <v>714</v>
      </c>
      <c r="D1068" s="53" t="s">
        <v>678</v>
      </c>
      <c r="E1068" s="53" t="s">
        <v>1239</v>
      </c>
      <c r="F1068" s="42"/>
      <c r="G1068" s="38">
        <f>SUM(G1071+G1069)</f>
        <v>370</v>
      </c>
      <c r="H1068" s="38">
        <f>SUM(H1071+H1069)</f>
        <v>370</v>
      </c>
      <c r="I1068" s="39">
        <f t="shared" si="48"/>
        <v>100</v>
      </c>
    </row>
    <row r="1069" spans="1:9" ht="15">
      <c r="A1069" s="57" t="s">
        <v>782</v>
      </c>
      <c r="B1069" s="72"/>
      <c r="C1069" s="53" t="s">
        <v>714</v>
      </c>
      <c r="D1069" s="53" t="s">
        <v>678</v>
      </c>
      <c r="E1069" s="53" t="s">
        <v>1239</v>
      </c>
      <c r="F1069" s="42" t="s">
        <v>783</v>
      </c>
      <c r="G1069" s="38">
        <v>268</v>
      </c>
      <c r="H1069" s="38">
        <v>268</v>
      </c>
      <c r="I1069" s="39">
        <f t="shared" si="48"/>
        <v>100</v>
      </c>
    </row>
    <row r="1070" spans="1:9" ht="42" customHeight="1">
      <c r="A1070" s="57" t="s">
        <v>1240</v>
      </c>
      <c r="B1070" s="72"/>
      <c r="C1070" s="53" t="s">
        <v>714</v>
      </c>
      <c r="D1070" s="53" t="s">
        <v>678</v>
      </c>
      <c r="E1070" s="53" t="s">
        <v>1241</v>
      </c>
      <c r="F1070" s="42"/>
      <c r="G1070" s="38">
        <f>SUM(G1071)</f>
        <v>102</v>
      </c>
      <c r="H1070" s="38">
        <f>SUM(H1071)</f>
        <v>102</v>
      </c>
      <c r="I1070" s="39">
        <f t="shared" si="48"/>
        <v>100</v>
      </c>
    </row>
    <row r="1071" spans="1:9" ht="15">
      <c r="A1071" s="57" t="s">
        <v>782</v>
      </c>
      <c r="B1071" s="72"/>
      <c r="C1071" s="53" t="s">
        <v>714</v>
      </c>
      <c r="D1071" s="53" t="s">
        <v>678</v>
      </c>
      <c r="E1071" s="53" t="s">
        <v>1241</v>
      </c>
      <c r="F1071" s="42" t="s">
        <v>783</v>
      </c>
      <c r="G1071" s="38">
        <v>102</v>
      </c>
      <c r="H1071" s="38">
        <v>102</v>
      </c>
      <c r="I1071" s="39">
        <f t="shared" si="48"/>
        <v>100</v>
      </c>
    </row>
    <row r="1072" spans="1:9" ht="28.5">
      <c r="A1072" s="54" t="s">
        <v>1242</v>
      </c>
      <c r="B1072" s="59"/>
      <c r="C1072" s="48" t="s">
        <v>714</v>
      </c>
      <c r="D1072" s="48" t="s">
        <v>751</v>
      </c>
      <c r="E1072" s="48"/>
      <c r="F1072" s="133"/>
      <c r="G1072" s="38">
        <f>SUM(G1076+G1079+G1074)</f>
        <v>11142.599999999999</v>
      </c>
      <c r="H1072" s="38">
        <f>SUM(H1076+H1079+H1074)</f>
        <v>10885.8</v>
      </c>
      <c r="I1072" s="39">
        <f t="shared" si="48"/>
        <v>97.69533143072533</v>
      </c>
    </row>
    <row r="1073" spans="1:9" ht="15">
      <c r="A1073" s="34" t="s">
        <v>769</v>
      </c>
      <c r="B1073" s="59"/>
      <c r="C1073" s="53" t="s">
        <v>714</v>
      </c>
      <c r="D1073" s="53" t="s">
        <v>751</v>
      </c>
      <c r="E1073" s="53" t="s">
        <v>771</v>
      </c>
      <c r="F1073" s="133"/>
      <c r="G1073" s="38">
        <f>SUM(G1074)</f>
        <v>900</v>
      </c>
      <c r="H1073" s="38">
        <f>SUM(H1074)</f>
        <v>900</v>
      </c>
      <c r="I1073" s="39">
        <f t="shared" si="48"/>
        <v>100</v>
      </c>
    </row>
    <row r="1074" spans="1:9" ht="15">
      <c r="A1074" s="34" t="s">
        <v>740</v>
      </c>
      <c r="B1074" s="59"/>
      <c r="C1074" s="53" t="s">
        <v>714</v>
      </c>
      <c r="D1074" s="53" t="s">
        <v>751</v>
      </c>
      <c r="E1074" s="53" t="s">
        <v>741</v>
      </c>
      <c r="F1074" s="133"/>
      <c r="G1074" s="38">
        <f>SUM(G1075)</f>
        <v>900</v>
      </c>
      <c r="H1074" s="38">
        <f>SUM(H1075)</f>
        <v>900</v>
      </c>
      <c r="I1074" s="39">
        <f t="shared" si="48"/>
        <v>100</v>
      </c>
    </row>
    <row r="1075" spans="1:9" ht="42.75">
      <c r="A1075" s="34" t="s">
        <v>1243</v>
      </c>
      <c r="B1075" s="59"/>
      <c r="C1075" s="53" t="s">
        <v>714</v>
      </c>
      <c r="D1075" s="53" t="s">
        <v>751</v>
      </c>
      <c r="E1075" s="53" t="s">
        <v>741</v>
      </c>
      <c r="F1075" s="133" t="s">
        <v>1244</v>
      </c>
      <c r="G1075" s="38">
        <v>900</v>
      </c>
      <c r="H1075" s="38">
        <v>900</v>
      </c>
      <c r="I1075" s="39">
        <f t="shared" si="48"/>
        <v>100</v>
      </c>
    </row>
    <row r="1076" spans="1:9" ht="71.25" customHeight="1">
      <c r="A1076" s="54" t="s">
        <v>1194</v>
      </c>
      <c r="B1076" s="128"/>
      <c r="C1076" s="53" t="s">
        <v>714</v>
      </c>
      <c r="D1076" s="53" t="s">
        <v>751</v>
      </c>
      <c r="E1076" s="53" t="s">
        <v>1195</v>
      </c>
      <c r="F1076" s="41"/>
      <c r="G1076" s="38">
        <f>SUM(G1077)</f>
        <v>5485.2</v>
      </c>
      <c r="H1076" s="38">
        <f>SUM(H1077)</f>
        <v>5253.4</v>
      </c>
      <c r="I1076" s="39">
        <f t="shared" si="48"/>
        <v>95.77408298694668</v>
      </c>
    </row>
    <row r="1077" spans="1:9" ht="28.5">
      <c r="A1077" s="40" t="s">
        <v>780</v>
      </c>
      <c r="B1077" s="128"/>
      <c r="C1077" s="53" t="s">
        <v>714</v>
      </c>
      <c r="D1077" s="53" t="s">
        <v>751</v>
      </c>
      <c r="E1077" s="53" t="s">
        <v>1196</v>
      </c>
      <c r="F1077" s="41"/>
      <c r="G1077" s="38">
        <f>SUM(G1078)</f>
        <v>5485.2</v>
      </c>
      <c r="H1077" s="38">
        <f>SUM(H1078)</f>
        <v>5253.4</v>
      </c>
      <c r="I1077" s="39">
        <f t="shared" si="48"/>
        <v>95.77408298694668</v>
      </c>
    </row>
    <row r="1078" spans="1:9" ht="15">
      <c r="A1078" s="57" t="s">
        <v>782</v>
      </c>
      <c r="B1078" s="72"/>
      <c r="C1078" s="53" t="s">
        <v>714</v>
      </c>
      <c r="D1078" s="53" t="s">
        <v>751</v>
      </c>
      <c r="E1078" s="53" t="s">
        <v>1196</v>
      </c>
      <c r="F1078" s="42" t="s">
        <v>783</v>
      </c>
      <c r="G1078" s="38">
        <v>5485.2</v>
      </c>
      <c r="H1078" s="38">
        <v>5253.4</v>
      </c>
      <c r="I1078" s="39">
        <f t="shared" si="48"/>
        <v>95.77408298694668</v>
      </c>
    </row>
    <row r="1079" spans="1:9" ht="15">
      <c r="A1079" s="74" t="s">
        <v>742</v>
      </c>
      <c r="B1079" s="59"/>
      <c r="C1079" s="48" t="s">
        <v>714</v>
      </c>
      <c r="D1079" s="48" t="s">
        <v>751</v>
      </c>
      <c r="E1079" s="48" t="s">
        <v>743</v>
      </c>
      <c r="F1079" s="133"/>
      <c r="G1079" s="38">
        <f>SUM(G1080)</f>
        <v>4757.4</v>
      </c>
      <c r="H1079" s="38">
        <f>SUM(H1080)</f>
        <v>4732.4</v>
      </c>
      <c r="I1079" s="39">
        <f t="shared" si="48"/>
        <v>99.47450287972421</v>
      </c>
    </row>
    <row r="1080" spans="1:9" ht="41.25" customHeight="1">
      <c r="A1080" s="34" t="s">
        <v>1243</v>
      </c>
      <c r="B1080" s="59"/>
      <c r="C1080" s="48" t="s">
        <v>714</v>
      </c>
      <c r="D1080" s="48" t="s">
        <v>751</v>
      </c>
      <c r="E1080" s="48" t="s">
        <v>743</v>
      </c>
      <c r="F1080" s="133" t="s">
        <v>1244</v>
      </c>
      <c r="G1080" s="38">
        <f>SUM(G1081:G1085)</f>
        <v>4757.4</v>
      </c>
      <c r="H1080" s="38">
        <f>SUM(H1081:H1085)</f>
        <v>4732.4</v>
      </c>
      <c r="I1080" s="39">
        <f t="shared" si="48"/>
        <v>99.47450287972421</v>
      </c>
    </row>
    <row r="1081" spans="1:9" ht="42.75" hidden="1">
      <c r="A1081" s="93" t="s">
        <v>1213</v>
      </c>
      <c r="B1081" s="59"/>
      <c r="C1081" s="48" t="s">
        <v>714</v>
      </c>
      <c r="D1081" s="48" t="s">
        <v>751</v>
      </c>
      <c r="E1081" s="48" t="s">
        <v>1214</v>
      </c>
      <c r="F1081" s="133" t="s">
        <v>1244</v>
      </c>
      <c r="G1081" s="38"/>
      <c r="H1081" s="38"/>
      <c r="I1081" s="39" t="e">
        <f t="shared" si="48"/>
        <v>#DIV/0!</v>
      </c>
    </row>
    <row r="1082" spans="1:9" ht="28.5" hidden="1">
      <c r="A1082" s="46" t="s">
        <v>1245</v>
      </c>
      <c r="B1082" s="59"/>
      <c r="C1082" s="48" t="s">
        <v>714</v>
      </c>
      <c r="D1082" s="48" t="s">
        <v>751</v>
      </c>
      <c r="E1082" s="48" t="s">
        <v>1246</v>
      </c>
      <c r="F1082" s="133" t="s">
        <v>1244</v>
      </c>
      <c r="G1082" s="71"/>
      <c r="H1082" s="71"/>
      <c r="I1082" s="39" t="e">
        <f t="shared" si="48"/>
        <v>#DIV/0!</v>
      </c>
    </row>
    <row r="1083" spans="1:9" ht="60.75" customHeight="1" hidden="1">
      <c r="A1083" s="46" t="s">
        <v>901</v>
      </c>
      <c r="B1083" s="59"/>
      <c r="C1083" s="48" t="s">
        <v>714</v>
      </c>
      <c r="D1083" s="48" t="s">
        <v>751</v>
      </c>
      <c r="E1083" s="48" t="s">
        <v>902</v>
      </c>
      <c r="F1083" s="133" t="s">
        <v>1244</v>
      </c>
      <c r="G1083" s="71">
        <f>305-305</f>
        <v>0</v>
      </c>
      <c r="H1083" s="71">
        <f>305-305</f>
        <v>0</v>
      </c>
      <c r="I1083" s="39"/>
    </row>
    <row r="1084" spans="1:9" ht="28.5">
      <c r="A1084" s="46" t="s">
        <v>434</v>
      </c>
      <c r="B1084" s="59"/>
      <c r="C1084" s="48" t="s">
        <v>714</v>
      </c>
      <c r="D1084" s="48" t="s">
        <v>751</v>
      </c>
      <c r="E1084" s="48" t="s">
        <v>1248</v>
      </c>
      <c r="F1084" s="133" t="s">
        <v>1244</v>
      </c>
      <c r="G1084" s="71">
        <v>800.4</v>
      </c>
      <c r="H1084" s="71">
        <v>800.4</v>
      </c>
      <c r="I1084" s="39">
        <f t="shared" si="48"/>
        <v>100</v>
      </c>
    </row>
    <row r="1085" spans="1:9" ht="28.5">
      <c r="A1085" s="46" t="s">
        <v>1249</v>
      </c>
      <c r="B1085" s="59"/>
      <c r="C1085" s="48" t="s">
        <v>714</v>
      </c>
      <c r="D1085" s="48" t="s">
        <v>751</v>
      </c>
      <c r="E1085" s="48" t="s">
        <v>1250</v>
      </c>
      <c r="F1085" s="133" t="s">
        <v>1244</v>
      </c>
      <c r="G1085" s="71">
        <v>3957</v>
      </c>
      <c r="H1085" s="71">
        <v>3932</v>
      </c>
      <c r="I1085" s="39">
        <f t="shared" si="48"/>
        <v>99.36820823856458</v>
      </c>
    </row>
    <row r="1086" spans="1:9" ht="15" customHeight="1">
      <c r="A1086" s="232" t="s">
        <v>435</v>
      </c>
      <c r="B1086" s="128" t="s">
        <v>436</v>
      </c>
      <c r="C1086" s="53"/>
      <c r="D1086" s="53"/>
      <c r="E1086" s="53"/>
      <c r="F1086" s="41"/>
      <c r="G1086" s="230">
        <f>SUM(G1087+G1095)</f>
        <v>202521.9</v>
      </c>
      <c r="H1086" s="230">
        <f>SUM(H1087+H1095)</f>
        <v>200260.39999999997</v>
      </c>
      <c r="I1086" s="63">
        <f t="shared" si="48"/>
        <v>98.88333064226633</v>
      </c>
    </row>
    <row r="1087" spans="1:9" ht="15" hidden="1">
      <c r="A1087" s="34" t="s">
        <v>700</v>
      </c>
      <c r="B1087" s="128"/>
      <c r="C1087" s="53" t="s">
        <v>701</v>
      </c>
      <c r="D1087" s="53"/>
      <c r="E1087" s="53"/>
      <c r="F1087" s="41"/>
      <c r="G1087" s="38">
        <f>SUM(G1088)+G1092</f>
        <v>0</v>
      </c>
      <c r="H1087" s="38">
        <f>SUM(H1088)+H1092</f>
        <v>0</v>
      </c>
      <c r="I1087" s="39" t="e">
        <f t="shared" si="48"/>
        <v>#DIV/0!</v>
      </c>
    </row>
    <row r="1088" spans="1:9" ht="15" hidden="1">
      <c r="A1088" s="40" t="s">
        <v>702</v>
      </c>
      <c r="B1088" s="43"/>
      <c r="C1088" s="36" t="s">
        <v>701</v>
      </c>
      <c r="D1088" s="36" t="s">
        <v>701</v>
      </c>
      <c r="E1088" s="36"/>
      <c r="F1088" s="37"/>
      <c r="G1088" s="38">
        <f aca="true" t="shared" si="49" ref="G1088:H1090">SUM(G1089)</f>
        <v>0</v>
      </c>
      <c r="H1088" s="38">
        <f t="shared" si="49"/>
        <v>0</v>
      </c>
      <c r="I1088" s="39" t="e">
        <f t="shared" si="48"/>
        <v>#DIV/0!</v>
      </c>
    </row>
    <row r="1089" spans="1:9" ht="28.5" hidden="1">
      <c r="A1089" s="54" t="s">
        <v>1174</v>
      </c>
      <c r="B1089" s="43"/>
      <c r="C1089" s="36" t="s">
        <v>701</v>
      </c>
      <c r="D1089" s="36" t="s">
        <v>701</v>
      </c>
      <c r="E1089" s="36" t="s">
        <v>704</v>
      </c>
      <c r="F1089" s="37"/>
      <c r="G1089" s="38">
        <f t="shared" si="49"/>
        <v>0</v>
      </c>
      <c r="H1089" s="38">
        <f t="shared" si="49"/>
        <v>0</v>
      </c>
      <c r="I1089" s="39" t="e">
        <f t="shared" si="48"/>
        <v>#DIV/0!</v>
      </c>
    </row>
    <row r="1090" spans="1:9" ht="15" hidden="1">
      <c r="A1090" s="54" t="s">
        <v>1175</v>
      </c>
      <c r="B1090" s="43"/>
      <c r="C1090" s="36" t="s">
        <v>701</v>
      </c>
      <c r="D1090" s="36" t="s">
        <v>701</v>
      </c>
      <c r="E1090" s="36" t="s">
        <v>1176</v>
      </c>
      <c r="F1090" s="37"/>
      <c r="G1090" s="38">
        <f t="shared" si="49"/>
        <v>0</v>
      </c>
      <c r="H1090" s="38">
        <f t="shared" si="49"/>
        <v>0</v>
      </c>
      <c r="I1090" s="39" t="e">
        <f t="shared" si="48"/>
        <v>#DIV/0!</v>
      </c>
    </row>
    <row r="1091" spans="1:9" ht="14.25" customHeight="1" hidden="1">
      <c r="A1091" s="57" t="s">
        <v>782</v>
      </c>
      <c r="B1091" s="43"/>
      <c r="C1091" s="36" t="s">
        <v>701</v>
      </c>
      <c r="D1091" s="36" t="s">
        <v>701</v>
      </c>
      <c r="E1091" s="36" t="s">
        <v>1176</v>
      </c>
      <c r="F1091" s="37" t="s">
        <v>783</v>
      </c>
      <c r="G1091" s="38"/>
      <c r="H1091" s="38"/>
      <c r="I1091" s="39" t="e">
        <f t="shared" si="48"/>
        <v>#DIV/0!</v>
      </c>
    </row>
    <row r="1092" spans="1:9" ht="18" customHeight="1" hidden="1">
      <c r="A1092" s="74" t="s">
        <v>1188</v>
      </c>
      <c r="B1092" s="43"/>
      <c r="C1092" s="36" t="s">
        <v>701</v>
      </c>
      <c r="D1092" s="36" t="s">
        <v>887</v>
      </c>
      <c r="E1092" s="36"/>
      <c r="F1092" s="37"/>
      <c r="G1092" s="38">
        <f>SUM(G1093)</f>
        <v>0</v>
      </c>
      <c r="H1092" s="38">
        <f>SUM(H1093)</f>
        <v>0</v>
      </c>
      <c r="I1092" s="39" t="e">
        <f t="shared" si="48"/>
        <v>#DIV/0!</v>
      </c>
    </row>
    <row r="1093" spans="1:9" ht="13.5" customHeight="1" hidden="1">
      <c r="A1093" s="74" t="s">
        <v>742</v>
      </c>
      <c r="B1093" s="43"/>
      <c r="C1093" s="36" t="s">
        <v>701</v>
      </c>
      <c r="D1093" s="36" t="s">
        <v>887</v>
      </c>
      <c r="E1093" s="36" t="s">
        <v>743</v>
      </c>
      <c r="F1093" s="37"/>
      <c r="G1093" s="38">
        <f>SUM(G1094)</f>
        <v>0</v>
      </c>
      <c r="H1093" s="38">
        <f>SUM(H1094)</f>
        <v>0</v>
      </c>
      <c r="I1093" s="39" t="e">
        <f t="shared" si="48"/>
        <v>#DIV/0!</v>
      </c>
    </row>
    <row r="1094" spans="1:9" ht="13.5" customHeight="1" hidden="1">
      <c r="A1094" s="40" t="s">
        <v>1251</v>
      </c>
      <c r="B1094" s="43"/>
      <c r="C1094" s="36" t="s">
        <v>701</v>
      </c>
      <c r="D1094" s="36" t="s">
        <v>887</v>
      </c>
      <c r="E1094" s="36" t="s">
        <v>743</v>
      </c>
      <c r="F1094" s="37" t="s">
        <v>1252</v>
      </c>
      <c r="G1094" s="38"/>
      <c r="H1094" s="38"/>
      <c r="I1094" s="39" t="e">
        <f t="shared" si="48"/>
        <v>#DIV/0!</v>
      </c>
    </row>
    <row r="1095" spans="1:9" ht="15">
      <c r="A1095" s="34" t="s">
        <v>1434</v>
      </c>
      <c r="B1095" s="35"/>
      <c r="C1095" s="53" t="s">
        <v>887</v>
      </c>
      <c r="D1095" s="53"/>
      <c r="E1095" s="53"/>
      <c r="F1095" s="41"/>
      <c r="G1095" s="38">
        <f>SUM(G1096+G1107+G1131+G1143+G1126)</f>
        <v>202521.9</v>
      </c>
      <c r="H1095" s="38">
        <f>SUM(H1096+H1107+H1131+H1143+H1126)</f>
        <v>200260.39999999997</v>
      </c>
      <c r="I1095" s="39">
        <f t="shared" si="48"/>
        <v>98.88333064226633</v>
      </c>
    </row>
    <row r="1096" spans="1:9" ht="13.5" customHeight="1">
      <c r="A1096" s="34" t="s">
        <v>1254</v>
      </c>
      <c r="B1096" s="35"/>
      <c r="C1096" s="53" t="s">
        <v>887</v>
      </c>
      <c r="D1096" s="53" t="s">
        <v>678</v>
      </c>
      <c r="E1096" s="53"/>
      <c r="F1096" s="41"/>
      <c r="G1096" s="38">
        <f>SUM(G1097+G1100)</f>
        <v>69113.3</v>
      </c>
      <c r="H1096" s="38">
        <f>SUM(H1097+H1100)</f>
        <v>68043.7</v>
      </c>
      <c r="I1096" s="39">
        <f t="shared" si="48"/>
        <v>98.45239628262577</v>
      </c>
    </row>
    <row r="1097" spans="1:9" ht="17.25" customHeight="1">
      <c r="A1097" s="34" t="s">
        <v>769</v>
      </c>
      <c r="B1097" s="35"/>
      <c r="C1097" s="53" t="s">
        <v>887</v>
      </c>
      <c r="D1097" s="53" t="s">
        <v>678</v>
      </c>
      <c r="E1097" s="36" t="s">
        <v>771</v>
      </c>
      <c r="F1097" s="37"/>
      <c r="G1097" s="38">
        <f>SUM(G1098)</f>
        <v>147.2</v>
      </c>
      <c r="H1097" s="38">
        <f>SUM(H1098)</f>
        <v>146.8</v>
      </c>
      <c r="I1097" s="39">
        <f t="shared" si="48"/>
        <v>99.72826086956523</v>
      </c>
    </row>
    <row r="1098" spans="1:9" ht="15.75" customHeight="1">
      <c r="A1098" s="34" t="s">
        <v>740</v>
      </c>
      <c r="B1098" s="35"/>
      <c r="C1098" s="53" t="s">
        <v>887</v>
      </c>
      <c r="D1098" s="53" t="s">
        <v>678</v>
      </c>
      <c r="E1098" s="36" t="s">
        <v>741</v>
      </c>
      <c r="F1098" s="37"/>
      <c r="G1098" s="38">
        <f>SUM(G1099)</f>
        <v>147.2</v>
      </c>
      <c r="H1098" s="38">
        <f>SUM(H1099)</f>
        <v>146.8</v>
      </c>
      <c r="I1098" s="39">
        <f t="shared" si="48"/>
        <v>99.72826086956523</v>
      </c>
    </row>
    <row r="1099" spans="1:9" ht="17.25" customHeight="1">
      <c r="A1099" s="57" t="s">
        <v>782</v>
      </c>
      <c r="B1099" s="52"/>
      <c r="C1099" s="53" t="s">
        <v>887</v>
      </c>
      <c r="D1099" s="53" t="s">
        <v>678</v>
      </c>
      <c r="E1099" s="36" t="s">
        <v>741</v>
      </c>
      <c r="F1099" s="41" t="s">
        <v>783</v>
      </c>
      <c r="G1099" s="38">
        <v>147.2</v>
      </c>
      <c r="H1099" s="38">
        <v>146.8</v>
      </c>
      <c r="I1099" s="39">
        <f t="shared" si="48"/>
        <v>99.72826086956523</v>
      </c>
    </row>
    <row r="1100" spans="1:9" ht="15">
      <c r="A1100" s="34" t="s">
        <v>1258</v>
      </c>
      <c r="B1100" s="35"/>
      <c r="C1100" s="53" t="s">
        <v>887</v>
      </c>
      <c r="D1100" s="53" t="s">
        <v>678</v>
      </c>
      <c r="E1100" s="53" t="s">
        <v>1259</v>
      </c>
      <c r="F1100" s="41"/>
      <c r="G1100" s="38">
        <f>SUM(G1101)</f>
        <v>68966.1</v>
      </c>
      <c r="H1100" s="38">
        <f>SUM(H1101)</f>
        <v>67896.9</v>
      </c>
      <c r="I1100" s="39">
        <f t="shared" si="48"/>
        <v>98.44967310026229</v>
      </c>
    </row>
    <row r="1101" spans="1:9" ht="28.5">
      <c r="A1101" s="40" t="s">
        <v>780</v>
      </c>
      <c r="B1101" s="35"/>
      <c r="C1101" s="53" t="s">
        <v>887</v>
      </c>
      <c r="D1101" s="53" t="s">
        <v>678</v>
      </c>
      <c r="E1101" s="53" t="s">
        <v>1260</v>
      </c>
      <c r="F1101" s="41"/>
      <c r="G1101" s="38">
        <f>SUM(G1102:G1105)</f>
        <v>68966.1</v>
      </c>
      <c r="H1101" s="38">
        <f>SUM(H1102:H1105)</f>
        <v>67896.9</v>
      </c>
      <c r="I1101" s="39">
        <f t="shared" si="48"/>
        <v>98.44967310026229</v>
      </c>
    </row>
    <row r="1102" spans="1:9" ht="15">
      <c r="A1102" s="57" t="s">
        <v>782</v>
      </c>
      <c r="B1102" s="35"/>
      <c r="C1102" s="53" t="s">
        <v>1261</v>
      </c>
      <c r="D1102" s="53" t="s">
        <v>678</v>
      </c>
      <c r="E1102" s="53" t="s">
        <v>1260</v>
      </c>
      <c r="F1102" s="41" t="s">
        <v>783</v>
      </c>
      <c r="G1102" s="38">
        <v>68966.1</v>
      </c>
      <c r="H1102" s="38">
        <v>67896.9</v>
      </c>
      <c r="I1102" s="39">
        <f t="shared" si="48"/>
        <v>98.44967310026229</v>
      </c>
    </row>
    <row r="1103" spans="1:9" ht="57" hidden="1">
      <c r="A1103" s="57" t="s">
        <v>1262</v>
      </c>
      <c r="B1103" s="35"/>
      <c r="C1103" s="53" t="s">
        <v>1261</v>
      </c>
      <c r="D1103" s="53" t="s">
        <v>678</v>
      </c>
      <c r="E1103" s="53" t="s">
        <v>1260</v>
      </c>
      <c r="F1103" s="41" t="s">
        <v>1263</v>
      </c>
      <c r="G1103" s="38"/>
      <c r="H1103" s="38"/>
      <c r="I1103" s="39" t="e">
        <f t="shared" si="48"/>
        <v>#DIV/0!</v>
      </c>
    </row>
    <row r="1104" spans="1:9" ht="46.5" customHeight="1" hidden="1">
      <c r="A1104" s="57" t="s">
        <v>1107</v>
      </c>
      <c r="B1104" s="35"/>
      <c r="C1104" s="53" t="s">
        <v>1261</v>
      </c>
      <c r="D1104" s="53" t="s">
        <v>678</v>
      </c>
      <c r="E1104" s="53" t="s">
        <v>1260</v>
      </c>
      <c r="F1104" s="41" t="s">
        <v>1108</v>
      </c>
      <c r="G1104" s="38"/>
      <c r="H1104" s="38"/>
      <c r="I1104" s="39" t="e">
        <f t="shared" si="48"/>
        <v>#DIV/0!</v>
      </c>
    </row>
    <row r="1105" spans="1:9" ht="60.75" customHeight="1" hidden="1">
      <c r="A1105" s="40" t="s">
        <v>1114</v>
      </c>
      <c r="B1105" s="35"/>
      <c r="C1105" s="53" t="s">
        <v>1261</v>
      </c>
      <c r="D1105" s="53" t="s">
        <v>678</v>
      </c>
      <c r="E1105" s="53" t="s">
        <v>1264</v>
      </c>
      <c r="F1105" s="41"/>
      <c r="G1105" s="38">
        <f>SUM(G1106)</f>
        <v>0</v>
      </c>
      <c r="H1105" s="38">
        <f>SUM(H1106)</f>
        <v>0</v>
      </c>
      <c r="I1105" s="39" t="e">
        <f t="shared" si="48"/>
        <v>#DIV/0!</v>
      </c>
    </row>
    <row r="1106" spans="1:9" ht="15" hidden="1">
      <c r="A1106" s="57" t="s">
        <v>782</v>
      </c>
      <c r="B1106" s="35"/>
      <c r="C1106" s="53" t="s">
        <v>1261</v>
      </c>
      <c r="D1106" s="53" t="s">
        <v>678</v>
      </c>
      <c r="E1106" s="53" t="s">
        <v>1264</v>
      </c>
      <c r="F1106" s="41" t="s">
        <v>783</v>
      </c>
      <c r="G1106" s="38"/>
      <c r="H1106" s="38"/>
      <c r="I1106" s="39" t="e">
        <f t="shared" si="48"/>
        <v>#DIV/0!</v>
      </c>
    </row>
    <row r="1107" spans="1:9" ht="15">
      <c r="A1107" s="34" t="s">
        <v>1265</v>
      </c>
      <c r="B1107" s="35"/>
      <c r="C1107" s="53" t="s">
        <v>887</v>
      </c>
      <c r="D1107" s="53" t="s">
        <v>680</v>
      </c>
      <c r="E1107" s="53"/>
      <c r="F1107" s="41"/>
      <c r="G1107" s="38">
        <f>SUM(G1108+G1115+G1119+G1123)</f>
        <v>49077.6</v>
      </c>
      <c r="H1107" s="38">
        <f>SUM(H1108+H1115+H1119+H1123)</f>
        <v>48303.99999999999</v>
      </c>
      <c r="I1107" s="39">
        <f t="shared" si="48"/>
        <v>98.42372080134317</v>
      </c>
    </row>
    <row r="1108" spans="1:9" ht="15">
      <c r="A1108" s="34" t="s">
        <v>1258</v>
      </c>
      <c r="B1108" s="35"/>
      <c r="C1108" s="53" t="s">
        <v>887</v>
      </c>
      <c r="D1108" s="53" t="s">
        <v>680</v>
      </c>
      <c r="E1108" s="53" t="s">
        <v>1259</v>
      </c>
      <c r="F1108" s="41"/>
      <c r="G1108" s="38">
        <f>SUM(G1109)</f>
        <v>34992.6</v>
      </c>
      <c r="H1108" s="38">
        <f>SUM(H1109)</f>
        <v>34341.6</v>
      </c>
      <c r="I1108" s="39">
        <f t="shared" si="48"/>
        <v>98.13960665969377</v>
      </c>
    </row>
    <row r="1109" spans="1:9" ht="28.5">
      <c r="A1109" s="40" t="s">
        <v>780</v>
      </c>
      <c r="B1109" s="35"/>
      <c r="C1109" s="53" t="s">
        <v>887</v>
      </c>
      <c r="D1109" s="53" t="s">
        <v>680</v>
      </c>
      <c r="E1109" s="53" t="s">
        <v>1260</v>
      </c>
      <c r="F1109" s="41"/>
      <c r="G1109" s="38">
        <f>SUM(G1110:G1113)</f>
        <v>34992.6</v>
      </c>
      <c r="H1109" s="38">
        <f>SUM(H1110:H1113)</f>
        <v>34341.6</v>
      </c>
      <c r="I1109" s="39">
        <f t="shared" si="48"/>
        <v>98.13960665969377</v>
      </c>
    </row>
    <row r="1110" spans="1:9" ht="18" customHeight="1">
      <c r="A1110" s="57" t="s">
        <v>782</v>
      </c>
      <c r="B1110" s="35"/>
      <c r="C1110" s="53" t="s">
        <v>887</v>
      </c>
      <c r="D1110" s="53" t="s">
        <v>680</v>
      </c>
      <c r="E1110" s="53" t="s">
        <v>1260</v>
      </c>
      <c r="F1110" s="41" t="s">
        <v>783</v>
      </c>
      <c r="G1110" s="38">
        <v>34992.6</v>
      </c>
      <c r="H1110" s="38">
        <v>34341.6</v>
      </c>
      <c r="I1110" s="39">
        <f t="shared" si="48"/>
        <v>98.13960665969377</v>
      </c>
    </row>
    <row r="1111" spans="1:9" ht="56.25" customHeight="1" hidden="1">
      <c r="A1111" s="57" t="s">
        <v>1262</v>
      </c>
      <c r="B1111" s="35"/>
      <c r="C1111" s="53" t="s">
        <v>887</v>
      </c>
      <c r="D1111" s="53" t="s">
        <v>680</v>
      </c>
      <c r="E1111" s="53" t="s">
        <v>1260</v>
      </c>
      <c r="F1111" s="41" t="s">
        <v>1263</v>
      </c>
      <c r="G1111" s="38"/>
      <c r="H1111" s="38"/>
      <c r="I1111" s="39" t="e">
        <f t="shared" si="48"/>
        <v>#DIV/0!</v>
      </c>
    </row>
    <row r="1112" spans="1:9" ht="18.75" customHeight="1" hidden="1">
      <c r="A1112" s="57" t="s">
        <v>1107</v>
      </c>
      <c r="B1112" s="35"/>
      <c r="C1112" s="53" t="s">
        <v>887</v>
      </c>
      <c r="D1112" s="53" t="s">
        <v>680</v>
      </c>
      <c r="E1112" s="53" t="s">
        <v>1260</v>
      </c>
      <c r="F1112" s="41" t="s">
        <v>1108</v>
      </c>
      <c r="G1112" s="38"/>
      <c r="H1112" s="38"/>
      <c r="I1112" s="39" t="e">
        <f t="shared" si="48"/>
        <v>#DIV/0!</v>
      </c>
    </row>
    <row r="1113" spans="1:9" ht="57.75" customHeight="1" hidden="1">
      <c r="A1113" s="40" t="s">
        <v>1114</v>
      </c>
      <c r="B1113" s="35"/>
      <c r="C1113" s="53" t="s">
        <v>887</v>
      </c>
      <c r="D1113" s="53" t="s">
        <v>680</v>
      </c>
      <c r="E1113" s="53" t="s">
        <v>1264</v>
      </c>
      <c r="F1113" s="41"/>
      <c r="G1113" s="38">
        <f>SUM(G1114)</f>
        <v>0</v>
      </c>
      <c r="H1113" s="38">
        <f>SUM(H1114)</f>
        <v>0</v>
      </c>
      <c r="I1113" s="39" t="e">
        <f t="shared" si="48"/>
        <v>#DIV/0!</v>
      </c>
    </row>
    <row r="1114" spans="1:9" ht="15" hidden="1">
      <c r="A1114" s="57" t="s">
        <v>782</v>
      </c>
      <c r="B1114" s="35"/>
      <c r="C1114" s="53" t="s">
        <v>887</v>
      </c>
      <c r="D1114" s="53" t="s">
        <v>680</v>
      </c>
      <c r="E1114" s="53" t="s">
        <v>1264</v>
      </c>
      <c r="F1114" s="41" t="s">
        <v>783</v>
      </c>
      <c r="G1114" s="38"/>
      <c r="H1114" s="38"/>
      <c r="I1114" s="39" t="e">
        <f aca="true" t="shared" si="50" ref="I1114:I1165">SUM(H1114/G1114*100)</f>
        <v>#DIV/0!</v>
      </c>
    </row>
    <row r="1115" spans="1:9" ht="28.5">
      <c r="A1115" s="34" t="s">
        <v>1266</v>
      </c>
      <c r="B1115" s="35"/>
      <c r="C1115" s="53" t="s">
        <v>887</v>
      </c>
      <c r="D1115" s="53" t="s">
        <v>680</v>
      </c>
      <c r="E1115" s="53" t="s">
        <v>1267</v>
      </c>
      <c r="F1115" s="41"/>
      <c r="G1115" s="38">
        <f>SUM(G1116)</f>
        <v>10916.7</v>
      </c>
      <c r="H1115" s="38">
        <f>SUM(H1116)</f>
        <v>10855.3</v>
      </c>
      <c r="I1115" s="39">
        <f t="shared" si="50"/>
        <v>99.43755896928558</v>
      </c>
    </row>
    <row r="1116" spans="1:9" ht="28.5">
      <c r="A1116" s="40" t="s">
        <v>780</v>
      </c>
      <c r="B1116" s="35"/>
      <c r="C1116" s="53" t="s">
        <v>887</v>
      </c>
      <c r="D1116" s="53" t="s">
        <v>680</v>
      </c>
      <c r="E1116" s="53" t="s">
        <v>1268</v>
      </c>
      <c r="F1116" s="41"/>
      <c r="G1116" s="38">
        <f>SUM(G1117:G1118)</f>
        <v>10916.7</v>
      </c>
      <c r="H1116" s="38">
        <f>SUM(H1117:H1118)</f>
        <v>10855.3</v>
      </c>
      <c r="I1116" s="39">
        <f t="shared" si="50"/>
        <v>99.43755896928558</v>
      </c>
    </row>
    <row r="1117" spans="1:9" ht="16.5" customHeight="1">
      <c r="A1117" s="57" t="s">
        <v>782</v>
      </c>
      <c r="B1117" s="35"/>
      <c r="C1117" s="53" t="s">
        <v>887</v>
      </c>
      <c r="D1117" s="53" t="s">
        <v>680</v>
      </c>
      <c r="E1117" s="53" t="s">
        <v>1268</v>
      </c>
      <c r="F1117" s="41" t="s">
        <v>783</v>
      </c>
      <c r="G1117" s="38">
        <v>10916.7</v>
      </c>
      <c r="H1117" s="38">
        <v>10855.3</v>
      </c>
      <c r="I1117" s="39">
        <f t="shared" si="50"/>
        <v>99.43755896928558</v>
      </c>
    </row>
    <row r="1118" spans="1:9" ht="0.75" customHeight="1" hidden="1">
      <c r="A1118" s="40" t="s">
        <v>1114</v>
      </c>
      <c r="B1118" s="35"/>
      <c r="C1118" s="53" t="s">
        <v>887</v>
      </c>
      <c r="D1118" s="53" t="s">
        <v>680</v>
      </c>
      <c r="E1118" s="53" t="s">
        <v>1268</v>
      </c>
      <c r="F1118" s="41" t="s">
        <v>1269</v>
      </c>
      <c r="G1118" s="38"/>
      <c r="H1118" s="38"/>
      <c r="I1118" s="39" t="e">
        <f t="shared" si="50"/>
        <v>#DIV/0!</v>
      </c>
    </row>
    <row r="1119" spans="1:9" ht="15">
      <c r="A1119" s="34" t="s">
        <v>1270</v>
      </c>
      <c r="B1119" s="35"/>
      <c r="C1119" s="53" t="s">
        <v>887</v>
      </c>
      <c r="D1119" s="53" t="s">
        <v>680</v>
      </c>
      <c r="E1119" s="53" t="s">
        <v>1271</v>
      </c>
      <c r="F1119" s="41"/>
      <c r="G1119" s="38">
        <f>SUM(G1120)</f>
        <v>2637.1</v>
      </c>
      <c r="H1119" s="38">
        <f>SUM(H1120)</f>
        <v>2629.9</v>
      </c>
      <c r="I1119" s="39">
        <f t="shared" si="50"/>
        <v>99.72697281104243</v>
      </c>
    </row>
    <row r="1120" spans="1:9" ht="28.5">
      <c r="A1120" s="40" t="s">
        <v>780</v>
      </c>
      <c r="B1120" s="35"/>
      <c r="C1120" s="53" t="s">
        <v>887</v>
      </c>
      <c r="D1120" s="53" t="s">
        <v>680</v>
      </c>
      <c r="E1120" s="53" t="s">
        <v>1272</v>
      </c>
      <c r="F1120" s="41"/>
      <c r="G1120" s="38">
        <f>SUM(G1121:G1122)</f>
        <v>2637.1</v>
      </c>
      <c r="H1120" s="38">
        <f>SUM(H1121:H1122)</f>
        <v>2629.9</v>
      </c>
      <c r="I1120" s="39">
        <f t="shared" si="50"/>
        <v>99.72697281104243</v>
      </c>
    </row>
    <row r="1121" spans="1:9" ht="14.25" customHeight="1">
      <c r="A1121" s="57" t="s">
        <v>782</v>
      </c>
      <c r="B1121" s="35"/>
      <c r="C1121" s="53" t="s">
        <v>887</v>
      </c>
      <c r="D1121" s="53" t="s">
        <v>680</v>
      </c>
      <c r="E1121" s="53" t="s">
        <v>1272</v>
      </c>
      <c r="F1121" s="41" t="s">
        <v>783</v>
      </c>
      <c r="G1121" s="38">
        <v>2637.1</v>
      </c>
      <c r="H1121" s="38">
        <v>2629.9</v>
      </c>
      <c r="I1121" s="39">
        <f t="shared" si="50"/>
        <v>99.72697281104243</v>
      </c>
    </row>
    <row r="1122" spans="1:9" ht="58.5" customHeight="1" hidden="1">
      <c r="A1122" s="40" t="s">
        <v>1114</v>
      </c>
      <c r="B1122" s="35"/>
      <c r="C1122" s="53" t="s">
        <v>887</v>
      </c>
      <c r="D1122" s="53" t="s">
        <v>680</v>
      </c>
      <c r="E1122" s="53" t="s">
        <v>1272</v>
      </c>
      <c r="F1122" s="41" t="s">
        <v>1269</v>
      </c>
      <c r="G1122" s="38"/>
      <c r="H1122" s="38"/>
      <c r="I1122" s="39" t="e">
        <f t="shared" si="50"/>
        <v>#DIV/0!</v>
      </c>
    </row>
    <row r="1123" spans="1:9" ht="28.5">
      <c r="A1123" s="93" t="s">
        <v>1080</v>
      </c>
      <c r="B1123" s="35"/>
      <c r="C1123" s="53" t="s">
        <v>887</v>
      </c>
      <c r="D1123" s="53" t="s">
        <v>680</v>
      </c>
      <c r="E1123" s="53" t="s">
        <v>1081</v>
      </c>
      <c r="F1123" s="41"/>
      <c r="G1123" s="38">
        <f>SUM(G1124)</f>
        <v>531.2</v>
      </c>
      <c r="H1123" s="38">
        <f>SUM(H1124)</f>
        <v>477.2</v>
      </c>
      <c r="I1123" s="39">
        <f t="shared" si="50"/>
        <v>89.83433734939759</v>
      </c>
    </row>
    <row r="1124" spans="1:9" ht="57">
      <c r="A1124" s="54" t="s">
        <v>1273</v>
      </c>
      <c r="B1124" s="35"/>
      <c r="C1124" s="53" t="s">
        <v>887</v>
      </c>
      <c r="D1124" s="53" t="s">
        <v>680</v>
      </c>
      <c r="E1124" s="53" t="s">
        <v>1274</v>
      </c>
      <c r="F1124" s="41"/>
      <c r="G1124" s="38">
        <f>SUM(G1125)</f>
        <v>531.2</v>
      </c>
      <c r="H1124" s="38">
        <f>SUM(H1125)</f>
        <v>477.2</v>
      </c>
      <c r="I1124" s="39">
        <f t="shared" si="50"/>
        <v>89.83433734939759</v>
      </c>
    </row>
    <row r="1125" spans="1:9" ht="15">
      <c r="A1125" s="57" t="s">
        <v>782</v>
      </c>
      <c r="B1125" s="35"/>
      <c r="C1125" s="53" t="s">
        <v>887</v>
      </c>
      <c r="D1125" s="53" t="s">
        <v>680</v>
      </c>
      <c r="E1125" s="53" t="s">
        <v>1274</v>
      </c>
      <c r="F1125" s="41" t="s">
        <v>783</v>
      </c>
      <c r="G1125" s="38">
        <v>531.2</v>
      </c>
      <c r="H1125" s="38">
        <v>477.2</v>
      </c>
      <c r="I1125" s="39">
        <f t="shared" si="50"/>
        <v>89.83433734939759</v>
      </c>
    </row>
    <row r="1126" spans="1:9" ht="28.5">
      <c r="A1126" s="244" t="s">
        <v>1275</v>
      </c>
      <c r="B1126" s="92"/>
      <c r="C1126" s="53" t="s">
        <v>887</v>
      </c>
      <c r="D1126" s="53" t="s">
        <v>688</v>
      </c>
      <c r="E1126" s="53"/>
      <c r="F1126" s="41"/>
      <c r="G1126" s="38">
        <f>SUM(G1127)</f>
        <v>13014.5</v>
      </c>
      <c r="H1126" s="38">
        <f>SUM(H1127)</f>
        <v>12996.3</v>
      </c>
      <c r="I1126" s="39">
        <f t="shared" si="50"/>
        <v>99.86015597986861</v>
      </c>
    </row>
    <row r="1127" spans="1:9" ht="28.5">
      <c r="A1127" s="244" t="s">
        <v>1276</v>
      </c>
      <c r="B1127" s="92"/>
      <c r="C1127" s="53" t="s">
        <v>887</v>
      </c>
      <c r="D1127" s="53" t="s">
        <v>688</v>
      </c>
      <c r="E1127" s="53" t="s">
        <v>1259</v>
      </c>
      <c r="F1127" s="41"/>
      <c r="G1127" s="38">
        <f>SUM(G1128)</f>
        <v>13014.5</v>
      </c>
      <c r="H1127" s="38">
        <f>SUM(H1128)</f>
        <v>12996.3</v>
      </c>
      <c r="I1127" s="39">
        <f t="shared" si="50"/>
        <v>99.86015597986861</v>
      </c>
    </row>
    <row r="1128" spans="1:9" ht="28.5">
      <c r="A1128" s="245" t="s">
        <v>780</v>
      </c>
      <c r="B1128" s="92"/>
      <c r="C1128" s="53" t="s">
        <v>887</v>
      </c>
      <c r="D1128" s="53" t="s">
        <v>688</v>
      </c>
      <c r="E1128" s="53" t="s">
        <v>1260</v>
      </c>
      <c r="F1128" s="41"/>
      <c r="G1128" s="38">
        <f>SUM(G1129:G1130)</f>
        <v>13014.5</v>
      </c>
      <c r="H1128" s="38">
        <f>SUM(H1129:H1130)</f>
        <v>12996.3</v>
      </c>
      <c r="I1128" s="39">
        <f t="shared" si="50"/>
        <v>99.86015597986861</v>
      </c>
    </row>
    <row r="1129" spans="1:9" ht="15">
      <c r="A1129" s="245" t="s">
        <v>782</v>
      </c>
      <c r="B1129" s="92"/>
      <c r="C1129" s="53" t="s">
        <v>887</v>
      </c>
      <c r="D1129" s="53" t="s">
        <v>688</v>
      </c>
      <c r="E1129" s="53" t="s">
        <v>1260</v>
      </c>
      <c r="F1129" s="41" t="s">
        <v>783</v>
      </c>
      <c r="G1129" s="38">
        <v>13014.5</v>
      </c>
      <c r="H1129" s="38">
        <v>12996.3</v>
      </c>
      <c r="I1129" s="39">
        <f t="shared" si="50"/>
        <v>99.86015597986861</v>
      </c>
    </row>
    <row r="1130" spans="1:9" ht="58.5" customHeight="1" hidden="1">
      <c r="A1130" s="40" t="s">
        <v>1114</v>
      </c>
      <c r="B1130" s="35"/>
      <c r="C1130" s="53" t="s">
        <v>887</v>
      </c>
      <c r="D1130" s="53" t="s">
        <v>688</v>
      </c>
      <c r="E1130" s="53" t="s">
        <v>1268</v>
      </c>
      <c r="F1130" s="41" t="s">
        <v>1269</v>
      </c>
      <c r="G1130" s="38"/>
      <c r="H1130" s="38"/>
      <c r="I1130" s="39" t="e">
        <f t="shared" si="50"/>
        <v>#DIV/0!</v>
      </c>
    </row>
    <row r="1131" spans="1:9" ht="15">
      <c r="A1131" s="57" t="s">
        <v>1277</v>
      </c>
      <c r="B1131" s="35"/>
      <c r="C1131" s="53" t="s">
        <v>887</v>
      </c>
      <c r="D1131" s="53" t="s">
        <v>712</v>
      </c>
      <c r="E1131" s="53"/>
      <c r="F1131" s="41"/>
      <c r="G1131" s="38">
        <f>SUM(G1134+G1138+G1132)</f>
        <v>57690.5</v>
      </c>
      <c r="H1131" s="38">
        <f>SUM(H1134+H1138+H1132)</f>
        <v>57344.1</v>
      </c>
      <c r="I1131" s="39">
        <f t="shared" si="50"/>
        <v>99.39955451937493</v>
      </c>
    </row>
    <row r="1132" spans="1:9" ht="15">
      <c r="A1132" s="57" t="s">
        <v>740</v>
      </c>
      <c r="B1132" s="35"/>
      <c r="C1132" s="53" t="s">
        <v>887</v>
      </c>
      <c r="D1132" s="53" t="s">
        <v>712</v>
      </c>
      <c r="E1132" s="53" t="s">
        <v>741</v>
      </c>
      <c r="F1132" s="41"/>
      <c r="G1132" s="38">
        <f>SUM(G1133)</f>
        <v>60</v>
      </c>
      <c r="H1132" s="38">
        <f>SUM(H1133)</f>
        <v>60</v>
      </c>
      <c r="I1132" s="39">
        <f t="shared" si="50"/>
        <v>100</v>
      </c>
    </row>
    <row r="1133" spans="1:9" ht="15">
      <c r="A1133" s="57" t="s">
        <v>782</v>
      </c>
      <c r="B1133" s="35"/>
      <c r="C1133" s="53" t="s">
        <v>887</v>
      </c>
      <c r="D1133" s="53" t="s">
        <v>712</v>
      </c>
      <c r="E1133" s="53" t="s">
        <v>741</v>
      </c>
      <c r="F1133" s="41" t="s">
        <v>783</v>
      </c>
      <c r="G1133" s="38">
        <v>60</v>
      </c>
      <c r="H1133" s="38">
        <v>60</v>
      </c>
      <c r="I1133" s="39">
        <f t="shared" si="50"/>
        <v>100</v>
      </c>
    </row>
    <row r="1134" spans="1:9" ht="15">
      <c r="A1134" s="34" t="s">
        <v>1278</v>
      </c>
      <c r="B1134" s="35"/>
      <c r="C1134" s="53" t="s">
        <v>887</v>
      </c>
      <c r="D1134" s="53" t="s">
        <v>712</v>
      </c>
      <c r="E1134" s="53" t="s">
        <v>1279</v>
      </c>
      <c r="F1134" s="41"/>
      <c r="G1134" s="38">
        <f>SUM(G1135)</f>
        <v>49280.3</v>
      </c>
      <c r="H1134" s="38">
        <f>SUM(H1135)</f>
        <v>49167.9</v>
      </c>
      <c r="I1134" s="39">
        <f t="shared" si="50"/>
        <v>99.77191697290803</v>
      </c>
    </row>
    <row r="1135" spans="1:9" ht="28.5">
      <c r="A1135" s="40" t="s">
        <v>780</v>
      </c>
      <c r="B1135" s="35"/>
      <c r="C1135" s="53" t="s">
        <v>887</v>
      </c>
      <c r="D1135" s="53" t="s">
        <v>712</v>
      </c>
      <c r="E1135" s="53" t="s">
        <v>1280</v>
      </c>
      <c r="F1135" s="41"/>
      <c r="G1135" s="38">
        <f>SUM(G1136:G1137)</f>
        <v>49280.3</v>
      </c>
      <c r="H1135" s="38">
        <f>SUM(H1136:H1137)</f>
        <v>49167.9</v>
      </c>
      <c r="I1135" s="39">
        <f t="shared" si="50"/>
        <v>99.77191697290803</v>
      </c>
    </row>
    <row r="1136" spans="1:9" ht="14.25" customHeight="1">
      <c r="A1136" s="57" t="s">
        <v>782</v>
      </c>
      <c r="B1136" s="35"/>
      <c r="C1136" s="53" t="s">
        <v>887</v>
      </c>
      <c r="D1136" s="53" t="s">
        <v>712</v>
      </c>
      <c r="E1136" s="53" t="s">
        <v>1280</v>
      </c>
      <c r="F1136" s="41" t="s">
        <v>783</v>
      </c>
      <c r="G1136" s="38">
        <v>49280.3</v>
      </c>
      <c r="H1136" s="38">
        <v>49167.9</v>
      </c>
      <c r="I1136" s="39">
        <f t="shared" si="50"/>
        <v>99.77191697290803</v>
      </c>
    </row>
    <row r="1137" spans="1:9" ht="62.25" customHeight="1" hidden="1">
      <c r="A1137" s="40" t="s">
        <v>1114</v>
      </c>
      <c r="B1137" s="35"/>
      <c r="C1137" s="53" t="s">
        <v>887</v>
      </c>
      <c r="D1137" s="53" t="s">
        <v>712</v>
      </c>
      <c r="E1137" s="53" t="s">
        <v>1280</v>
      </c>
      <c r="F1137" s="41" t="s">
        <v>1269</v>
      </c>
      <c r="G1137" s="38"/>
      <c r="H1137" s="38"/>
      <c r="I1137" s="39" t="e">
        <f t="shared" si="50"/>
        <v>#DIV/0!</v>
      </c>
    </row>
    <row r="1138" spans="1:9" ht="28.5">
      <c r="A1138" s="93" t="s">
        <v>1080</v>
      </c>
      <c r="B1138" s="35"/>
      <c r="C1138" s="53" t="s">
        <v>887</v>
      </c>
      <c r="D1138" s="53" t="s">
        <v>712</v>
      </c>
      <c r="E1138" s="53" t="s">
        <v>1081</v>
      </c>
      <c r="F1138" s="41"/>
      <c r="G1138" s="38">
        <f>SUM(G1139)</f>
        <v>8350.2</v>
      </c>
      <c r="H1138" s="38">
        <f>SUM(H1139)</f>
        <v>8116.2</v>
      </c>
      <c r="I1138" s="39">
        <f t="shared" si="50"/>
        <v>97.19767191205</v>
      </c>
    </row>
    <row r="1139" spans="1:9" ht="57">
      <c r="A1139" s="54" t="s">
        <v>1273</v>
      </c>
      <c r="B1139" s="35"/>
      <c r="C1139" s="53" t="s">
        <v>887</v>
      </c>
      <c r="D1139" s="53" t="s">
        <v>712</v>
      </c>
      <c r="E1139" s="53" t="s">
        <v>1274</v>
      </c>
      <c r="F1139" s="41"/>
      <c r="G1139" s="38">
        <f>SUM(G1140)</f>
        <v>8350.2</v>
      </c>
      <c r="H1139" s="38">
        <f>SUM(H1140)</f>
        <v>8116.2</v>
      </c>
      <c r="I1139" s="39">
        <f t="shared" si="50"/>
        <v>97.19767191205</v>
      </c>
    </row>
    <row r="1140" spans="1:9" ht="15">
      <c r="A1140" s="57" t="s">
        <v>782</v>
      </c>
      <c r="B1140" s="35"/>
      <c r="C1140" s="53" t="s">
        <v>887</v>
      </c>
      <c r="D1140" s="53" t="s">
        <v>712</v>
      </c>
      <c r="E1140" s="53" t="s">
        <v>1274</v>
      </c>
      <c r="F1140" s="41" t="s">
        <v>783</v>
      </c>
      <c r="G1140" s="38">
        <v>8350.2</v>
      </c>
      <c r="H1140" s="38">
        <v>8116.2</v>
      </c>
      <c r="I1140" s="39">
        <f t="shared" si="50"/>
        <v>97.19767191205</v>
      </c>
    </row>
    <row r="1141" spans="1:9" ht="15" hidden="1">
      <c r="A1141" s="54" t="s">
        <v>906</v>
      </c>
      <c r="B1141" s="35"/>
      <c r="C1141" s="53" t="s">
        <v>887</v>
      </c>
      <c r="D1141" s="53" t="s">
        <v>678</v>
      </c>
      <c r="E1141" s="53" t="s">
        <v>437</v>
      </c>
      <c r="F1141" s="37"/>
      <c r="G1141" s="38">
        <f>SUM(G1142)</f>
        <v>0</v>
      </c>
      <c r="H1141" s="38">
        <f>SUM(H1142)</f>
        <v>0</v>
      </c>
      <c r="I1141" s="39" t="e">
        <f t="shared" si="50"/>
        <v>#DIV/0!</v>
      </c>
    </row>
    <row r="1142" spans="1:9" ht="28.5" hidden="1">
      <c r="A1142" s="34" t="s">
        <v>1110</v>
      </c>
      <c r="B1142" s="35"/>
      <c r="C1142" s="53" t="s">
        <v>887</v>
      </c>
      <c r="D1142" s="53" t="s">
        <v>678</v>
      </c>
      <c r="E1142" s="53" t="s">
        <v>437</v>
      </c>
      <c r="F1142" s="37" t="s">
        <v>438</v>
      </c>
      <c r="G1142" s="38"/>
      <c r="H1142" s="38"/>
      <c r="I1142" s="39" t="e">
        <f t="shared" si="50"/>
        <v>#DIV/0!</v>
      </c>
    </row>
    <row r="1143" spans="1:9" ht="28.5">
      <c r="A1143" s="246" t="s">
        <v>439</v>
      </c>
      <c r="B1143" s="52"/>
      <c r="C1143" s="53" t="s">
        <v>887</v>
      </c>
      <c r="D1143" s="53" t="s">
        <v>910</v>
      </c>
      <c r="E1143" s="53"/>
      <c r="F1143" s="41"/>
      <c r="G1143" s="38">
        <f>SUM(G1144+G1148+G1153+G1154)</f>
        <v>13626</v>
      </c>
      <c r="H1143" s="38">
        <f>SUM(H1144+H1148+H1153+H1154)</f>
        <v>13572.3</v>
      </c>
      <c r="I1143" s="39">
        <f t="shared" si="50"/>
        <v>99.60590048436812</v>
      </c>
    </row>
    <row r="1144" spans="1:9" ht="28.5">
      <c r="A1144" s="84" t="s">
        <v>1255</v>
      </c>
      <c r="B1144" s="35"/>
      <c r="C1144" s="53" t="s">
        <v>887</v>
      </c>
      <c r="D1144" s="53" t="s">
        <v>910</v>
      </c>
      <c r="E1144" s="53" t="s">
        <v>1256</v>
      </c>
      <c r="F1144" s="41"/>
      <c r="G1144" s="38">
        <f>SUM(G1145)</f>
        <v>9799.1</v>
      </c>
      <c r="H1144" s="38">
        <f>SUM(H1145)</f>
        <v>9748</v>
      </c>
      <c r="I1144" s="39">
        <f t="shared" si="50"/>
        <v>99.47852353787593</v>
      </c>
    </row>
    <row r="1145" spans="1:9" ht="28.5">
      <c r="A1145" s="40" t="s">
        <v>780</v>
      </c>
      <c r="B1145" s="35"/>
      <c r="C1145" s="53" t="s">
        <v>887</v>
      </c>
      <c r="D1145" s="53" t="s">
        <v>910</v>
      </c>
      <c r="E1145" s="53" t="s">
        <v>1257</v>
      </c>
      <c r="F1145" s="41"/>
      <c r="G1145" s="38">
        <f>SUM(G1146:G1147)</f>
        <v>9799.1</v>
      </c>
      <c r="H1145" s="38">
        <f>SUM(H1146:H1147)</f>
        <v>9748</v>
      </c>
      <c r="I1145" s="39">
        <f t="shared" si="50"/>
        <v>99.47852353787593</v>
      </c>
    </row>
    <row r="1146" spans="1:9" ht="17.25" customHeight="1">
      <c r="A1146" s="57" t="s">
        <v>782</v>
      </c>
      <c r="B1146" s="35"/>
      <c r="C1146" s="53" t="s">
        <v>887</v>
      </c>
      <c r="D1146" s="53" t="s">
        <v>910</v>
      </c>
      <c r="E1146" s="53" t="s">
        <v>1257</v>
      </c>
      <c r="F1146" s="41" t="s">
        <v>783</v>
      </c>
      <c r="G1146" s="38">
        <v>9799.1</v>
      </c>
      <c r="H1146" s="38">
        <v>9748</v>
      </c>
      <c r="I1146" s="39">
        <f t="shared" si="50"/>
        <v>99.47852353787593</v>
      </c>
    </row>
    <row r="1147" spans="1:9" ht="71.25" hidden="1">
      <c r="A1147" s="40" t="s">
        <v>1114</v>
      </c>
      <c r="B1147" s="35"/>
      <c r="C1147" s="53" t="s">
        <v>887</v>
      </c>
      <c r="D1147" s="53" t="s">
        <v>910</v>
      </c>
      <c r="E1147" s="53" t="s">
        <v>1257</v>
      </c>
      <c r="F1147" s="41" t="s">
        <v>1269</v>
      </c>
      <c r="G1147" s="38"/>
      <c r="H1147" s="38"/>
      <c r="I1147" s="39" t="e">
        <f t="shared" si="50"/>
        <v>#DIV/0!</v>
      </c>
    </row>
    <row r="1148" spans="1:9" ht="15" hidden="1">
      <c r="A1148" s="40" t="s">
        <v>906</v>
      </c>
      <c r="B1148" s="35"/>
      <c r="C1148" s="53" t="s">
        <v>887</v>
      </c>
      <c r="D1148" s="53" t="s">
        <v>910</v>
      </c>
      <c r="E1148" s="53" t="s">
        <v>907</v>
      </c>
      <c r="F1148" s="41"/>
      <c r="G1148" s="38">
        <f>SUM(G1149+G1151)</f>
        <v>0</v>
      </c>
      <c r="H1148" s="38">
        <f>SUM(H1149+H1151)</f>
        <v>0</v>
      </c>
      <c r="I1148" s="39" t="e">
        <f t="shared" si="50"/>
        <v>#DIV/0!</v>
      </c>
    </row>
    <row r="1149" spans="1:9" ht="42.75" hidden="1">
      <c r="A1149" s="57" t="s">
        <v>1204</v>
      </c>
      <c r="B1149" s="72"/>
      <c r="C1149" s="53" t="s">
        <v>887</v>
      </c>
      <c r="D1149" s="53" t="s">
        <v>910</v>
      </c>
      <c r="E1149" s="53" t="s">
        <v>1205</v>
      </c>
      <c r="F1149" s="42"/>
      <c r="G1149" s="38">
        <f>SUM(G1150)</f>
        <v>0</v>
      </c>
      <c r="H1149" s="38">
        <f>SUM(H1150)</f>
        <v>0</v>
      </c>
      <c r="I1149" s="39" t="e">
        <f t="shared" si="50"/>
        <v>#DIV/0!</v>
      </c>
    </row>
    <row r="1150" spans="1:9" ht="28.5" hidden="1">
      <c r="A1150" s="40" t="s">
        <v>1110</v>
      </c>
      <c r="B1150" s="72"/>
      <c r="C1150" s="53" t="s">
        <v>887</v>
      </c>
      <c r="D1150" s="53" t="s">
        <v>910</v>
      </c>
      <c r="E1150" s="53" t="s">
        <v>1205</v>
      </c>
      <c r="F1150" s="42" t="s">
        <v>1203</v>
      </c>
      <c r="G1150" s="38"/>
      <c r="H1150" s="38"/>
      <c r="I1150" s="39" t="e">
        <f t="shared" si="50"/>
        <v>#DIV/0!</v>
      </c>
    </row>
    <row r="1151" spans="1:9" ht="42.75" hidden="1">
      <c r="A1151" s="40" t="s">
        <v>1286</v>
      </c>
      <c r="B1151" s="35"/>
      <c r="C1151" s="53" t="s">
        <v>887</v>
      </c>
      <c r="D1151" s="53" t="s">
        <v>910</v>
      </c>
      <c r="E1151" s="53" t="s">
        <v>1287</v>
      </c>
      <c r="F1151" s="41"/>
      <c r="G1151" s="38">
        <f>SUM(G1152)</f>
        <v>0</v>
      </c>
      <c r="H1151" s="38">
        <f>SUM(H1152)</f>
        <v>0</v>
      </c>
      <c r="I1151" s="39" t="e">
        <f t="shared" si="50"/>
        <v>#DIV/0!</v>
      </c>
    </row>
    <row r="1152" spans="1:9" ht="28.5" hidden="1">
      <c r="A1152" s="40" t="s">
        <v>1110</v>
      </c>
      <c r="B1152" s="35"/>
      <c r="C1152" s="53" t="s">
        <v>887</v>
      </c>
      <c r="D1152" s="53" t="s">
        <v>910</v>
      </c>
      <c r="E1152" s="53" t="s">
        <v>1287</v>
      </c>
      <c r="F1152" s="41" t="s">
        <v>1203</v>
      </c>
      <c r="G1152" s="38"/>
      <c r="H1152" s="38"/>
      <c r="I1152" s="39" t="e">
        <f t="shared" si="50"/>
        <v>#DIV/0!</v>
      </c>
    </row>
    <row r="1153" spans="1:9" ht="1.5" customHeight="1" hidden="1">
      <c r="A1153" s="74" t="s">
        <v>742</v>
      </c>
      <c r="B1153" s="52"/>
      <c r="C1153" s="53" t="s">
        <v>887</v>
      </c>
      <c r="D1153" s="53" t="s">
        <v>910</v>
      </c>
      <c r="E1153" s="53" t="s">
        <v>743</v>
      </c>
      <c r="F1153" s="41"/>
      <c r="G1153" s="38">
        <f>SUM(G1156)</f>
        <v>0</v>
      </c>
      <c r="H1153" s="38">
        <f>SUM(H1156)</f>
        <v>0</v>
      </c>
      <c r="I1153" s="39" t="e">
        <f t="shared" si="50"/>
        <v>#DIV/0!</v>
      </c>
    </row>
    <row r="1154" spans="1:9" ht="28.5">
      <c r="A1154" s="34" t="s">
        <v>1110</v>
      </c>
      <c r="B1154" s="52"/>
      <c r="C1154" s="53" t="s">
        <v>887</v>
      </c>
      <c r="D1154" s="53" t="s">
        <v>910</v>
      </c>
      <c r="E1154" s="53" t="s">
        <v>743</v>
      </c>
      <c r="F1154" s="41"/>
      <c r="G1154" s="38">
        <f>SUM(G1155)</f>
        <v>3826.9</v>
      </c>
      <c r="H1154" s="38">
        <f>SUM(H1155)</f>
        <v>3824.3</v>
      </c>
      <c r="I1154" s="39">
        <f t="shared" si="50"/>
        <v>99.93205989181845</v>
      </c>
    </row>
    <row r="1155" spans="1:9" ht="27.75" customHeight="1">
      <c r="A1155" s="34" t="s">
        <v>1110</v>
      </c>
      <c r="B1155" s="52"/>
      <c r="C1155" s="53" t="s">
        <v>887</v>
      </c>
      <c r="D1155" s="53" t="s">
        <v>910</v>
      </c>
      <c r="E1155" s="53" t="s">
        <v>743</v>
      </c>
      <c r="F1155" s="41" t="s">
        <v>1203</v>
      </c>
      <c r="G1155" s="38">
        <f>SUM(G1157:G1164)</f>
        <v>3826.9</v>
      </c>
      <c r="H1155" s="38">
        <f>SUM(H1157:H1164)</f>
        <v>3824.3</v>
      </c>
      <c r="I1155" s="39">
        <f t="shared" si="50"/>
        <v>99.93205989181845</v>
      </c>
    </row>
    <row r="1156" spans="1:9" ht="28.5" hidden="1">
      <c r="A1156" s="34" t="s">
        <v>1288</v>
      </c>
      <c r="B1156" s="140"/>
      <c r="C1156" s="53" t="s">
        <v>887</v>
      </c>
      <c r="D1156" s="53" t="s">
        <v>910</v>
      </c>
      <c r="E1156" s="53" t="s">
        <v>1289</v>
      </c>
      <c r="F1156" s="41"/>
      <c r="G1156" s="38"/>
      <c r="H1156" s="38"/>
      <c r="I1156" s="39" t="e">
        <f t="shared" si="50"/>
        <v>#DIV/0!</v>
      </c>
    </row>
    <row r="1157" spans="1:9" ht="27.75" customHeight="1" hidden="1">
      <c r="A1157" s="34" t="s">
        <v>1288</v>
      </c>
      <c r="B1157" s="140"/>
      <c r="C1157" s="53" t="s">
        <v>887</v>
      </c>
      <c r="D1157" s="53" t="s">
        <v>910</v>
      </c>
      <c r="E1157" s="53" t="s">
        <v>1289</v>
      </c>
      <c r="F1157" s="41" t="s">
        <v>1203</v>
      </c>
      <c r="G1157" s="71"/>
      <c r="H1157" s="71"/>
      <c r="I1157" s="39" t="e">
        <f t="shared" si="50"/>
        <v>#DIV/0!</v>
      </c>
    </row>
    <row r="1158" spans="1:9" ht="59.25" customHeight="1" hidden="1">
      <c r="A1158" s="34" t="s">
        <v>901</v>
      </c>
      <c r="B1158" s="140"/>
      <c r="C1158" s="53" t="s">
        <v>887</v>
      </c>
      <c r="D1158" s="53" t="s">
        <v>910</v>
      </c>
      <c r="E1158" s="53" t="s">
        <v>902</v>
      </c>
      <c r="F1158" s="41" t="s">
        <v>1203</v>
      </c>
      <c r="G1158" s="71">
        <f>3490.2-3490.2</f>
        <v>0</v>
      </c>
      <c r="H1158" s="71">
        <f>3490.2-3490.2</f>
        <v>0</v>
      </c>
      <c r="I1158" s="39"/>
    </row>
    <row r="1159" spans="1:9" ht="42.75">
      <c r="A1159" s="46" t="s">
        <v>1290</v>
      </c>
      <c r="B1159" s="141"/>
      <c r="C1159" s="48" t="s">
        <v>887</v>
      </c>
      <c r="D1159" s="48" t="s">
        <v>910</v>
      </c>
      <c r="E1159" s="48" t="s">
        <v>1291</v>
      </c>
      <c r="F1159" s="133" t="s">
        <v>1203</v>
      </c>
      <c r="G1159" s="71">
        <v>3431.4</v>
      </c>
      <c r="H1159" s="71">
        <v>3430.9</v>
      </c>
      <c r="I1159" s="39">
        <f t="shared" si="50"/>
        <v>99.98542868799906</v>
      </c>
    </row>
    <row r="1160" spans="1:9" ht="29.25" thickBot="1">
      <c r="A1160" s="46" t="s">
        <v>440</v>
      </c>
      <c r="B1160" s="141"/>
      <c r="C1160" s="48" t="s">
        <v>887</v>
      </c>
      <c r="D1160" s="48" t="s">
        <v>910</v>
      </c>
      <c r="E1160" s="48" t="s">
        <v>1293</v>
      </c>
      <c r="F1160" s="133" t="s">
        <v>1203</v>
      </c>
      <c r="G1160" s="71">
        <v>395.5</v>
      </c>
      <c r="H1160" s="71">
        <v>393.4</v>
      </c>
      <c r="I1160" s="39">
        <f t="shared" si="50"/>
        <v>99.46902654867256</v>
      </c>
    </row>
    <row r="1161" spans="1:9" ht="29.25" hidden="1" thickBot="1">
      <c r="A1161" s="46" t="s">
        <v>1294</v>
      </c>
      <c r="B1161" s="141"/>
      <c r="C1161" s="48" t="s">
        <v>887</v>
      </c>
      <c r="D1161" s="48" t="s">
        <v>910</v>
      </c>
      <c r="E1161" s="48" t="s">
        <v>1295</v>
      </c>
      <c r="F1161" s="133" t="s">
        <v>1203</v>
      </c>
      <c r="G1161" s="71"/>
      <c r="H1161" s="82"/>
      <c r="I1161" s="39" t="e">
        <f t="shared" si="50"/>
        <v>#DIV/0!</v>
      </c>
    </row>
    <row r="1162" spans="1:9" ht="0.75" customHeight="1" hidden="1">
      <c r="A1162" s="46" t="s">
        <v>1296</v>
      </c>
      <c r="B1162" s="141"/>
      <c r="C1162" s="48" t="s">
        <v>887</v>
      </c>
      <c r="D1162" s="48" t="s">
        <v>910</v>
      </c>
      <c r="E1162" s="48" t="s">
        <v>1297</v>
      </c>
      <c r="F1162" s="133" t="s">
        <v>1203</v>
      </c>
      <c r="G1162" s="71"/>
      <c r="H1162" s="82"/>
      <c r="I1162" s="39" t="e">
        <f t="shared" si="50"/>
        <v>#DIV/0!</v>
      </c>
    </row>
    <row r="1163" spans="1:9" ht="28.5" customHeight="1" hidden="1">
      <c r="A1163" s="93" t="s">
        <v>1213</v>
      </c>
      <c r="B1163" s="141"/>
      <c r="C1163" s="48" t="s">
        <v>887</v>
      </c>
      <c r="D1163" s="48" t="s">
        <v>910</v>
      </c>
      <c r="E1163" s="48" t="s">
        <v>1214</v>
      </c>
      <c r="F1163" s="133" t="s">
        <v>1203</v>
      </c>
      <c r="G1163" s="71"/>
      <c r="H1163" s="82"/>
      <c r="I1163" s="39" t="e">
        <f t="shared" si="50"/>
        <v>#DIV/0!</v>
      </c>
    </row>
    <row r="1164" spans="1:9" ht="28.5" customHeight="1" hidden="1">
      <c r="A1164" s="247" t="s">
        <v>1298</v>
      </c>
      <c r="B1164" s="248"/>
      <c r="C1164" s="249" t="s">
        <v>887</v>
      </c>
      <c r="D1164" s="249" t="s">
        <v>910</v>
      </c>
      <c r="E1164" s="249" t="s">
        <v>1299</v>
      </c>
      <c r="F1164" s="250" t="s">
        <v>1203</v>
      </c>
      <c r="G1164" s="251"/>
      <c r="H1164" s="252"/>
      <c r="I1164" s="162" t="e">
        <f t="shared" si="50"/>
        <v>#DIV/0!</v>
      </c>
    </row>
    <row r="1165" spans="1:9" ht="25.5" customHeight="1" thickBot="1">
      <c r="A1165" s="253" t="s">
        <v>1391</v>
      </c>
      <c r="B1165" s="254"/>
      <c r="C1165" s="255"/>
      <c r="D1165" s="255"/>
      <c r="E1165" s="255"/>
      <c r="F1165" s="256"/>
      <c r="G1165" s="257">
        <f>SUM(G11+G37+G45+G437+G468+G738+G858+G881+G1029+G1086+G805)</f>
        <v>2946954.2</v>
      </c>
      <c r="H1165" s="257">
        <f>SUM(H11+H37+H45+H437+H468+H738+H858+H881+H1029+H1086+H805)</f>
        <v>2907138.8999999994</v>
      </c>
      <c r="I1165" s="168">
        <f t="shared" si="50"/>
        <v>98.64893387213142</v>
      </c>
    </row>
    <row r="1166" spans="1:9" ht="26.25" hidden="1" thickBot="1">
      <c r="A1166" s="258" t="s">
        <v>1392</v>
      </c>
      <c r="B1166" s="259"/>
      <c r="C1166" s="260"/>
      <c r="D1166" s="259"/>
      <c r="E1166" s="259"/>
      <c r="F1166" s="261"/>
      <c r="G1166" s="183">
        <f>-76000-174.5-350</f>
        <v>-76524.5</v>
      </c>
      <c r="H1166" s="183">
        <f>-76000-174.5-350</f>
        <v>-76524.5</v>
      </c>
      <c r="I1166" s="183">
        <f>-76000-174.5-350</f>
        <v>-76524.5</v>
      </c>
    </row>
  </sheetData>
  <mergeCells count="1">
    <mergeCell ref="F5:H5"/>
  </mergeCells>
  <printOptions/>
  <pageMargins left="1.1811023622047245" right="0" top="0.5905511811023623" bottom="0" header="0.5118110236220472" footer="0.5118110236220472"/>
  <pageSetup fitToHeight="21" horizontalDpi="600" verticalDpi="600" orientation="portrait" paperSize="9" scale="64" r:id="rId1"/>
  <rowBreaks count="1" manualBreakCount="1">
    <brk id="5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D48"/>
  <sheetViews>
    <sheetView tabSelected="1" workbookViewId="0" topLeftCell="A8">
      <selection activeCell="A7" sqref="A7:C7"/>
    </sheetView>
  </sheetViews>
  <sheetFormatPr defaultColWidth="9.00390625" defaultRowHeight="12.75"/>
  <cols>
    <col min="1" max="1" width="32.625" style="0" customWidth="1"/>
    <col min="2" max="2" width="20.125" style="0" customWidth="1"/>
    <col min="3" max="3" width="17.625" style="317" customWidth="1"/>
  </cols>
  <sheetData>
    <row r="2" spans="3:4" ht="12.75">
      <c r="C2" s="2" t="s">
        <v>347</v>
      </c>
      <c r="D2" s="3"/>
    </row>
    <row r="3" spans="3:4" ht="12.75">
      <c r="C3" s="7" t="s">
        <v>657</v>
      </c>
      <c r="D3" s="3"/>
    </row>
    <row r="4" spans="3:4" ht="12.75">
      <c r="C4" s="7" t="s">
        <v>658</v>
      </c>
      <c r="D4" s="3"/>
    </row>
    <row r="5" spans="2:4" ht="12.75">
      <c r="B5" s="7"/>
      <c r="C5" s="7" t="s">
        <v>659</v>
      </c>
      <c r="D5" s="3"/>
    </row>
    <row r="6" spans="3:4" ht="24.75" customHeight="1">
      <c r="C6" s="214" t="s">
        <v>1347</v>
      </c>
      <c r="D6" s="8"/>
    </row>
    <row r="7" spans="1:3" ht="66.75" customHeight="1">
      <c r="A7" s="333" t="s">
        <v>283</v>
      </c>
      <c r="B7" s="333"/>
      <c r="C7" s="333"/>
    </row>
    <row r="8" spans="2:3" ht="12.75" customHeight="1">
      <c r="B8" s="301"/>
      <c r="C8" s="265" t="s">
        <v>442</v>
      </c>
    </row>
    <row r="9" spans="1:3" ht="26.25" customHeight="1">
      <c r="A9" s="334" t="s">
        <v>284</v>
      </c>
      <c r="B9" s="336" t="s">
        <v>642</v>
      </c>
      <c r="C9" s="334" t="s">
        <v>666</v>
      </c>
    </row>
    <row r="10" spans="1:3" ht="26.25" customHeight="1">
      <c r="A10" s="335"/>
      <c r="B10" s="336"/>
      <c r="C10" s="335"/>
    </row>
    <row r="11" spans="1:3" s="305" customFormat="1" ht="36" customHeight="1">
      <c r="A11" s="302" t="s">
        <v>285</v>
      </c>
      <c r="B11" s="303" t="s">
        <v>286</v>
      </c>
      <c r="C11" s="304">
        <f>SUM(C12+C19+C26+C37)</f>
        <v>12253.100000000093</v>
      </c>
    </row>
    <row r="12" spans="1:3" s="55" customFormat="1" ht="26.25" customHeight="1" hidden="1">
      <c r="A12" s="306" t="s">
        <v>287</v>
      </c>
      <c r="B12" s="307" t="s">
        <v>288</v>
      </c>
      <c r="C12" s="308">
        <f>SUM(C13+C16)</f>
        <v>-75000</v>
      </c>
    </row>
    <row r="13" spans="1:3" ht="31.5" hidden="1">
      <c r="A13" s="306" t="s">
        <v>289</v>
      </c>
      <c r="B13" s="307" t="s">
        <v>290</v>
      </c>
      <c r="C13" s="308">
        <f>SUM(C14)</f>
        <v>0</v>
      </c>
    </row>
    <row r="14" spans="1:3" ht="31.5" hidden="1">
      <c r="A14" s="306" t="s">
        <v>291</v>
      </c>
      <c r="B14" s="307" t="s">
        <v>292</v>
      </c>
      <c r="C14" s="308">
        <f>SUM(C15)</f>
        <v>0</v>
      </c>
    </row>
    <row r="15" spans="1:3" ht="31.5" hidden="1">
      <c r="A15" s="306" t="s">
        <v>291</v>
      </c>
      <c r="B15" s="307" t="s">
        <v>293</v>
      </c>
      <c r="C15" s="308">
        <v>0</v>
      </c>
    </row>
    <row r="16" spans="1:3" ht="31.5" hidden="1">
      <c r="A16" s="306" t="s">
        <v>294</v>
      </c>
      <c r="B16" s="307" t="s">
        <v>295</v>
      </c>
      <c r="C16" s="308">
        <f>SUM(C17)</f>
        <v>-75000</v>
      </c>
    </row>
    <row r="17" spans="1:3" ht="42" hidden="1">
      <c r="A17" s="306" t="s">
        <v>296</v>
      </c>
      <c r="B17" s="307" t="s">
        <v>297</v>
      </c>
      <c r="C17" s="308">
        <f>SUM(C18)</f>
        <v>-75000</v>
      </c>
    </row>
    <row r="18" spans="1:3" ht="42">
      <c r="A18" s="306" t="s">
        <v>296</v>
      </c>
      <c r="B18" s="307" t="s">
        <v>298</v>
      </c>
      <c r="C18" s="308">
        <v>-75000</v>
      </c>
    </row>
    <row r="19" spans="1:3" s="55" customFormat="1" ht="30.75" customHeight="1" hidden="1">
      <c r="A19" s="309" t="s">
        <v>299</v>
      </c>
      <c r="B19" s="310" t="s">
        <v>300</v>
      </c>
      <c r="C19" s="308">
        <f>SUM(C20+C23)</f>
        <v>100000</v>
      </c>
    </row>
    <row r="20" spans="1:3" ht="41.25" customHeight="1" hidden="1">
      <c r="A20" s="311" t="s">
        <v>301</v>
      </c>
      <c r="B20" s="310" t="s">
        <v>302</v>
      </c>
      <c r="C20" s="308">
        <f>SUM(C21)</f>
        <v>100000</v>
      </c>
    </row>
    <row r="21" spans="1:3" ht="41.25" customHeight="1" hidden="1">
      <c r="A21" s="309" t="s">
        <v>303</v>
      </c>
      <c r="B21" s="310" t="s">
        <v>304</v>
      </c>
      <c r="C21" s="312">
        <f>SUM(C22)</f>
        <v>100000</v>
      </c>
    </row>
    <row r="22" spans="1:3" ht="43.5" customHeight="1">
      <c r="A22" s="313" t="s">
        <v>303</v>
      </c>
      <c r="B22" s="310" t="s">
        <v>305</v>
      </c>
      <c r="C22" s="308">
        <v>100000</v>
      </c>
    </row>
    <row r="23" spans="1:3" s="55" customFormat="1" ht="42.75" customHeight="1" hidden="1">
      <c r="A23" s="309" t="s">
        <v>306</v>
      </c>
      <c r="B23" s="310" t="s">
        <v>307</v>
      </c>
      <c r="C23" s="308">
        <f>SUM(C24)</f>
        <v>0</v>
      </c>
    </row>
    <row r="24" spans="1:3" ht="42.75" customHeight="1" hidden="1">
      <c r="A24" s="309" t="s">
        <v>308</v>
      </c>
      <c r="B24" s="310" t="s">
        <v>309</v>
      </c>
      <c r="C24" s="308">
        <f>SUM(C25)</f>
        <v>0</v>
      </c>
    </row>
    <row r="25" spans="1:3" ht="42.75" customHeight="1" hidden="1">
      <c r="A25" s="309" t="s">
        <v>308</v>
      </c>
      <c r="B25" s="310" t="s">
        <v>310</v>
      </c>
      <c r="C25" s="308">
        <v>0</v>
      </c>
    </row>
    <row r="26" spans="1:3" s="55" customFormat="1" ht="21.75" customHeight="1" hidden="1">
      <c r="A26" s="309" t="s">
        <v>311</v>
      </c>
      <c r="B26" s="310" t="s">
        <v>312</v>
      </c>
      <c r="C26" s="308">
        <f>SUM(C32+C27)</f>
        <v>-12746.899999999907</v>
      </c>
    </row>
    <row r="27" spans="1:3" s="45" customFormat="1" ht="24.75" customHeight="1" hidden="1">
      <c r="A27" s="309" t="s">
        <v>313</v>
      </c>
      <c r="B27" s="310" t="s">
        <v>314</v>
      </c>
      <c r="C27" s="314">
        <f>SUM(C28)</f>
        <v>-3024874.9</v>
      </c>
    </row>
    <row r="28" spans="1:3" s="45" customFormat="1" ht="25.5" customHeight="1" hidden="1">
      <c r="A28" s="309" t="s">
        <v>315</v>
      </c>
      <c r="B28" s="310" t="s">
        <v>316</v>
      </c>
      <c r="C28" s="314">
        <f>SUM(C29)</f>
        <v>-3024874.9</v>
      </c>
    </row>
    <row r="29" spans="1:3" s="45" customFormat="1" ht="21" customHeight="1" hidden="1">
      <c r="A29" s="309" t="s">
        <v>317</v>
      </c>
      <c r="B29" s="310" t="s">
        <v>318</v>
      </c>
      <c r="C29" s="314">
        <f>SUM(C30)</f>
        <v>-3024874.9</v>
      </c>
    </row>
    <row r="30" spans="1:3" s="45" customFormat="1" ht="24" customHeight="1" hidden="1">
      <c r="A30" s="309" t="s">
        <v>317</v>
      </c>
      <c r="B30" s="310" t="s">
        <v>319</v>
      </c>
      <c r="C30" s="314">
        <f>SUM(C31)</f>
        <v>-3024874.9</v>
      </c>
    </row>
    <row r="31" spans="1:3" s="45" customFormat="1" ht="21">
      <c r="A31" s="309" t="s">
        <v>320</v>
      </c>
      <c r="B31" s="310" t="s">
        <v>321</v>
      </c>
      <c r="C31" s="314">
        <v>-3024874.9</v>
      </c>
    </row>
    <row r="32" spans="1:3" ht="12.75" hidden="1">
      <c r="A32" s="309" t="s">
        <v>322</v>
      </c>
      <c r="B32" s="310" t="s">
        <v>323</v>
      </c>
      <c r="C32" s="308">
        <f>SUM(C33)</f>
        <v>3012128</v>
      </c>
    </row>
    <row r="33" spans="1:3" ht="21" hidden="1">
      <c r="A33" s="309" t="s">
        <v>324</v>
      </c>
      <c r="B33" s="310" t="s">
        <v>325</v>
      </c>
      <c r="C33" s="308">
        <f>SUM(C34)</f>
        <v>3012128</v>
      </c>
    </row>
    <row r="34" spans="1:3" ht="21" hidden="1">
      <c r="A34" s="309" t="s">
        <v>326</v>
      </c>
      <c r="B34" s="310" t="s">
        <v>327</v>
      </c>
      <c r="C34" s="308">
        <f>SUM(C35)</f>
        <v>3012128</v>
      </c>
    </row>
    <row r="35" spans="1:3" ht="21" hidden="1">
      <c r="A35" s="309" t="s">
        <v>328</v>
      </c>
      <c r="B35" s="310" t="s">
        <v>329</v>
      </c>
      <c r="C35" s="308">
        <f>SUM(C36)</f>
        <v>3012128</v>
      </c>
    </row>
    <row r="36" spans="1:3" ht="21">
      <c r="A36" s="309" t="s">
        <v>328</v>
      </c>
      <c r="B36" s="310" t="s">
        <v>330</v>
      </c>
      <c r="C36" s="314">
        <v>3012128</v>
      </c>
    </row>
    <row r="37" spans="1:3" s="55" customFormat="1" ht="21" hidden="1">
      <c r="A37" s="309" t="s">
        <v>331</v>
      </c>
      <c r="B37" s="310" t="s">
        <v>332</v>
      </c>
      <c r="C37" s="315">
        <f>SUM(C38+C42)</f>
        <v>0</v>
      </c>
    </row>
    <row r="38" spans="1:3" ht="39.75" customHeight="1" hidden="1">
      <c r="A38" s="309" t="s">
        <v>333</v>
      </c>
      <c r="B38" s="310" t="s">
        <v>334</v>
      </c>
      <c r="C38" s="315">
        <f>SUM(C39)</f>
        <v>0</v>
      </c>
    </row>
    <row r="39" spans="1:3" ht="90.75" customHeight="1" hidden="1">
      <c r="A39" s="316" t="s">
        <v>335</v>
      </c>
      <c r="B39" s="310" t="s">
        <v>336</v>
      </c>
      <c r="C39" s="315">
        <f>SUM(C40)</f>
        <v>0</v>
      </c>
    </row>
    <row r="40" spans="1:3" ht="90.75" customHeight="1" hidden="1">
      <c r="A40" s="316" t="s">
        <v>337</v>
      </c>
      <c r="B40" s="310" t="s">
        <v>338</v>
      </c>
      <c r="C40" s="315">
        <f>SUM(C41)</f>
        <v>0</v>
      </c>
    </row>
    <row r="41" spans="1:3" ht="90.75" customHeight="1" hidden="1">
      <c r="A41" s="316" t="s">
        <v>337</v>
      </c>
      <c r="B41" s="310" t="s">
        <v>339</v>
      </c>
      <c r="C41" s="315">
        <v>0</v>
      </c>
    </row>
    <row r="42" spans="1:3" ht="31.5" hidden="1">
      <c r="A42" s="309" t="s">
        <v>340</v>
      </c>
      <c r="B42" s="310" t="s">
        <v>341</v>
      </c>
      <c r="C42" s="315">
        <f>SUM(C43)</f>
        <v>0</v>
      </c>
    </row>
    <row r="43" spans="1:3" ht="31.5" hidden="1">
      <c r="A43" s="309" t="s">
        <v>342</v>
      </c>
      <c r="B43" s="310" t="s">
        <v>343</v>
      </c>
      <c r="C43" s="315">
        <f>SUM(C44)</f>
        <v>0</v>
      </c>
    </row>
    <row r="44" spans="1:3" ht="42" hidden="1">
      <c r="A44" s="309" t="s">
        <v>344</v>
      </c>
      <c r="B44" s="310" t="s">
        <v>345</v>
      </c>
      <c r="C44" s="315">
        <f>SUM(C45)</f>
        <v>0</v>
      </c>
    </row>
    <row r="45" spans="1:3" ht="42" hidden="1">
      <c r="A45" s="309" t="s">
        <v>344</v>
      </c>
      <c r="B45" s="310" t="s">
        <v>346</v>
      </c>
      <c r="C45" s="315">
        <v>0</v>
      </c>
    </row>
    <row r="47" spans="2:3" ht="42.75" customHeight="1">
      <c r="B47" s="318"/>
      <c r="C47" s="155"/>
    </row>
    <row r="48" spans="2:3" ht="42.75" customHeight="1">
      <c r="B48" s="318"/>
      <c r="C48" s="155"/>
    </row>
  </sheetData>
  <mergeCells count="4">
    <mergeCell ref="A7:C7"/>
    <mergeCell ref="A9:A10"/>
    <mergeCell ref="B9:B10"/>
    <mergeCell ref="C9:C10"/>
  </mergeCells>
  <printOptions/>
  <pageMargins left="1.1811023622047245" right="0.1968503937007874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49"/>
  <sheetViews>
    <sheetView workbookViewId="0" topLeftCell="A1">
      <selection activeCell="C7" sqref="C7"/>
    </sheetView>
  </sheetViews>
  <sheetFormatPr defaultColWidth="9.00390625" defaultRowHeight="12.75"/>
  <cols>
    <col min="1" max="1" width="32.625" style="0" customWidth="1"/>
    <col min="2" max="2" width="20.125" style="0" customWidth="1"/>
    <col min="3" max="3" width="17.625" style="317" customWidth="1"/>
  </cols>
  <sheetData>
    <row r="2" ht="12.75">
      <c r="C2" s="2" t="s">
        <v>349</v>
      </c>
    </row>
    <row r="3" ht="12.75">
      <c r="C3" s="7" t="s">
        <v>657</v>
      </c>
    </row>
    <row r="4" ht="12.75">
      <c r="C4" s="7" t="s">
        <v>658</v>
      </c>
    </row>
    <row r="5" ht="12.75">
      <c r="C5" s="7" t="s">
        <v>659</v>
      </c>
    </row>
    <row r="6" ht="12.75">
      <c r="C6" s="214" t="s">
        <v>1347</v>
      </c>
    </row>
    <row r="7" ht="24.75" customHeight="1">
      <c r="C7" s="263"/>
    </row>
    <row r="8" spans="1:3" ht="66.75" customHeight="1">
      <c r="A8" s="333" t="s">
        <v>348</v>
      </c>
      <c r="B8" s="333"/>
      <c r="C8" s="333"/>
    </row>
    <row r="9" spans="2:3" ht="12.75" customHeight="1">
      <c r="B9" s="301"/>
      <c r="C9" s="265" t="s">
        <v>442</v>
      </c>
    </row>
    <row r="10" spans="1:3" ht="26.25" customHeight="1">
      <c r="A10" s="334" t="s">
        <v>284</v>
      </c>
      <c r="B10" s="336" t="s">
        <v>642</v>
      </c>
      <c r="C10" s="334" t="s">
        <v>666</v>
      </c>
    </row>
    <row r="11" spans="1:3" ht="26.25" customHeight="1">
      <c r="A11" s="335"/>
      <c r="B11" s="336"/>
      <c r="C11" s="335"/>
    </row>
    <row r="12" spans="1:3" s="305" customFormat="1" ht="36" customHeight="1">
      <c r="A12" s="302" t="s">
        <v>285</v>
      </c>
      <c r="B12" s="303" t="s">
        <v>286</v>
      </c>
      <c r="C12" s="304">
        <f>SUM(C13+C20+C27+C38)</f>
        <v>12253.100000000093</v>
      </c>
    </row>
    <row r="13" spans="1:3" s="55" customFormat="1" ht="26.25" customHeight="1">
      <c r="A13" s="306" t="s">
        <v>287</v>
      </c>
      <c r="B13" s="307" t="s">
        <v>288</v>
      </c>
      <c r="C13" s="308">
        <f>SUM(C14+C17)</f>
        <v>-75000</v>
      </c>
    </row>
    <row r="14" spans="1:3" ht="31.5" hidden="1">
      <c r="A14" s="306" t="s">
        <v>289</v>
      </c>
      <c r="B14" s="307" t="s">
        <v>290</v>
      </c>
      <c r="C14" s="308">
        <f>SUM(C15)</f>
        <v>0</v>
      </c>
    </row>
    <row r="15" spans="1:3" ht="31.5" hidden="1">
      <c r="A15" s="306" t="s">
        <v>291</v>
      </c>
      <c r="B15" s="307" t="s">
        <v>292</v>
      </c>
      <c r="C15" s="308">
        <f>SUM(C16)</f>
        <v>0</v>
      </c>
    </row>
    <row r="16" spans="1:3" ht="31.5" hidden="1">
      <c r="A16" s="306" t="s">
        <v>291</v>
      </c>
      <c r="B16" s="307" t="s">
        <v>293</v>
      </c>
      <c r="C16" s="308">
        <v>0</v>
      </c>
    </row>
    <row r="17" spans="1:3" ht="31.5">
      <c r="A17" s="306" t="s">
        <v>294</v>
      </c>
      <c r="B17" s="307" t="s">
        <v>295</v>
      </c>
      <c r="C17" s="308">
        <f>SUM(C18)</f>
        <v>-75000</v>
      </c>
    </row>
    <row r="18" spans="1:3" ht="42">
      <c r="A18" s="306" t="s">
        <v>296</v>
      </c>
      <c r="B18" s="307" t="s">
        <v>297</v>
      </c>
      <c r="C18" s="308">
        <f>SUM(C19)</f>
        <v>-75000</v>
      </c>
    </row>
    <row r="19" spans="1:3" ht="42" hidden="1">
      <c r="A19" s="306" t="s">
        <v>296</v>
      </c>
      <c r="B19" s="307" t="s">
        <v>298</v>
      </c>
      <c r="C19" s="308">
        <v>-75000</v>
      </c>
    </row>
    <row r="20" spans="1:3" s="55" customFormat="1" ht="30.75" customHeight="1">
      <c r="A20" s="309" t="s">
        <v>299</v>
      </c>
      <c r="B20" s="310" t="s">
        <v>300</v>
      </c>
      <c r="C20" s="308">
        <f>SUM(C21+C24)</f>
        <v>100000</v>
      </c>
    </row>
    <row r="21" spans="1:3" ht="41.25" customHeight="1">
      <c r="A21" s="311" t="s">
        <v>301</v>
      </c>
      <c r="B21" s="310" t="s">
        <v>302</v>
      </c>
      <c r="C21" s="308">
        <f>SUM(C22)</f>
        <v>100000</v>
      </c>
    </row>
    <row r="22" spans="1:3" ht="41.25" customHeight="1">
      <c r="A22" s="309" t="s">
        <v>303</v>
      </c>
      <c r="B22" s="310" t="s">
        <v>304</v>
      </c>
      <c r="C22" s="312">
        <f>SUM(C23)</f>
        <v>100000</v>
      </c>
    </row>
    <row r="23" spans="1:3" ht="41.25" customHeight="1" hidden="1">
      <c r="A23" s="313" t="s">
        <v>303</v>
      </c>
      <c r="B23" s="310" t="s">
        <v>305</v>
      </c>
      <c r="C23" s="308">
        <v>100000</v>
      </c>
    </row>
    <row r="24" spans="1:3" s="55" customFormat="1" ht="42.75" customHeight="1" hidden="1">
      <c r="A24" s="309" t="s">
        <v>306</v>
      </c>
      <c r="B24" s="310" t="s">
        <v>307</v>
      </c>
      <c r="C24" s="308">
        <f>SUM(C25)</f>
        <v>0</v>
      </c>
    </row>
    <row r="25" spans="1:3" ht="42.75" customHeight="1" hidden="1">
      <c r="A25" s="309" t="s">
        <v>308</v>
      </c>
      <c r="B25" s="310" t="s">
        <v>309</v>
      </c>
      <c r="C25" s="308">
        <f>SUM(C26)</f>
        <v>0</v>
      </c>
    </row>
    <row r="26" spans="1:3" ht="42.75" customHeight="1" hidden="1">
      <c r="A26" s="309" t="s">
        <v>308</v>
      </c>
      <c r="B26" s="310" t="s">
        <v>310</v>
      </c>
      <c r="C26" s="308">
        <v>0</v>
      </c>
    </row>
    <row r="27" spans="1:3" s="55" customFormat="1" ht="21">
      <c r="A27" s="309" t="s">
        <v>311</v>
      </c>
      <c r="B27" s="310" t="s">
        <v>312</v>
      </c>
      <c r="C27" s="308">
        <f>SUM(C33+C28)</f>
        <v>-12746.899999999907</v>
      </c>
    </row>
    <row r="28" spans="1:3" s="45" customFormat="1" ht="12.75">
      <c r="A28" s="309" t="s">
        <v>313</v>
      </c>
      <c r="B28" s="310" t="s">
        <v>314</v>
      </c>
      <c r="C28" s="314">
        <f>SUM(C29)</f>
        <v>-3024874.9</v>
      </c>
    </row>
    <row r="29" spans="1:3" s="45" customFormat="1" ht="21">
      <c r="A29" s="309" t="s">
        <v>315</v>
      </c>
      <c r="B29" s="310" t="s">
        <v>316</v>
      </c>
      <c r="C29" s="314">
        <f>SUM(C30)</f>
        <v>-3024874.9</v>
      </c>
    </row>
    <row r="30" spans="1:3" s="45" customFormat="1" ht="21">
      <c r="A30" s="309" t="s">
        <v>317</v>
      </c>
      <c r="B30" s="310" t="s">
        <v>318</v>
      </c>
      <c r="C30" s="314">
        <f>SUM(C31)</f>
        <v>-3024874.9</v>
      </c>
    </row>
    <row r="31" spans="1:3" s="45" customFormat="1" ht="21">
      <c r="A31" s="309" t="s">
        <v>317</v>
      </c>
      <c r="B31" s="310" t="s">
        <v>319</v>
      </c>
      <c r="C31" s="314">
        <f>SUM(C32)</f>
        <v>-3024874.9</v>
      </c>
    </row>
    <row r="32" spans="1:3" s="45" customFormat="1" ht="21" hidden="1">
      <c r="A32" s="309" t="s">
        <v>320</v>
      </c>
      <c r="B32" s="310" t="s">
        <v>321</v>
      </c>
      <c r="C32" s="314">
        <v>-3024874.9</v>
      </c>
    </row>
    <row r="33" spans="1:3" ht="12.75">
      <c r="A33" s="309" t="s">
        <v>322</v>
      </c>
      <c r="B33" s="310" t="s">
        <v>323</v>
      </c>
      <c r="C33" s="308">
        <f>SUM(C34)</f>
        <v>3012128</v>
      </c>
    </row>
    <row r="34" spans="1:3" ht="21">
      <c r="A34" s="309" t="s">
        <v>324</v>
      </c>
      <c r="B34" s="310" t="s">
        <v>325</v>
      </c>
      <c r="C34" s="308">
        <f>SUM(C35)</f>
        <v>3012128</v>
      </c>
    </row>
    <row r="35" spans="1:3" ht="21">
      <c r="A35" s="309" t="s">
        <v>326</v>
      </c>
      <c r="B35" s="310" t="s">
        <v>327</v>
      </c>
      <c r="C35" s="308">
        <f>SUM(C36)</f>
        <v>3012128</v>
      </c>
    </row>
    <row r="36" spans="1:3" ht="21">
      <c r="A36" s="309" t="s">
        <v>328</v>
      </c>
      <c r="B36" s="310" t="s">
        <v>329</v>
      </c>
      <c r="C36" s="308">
        <f>SUM(C37)</f>
        <v>3012128</v>
      </c>
    </row>
    <row r="37" spans="1:3" ht="21" hidden="1">
      <c r="A37" s="309" t="s">
        <v>328</v>
      </c>
      <c r="B37" s="310" t="s">
        <v>330</v>
      </c>
      <c r="C37" s="319">
        <v>3012128</v>
      </c>
    </row>
    <row r="38" spans="1:3" s="55" customFormat="1" ht="21" hidden="1">
      <c r="A38" s="309" t="s">
        <v>331</v>
      </c>
      <c r="B38" s="310" t="s">
        <v>332</v>
      </c>
      <c r="C38" s="315">
        <f>SUM(C39+C43)</f>
        <v>0</v>
      </c>
    </row>
    <row r="39" spans="1:3" ht="39.75" customHeight="1" hidden="1">
      <c r="A39" s="309" t="s">
        <v>333</v>
      </c>
      <c r="B39" s="310" t="s">
        <v>334</v>
      </c>
      <c r="C39" s="315">
        <f>SUM(C40)</f>
        <v>0</v>
      </c>
    </row>
    <row r="40" spans="1:3" ht="90.75" customHeight="1" hidden="1">
      <c r="A40" s="316" t="s">
        <v>335</v>
      </c>
      <c r="B40" s="310" t="s">
        <v>336</v>
      </c>
      <c r="C40" s="315">
        <f>SUM(C41)</f>
        <v>0</v>
      </c>
    </row>
    <row r="41" spans="1:3" ht="90.75" customHeight="1" hidden="1">
      <c r="A41" s="316" t="s">
        <v>337</v>
      </c>
      <c r="B41" s="310" t="s">
        <v>338</v>
      </c>
      <c r="C41" s="315">
        <f>SUM(C42)</f>
        <v>0</v>
      </c>
    </row>
    <row r="42" spans="1:3" ht="90.75" customHeight="1" hidden="1">
      <c r="A42" s="316" t="s">
        <v>337</v>
      </c>
      <c r="B42" s="310" t="s">
        <v>339</v>
      </c>
      <c r="C42" s="315">
        <v>0</v>
      </c>
    </row>
    <row r="43" spans="1:3" ht="31.5" hidden="1">
      <c r="A43" s="309" t="s">
        <v>340</v>
      </c>
      <c r="B43" s="310" t="s">
        <v>341</v>
      </c>
      <c r="C43" s="315">
        <f>SUM(C44)</f>
        <v>0</v>
      </c>
    </row>
    <row r="44" spans="1:3" ht="31.5" hidden="1">
      <c r="A44" s="309" t="s">
        <v>342</v>
      </c>
      <c r="B44" s="310" t="s">
        <v>343</v>
      </c>
      <c r="C44" s="315">
        <f>SUM(C45)</f>
        <v>0</v>
      </c>
    </row>
    <row r="45" spans="1:3" ht="42" hidden="1">
      <c r="A45" s="309" t="s">
        <v>344</v>
      </c>
      <c r="B45" s="310" t="s">
        <v>345</v>
      </c>
      <c r="C45" s="315">
        <f>SUM(C46)</f>
        <v>0</v>
      </c>
    </row>
    <row r="46" spans="1:3" ht="42" hidden="1">
      <c r="A46" s="309" t="s">
        <v>344</v>
      </c>
      <c r="B46" s="310" t="s">
        <v>346</v>
      </c>
      <c r="C46" s="315">
        <v>0</v>
      </c>
    </row>
    <row r="48" spans="2:3" ht="42.75" customHeight="1">
      <c r="B48" s="318"/>
      <c r="C48" s="155"/>
    </row>
    <row r="49" spans="2:3" ht="42.75" customHeight="1">
      <c r="B49" s="318"/>
      <c r="C49" s="155"/>
    </row>
  </sheetData>
  <mergeCells count="4">
    <mergeCell ref="A8:C8"/>
    <mergeCell ref="A10:A11"/>
    <mergeCell ref="B10:B11"/>
    <mergeCell ref="C10:C11"/>
  </mergeCells>
  <printOptions/>
  <pageMargins left="1.1811023622047245" right="0.3937007874015748" top="0.3937007874015748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k66-3</dc:creator>
  <cp:keywords/>
  <dc:description/>
  <cp:lastModifiedBy>user</cp:lastModifiedBy>
  <cp:lastPrinted>2011-05-30T07:07:22Z</cp:lastPrinted>
  <dcterms:created xsi:type="dcterms:W3CDTF">2011-02-21T04:08:27Z</dcterms:created>
  <dcterms:modified xsi:type="dcterms:W3CDTF">2011-05-30T07:08:24Z</dcterms:modified>
  <cp:category/>
  <cp:version/>
  <cp:contentType/>
  <cp:contentStatus/>
</cp:coreProperties>
</file>