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5480" windowHeight="7935" firstSheet="2" activeTab="5"/>
  </bookViews>
  <sheets>
    <sheet name="Доходы прил.1" sheetId="1" r:id="rId1"/>
    <sheet name="Доходы прил.2" sheetId="2" r:id="rId2"/>
    <sheet name="Функцион. прил.3" sheetId="3" r:id="rId3"/>
    <sheet name="ведомств. прил.4" sheetId="4" r:id="rId4"/>
    <sheet name="Источники прил.5" sheetId="5" r:id="rId5"/>
    <sheet name="Источники прил.6" sheetId="6" r:id="rId6"/>
  </sheets>
  <externalReferences>
    <externalReference r:id="rId9"/>
  </externalReferences>
  <definedNames/>
  <calcPr fullCalcOnLoad="1"/>
</workbook>
</file>

<file path=xl/sharedStrings.xml><?xml version="1.0" encoding="utf-8"?>
<sst xmlns="http://schemas.openxmlformats.org/spreadsheetml/2006/main" count="8130" uniqueCount="1459">
  <si>
    <t>Областная целевая программа "Социальная поддержка инвалидов в Челябинской области" на 2007-2010 годы за счет субсидии из областного бюджета</t>
  </si>
  <si>
    <t>522 06 00</t>
  </si>
  <si>
    <t>Мероприятия в области социальной политики</t>
  </si>
  <si>
    <t>068</t>
  </si>
  <si>
    <t>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2007-2009 годы за счет субсидий из областного бюджета</t>
  </si>
  <si>
    <t>522 09 00</t>
  </si>
  <si>
    <t>079</t>
  </si>
  <si>
    <t>Областная целевая программа "Дети Южного урала" на 2006-2010 годыза счет субсидий из областного бюджета</t>
  </si>
  <si>
    <t>522 16 00</t>
  </si>
  <si>
    <t>Областная целевая программа реализации национального проекта "Образование" в Челябинской области</t>
  </si>
  <si>
    <t>522 17 00</t>
  </si>
  <si>
    <t>Расходы за счет иных межбюджетных трансфертов из областного бюджета на поощрение лучших педагогических работников и учащихся-победителей конкурсов</t>
  </si>
  <si>
    <t>522 17 02</t>
  </si>
  <si>
    <t>Мероприятия в сфере образования</t>
  </si>
  <si>
    <t>022</t>
  </si>
  <si>
    <t xml:space="preserve"> Налог на доходы физических лиц с доходов, облагаемых по налоговой ставке, установленной п.1 ст. 224 НК РФ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</si>
  <si>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от 28.05.2010 г. №2</t>
  </si>
  <si>
    <t xml:space="preserve">от 28.05.2010 г. №2 </t>
  </si>
  <si>
    <t>Оказание других видов социальной помощи</t>
  </si>
  <si>
    <t>505 86 00</t>
  </si>
  <si>
    <t>Реализация государственных функций в области социальной политики</t>
  </si>
  <si>
    <t>514 00 00</t>
  </si>
  <si>
    <t>514 01 00</t>
  </si>
  <si>
    <t>Областная целевая программа реализации национального проекта "Доступное и комфортное жилье  - гражданам России" в Челябинской области за счет субсидии из областного бюджета"</t>
  </si>
  <si>
    <t>Подпрограмма "Оказание молодым семьям господдержки для улучшения жил.условий"</t>
  </si>
  <si>
    <t>522 19 14</t>
  </si>
  <si>
    <t>Подпрограмма "Предоставление работникам бюджетной сферы безвозмездных субсидий на приобретение или стр-во жилья"</t>
  </si>
  <si>
    <t>522 19 15</t>
  </si>
  <si>
    <t>Программа "Семья и дети группы риска"</t>
  </si>
  <si>
    <t>795 00 61</t>
  </si>
  <si>
    <t>795 19 14</t>
  </si>
  <si>
    <t>Подпрограмма "Предоставление работникам бюджетной сферы социальных выплат на приобретение или стр-во жилья"</t>
  </si>
  <si>
    <t>795 19 15</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</si>
  <si>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 (сумма платежа)</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</si>
  <si>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 (пени, проценты)</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</si>
  <si>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 (сумма платежа)</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</si>
  <si>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 (сумма платежа)</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</si>
  <si>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(сумма платежа)</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</si>
  <si>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(прочие поступления)</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</si>
  <si>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</si>
  <si>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</si>
  <si>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</si>
  <si>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</si>
  <si>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Код бюджетной классификации</t>
  </si>
  <si>
    <t>Наименование кодов источников внутреннего финансирования дефицитов бюджета</t>
  </si>
  <si>
    <t>Бюджетные назначения 1 квартал</t>
  </si>
  <si>
    <t>Бюджетные назначения 2 квартал</t>
  </si>
  <si>
    <t>Бюджетные назначения 3 квартал</t>
  </si>
  <si>
    <t>Бюджетные назначения 4 квартал</t>
  </si>
  <si>
    <t>Уточненный бюджет
 на 2009 год</t>
  </si>
  <si>
    <t>01000000000000.000</t>
  </si>
  <si>
    <t>ИСТОЧНИКИ ВНУТРЕННЕГО ФИНАНСИРОВАНИЯ ДЕФИЦИТОВ БЮДЖЕТОВ</t>
  </si>
  <si>
    <t>01020000000000.000</t>
  </si>
  <si>
    <t>Кредиты кредитных организаций в валюте Российской Федерации</t>
  </si>
  <si>
    <t>01020000000000.700</t>
  </si>
  <si>
    <t>Получение кредитов от кредитных организаций в валюте Российской Федерации</t>
  </si>
  <si>
    <t>01020000040000.710</t>
  </si>
  <si>
    <t>Получение кредитов от кредитных организаций бюджетами городских округов в валюте Российской Федерации</t>
  </si>
  <si>
    <t>284.01020000040000.710</t>
  </si>
  <si>
    <t>01020000000000.800</t>
  </si>
  <si>
    <t>Погашение кредитов, предоставленных кредитными организациями в валюте Российской Федерации</t>
  </si>
  <si>
    <t>01020000040000.810</t>
  </si>
  <si>
    <t>Погашение бюджетами городских округов кредитов от кредитных организаций в валюте Российской Федерации</t>
  </si>
  <si>
    <t>284.01020000040000.810</t>
  </si>
  <si>
    <t>000.01030000000000.000</t>
  </si>
  <si>
    <t>Бюджетные кредиты от других бюджетов бюджетной системы Российской Федерации</t>
  </si>
  <si>
    <t>000.01030000000000.700</t>
  </si>
  <si>
    <t>Получение бюджетных кредитов от других бюджетов бюджетной системы Российской Федерации в валюте Российской Федерации</t>
  </si>
  <si>
    <t>000.01030000040000.710</t>
  </si>
  <si>
    <t>Получение кредитов от других бюджетов бюджетной системы Российской Федерации бюджетами городских округов в валюте Российской Федерации</t>
  </si>
  <si>
    <t>284.01030000040000.710</t>
  </si>
  <si>
    <t>000.01030000000000.800</t>
  </si>
  <si>
    <t>Погашение бюджетных кредитов, полученных от других бюджетов бюджетной системы Российской Федерации в валюте Российской Федерации</t>
  </si>
  <si>
    <t>000.01030000040000.810</t>
  </si>
  <si>
    <t>Погашение бюджетами городских округов кредитов от других бюджетов бюджетной системы Российской Федерации в валюте Российской Федерации</t>
  </si>
  <si>
    <t>284.01030000040000.810</t>
  </si>
  <si>
    <t>01050000000000.000</t>
  </si>
  <si>
    <t>Изменение остатков средств на счетах по учету средств бюджета</t>
  </si>
  <si>
    <t>01050000000000.500</t>
  </si>
  <si>
    <t>Увеличение остатков средств бюджетов</t>
  </si>
  <si>
    <t>01050200000000.500</t>
  </si>
  <si>
    <t>Увеличение прочих остатков средств бюджетов</t>
  </si>
  <si>
    <t>01050201000000.510</t>
  </si>
  <si>
    <t>Увеличение прочих остатков денежных средств бюджетов</t>
  </si>
  <si>
    <t>01050201040000.510</t>
  </si>
  <si>
    <t>284.01050201040000.510</t>
  </si>
  <si>
    <t>Увеличение прочих остатков денежных средств бюджетов городских округов</t>
  </si>
  <si>
    <t>01050000000000.600</t>
  </si>
  <si>
    <t>Уменьшение остатков средств бюджетов</t>
  </si>
  <si>
    <t>01050200000000.600</t>
  </si>
  <si>
    <t>Уменьшение прочих остатков средств бюджетов</t>
  </si>
  <si>
    <t>01050201000000.610</t>
  </si>
  <si>
    <t>Уменьшение прочих остатков денежных средств бюджетов</t>
  </si>
  <si>
    <t>01050201040000.610</t>
  </si>
  <si>
    <t>Уменьшение прочих остатков денежных средств бюджетов городских округов</t>
  </si>
  <si>
    <t>284.01050201040000.610</t>
  </si>
  <si>
    <t>01060000000000.000</t>
  </si>
  <si>
    <t>Иные источники внутреннего финансирования дефицитов бюджетов</t>
  </si>
  <si>
    <t>01060400000000.000</t>
  </si>
  <si>
    <t>Исполнение государственных и муниципальных гарантий в валюте Российской Федерации</t>
  </si>
  <si>
    <t>01060400000000.800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</si>
  <si>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</si>
  <si>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01060400040000.810</t>
  </si>
  <si>
    <t>Исполнение гарантий городских округов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</si>
  <si>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284.01060400040000.810</t>
  </si>
  <si>
    <t>01060500000000.000</t>
  </si>
  <si>
    <t>Бюджетные кредиты, предоставленные внутри страны в валюте Российской Федерации</t>
  </si>
  <si>
    <t>01060500000000.600</t>
  </si>
  <si>
    <t>Возврат бюджетных кредитов, предоставленных внутри страны в валюте Российской Федерации</t>
  </si>
  <si>
    <t>01060501040000.640</t>
  </si>
  <si>
    <t>Возврат бюджетных кредитов, предоставленных юридическим лицам из бюджетов городских округов в валюте Российской Федерации</t>
  </si>
  <si>
    <t>284.01060501040000.640</t>
  </si>
  <si>
    <t xml:space="preserve">ИТОГО: </t>
  </si>
  <si>
    <t>Приложение №5</t>
  </si>
  <si>
    <t>Источники внутреннего финансирования дефицита бюджета 
Миасского городского округа по кодам классификации источников финансирования дефицитов бюджетов в 2009 году</t>
  </si>
  <si>
    <t>000.01000000000000.000</t>
  </si>
  <si>
    <t>284.01020000000000.000</t>
  </si>
  <si>
    <t>284.01020000000000.700</t>
  </si>
  <si>
    <t>284.01020000000000.800</t>
  </si>
  <si>
    <t>284.01050000000000.000</t>
  </si>
  <si>
    <t>284.01050200000000.500</t>
  </si>
  <si>
    <t>284.01050201000000.510</t>
  </si>
  <si>
    <t>284.01050000000000.600</t>
  </si>
  <si>
    <t>284.01050200000000.600</t>
  </si>
  <si>
    <t>284.01050201000000.610</t>
  </si>
  <si>
    <t>284.01060000000000.000</t>
  </si>
  <si>
    <t>284.01060400000000.000</t>
  </si>
  <si>
    <t>284.01060400000000.800</t>
  </si>
  <si>
    <t>284.01060500000000.000</t>
  </si>
  <si>
    <t>284.01060500000000.600</t>
  </si>
  <si>
    <t>Приложение №6</t>
  </si>
  <si>
    <t>Расходы за счет субвенции из областного бюджета на обеспечение мер социальной поддержки граждан, имеющих звание "Ветеран труда Челябинской области" (другие меры социальной поддержки граждан, имеющих звание "Ветеран труда Челябинской области"))</t>
  </si>
  <si>
    <t>МУ "Комитет по управлению имуществом и земельным отношениям"</t>
  </si>
  <si>
    <t>286</t>
  </si>
  <si>
    <t>Управление внутренних дел по Миасскому городскому округу</t>
  </si>
  <si>
    <t>188</t>
  </si>
  <si>
    <t>МУ МГО "Образование"</t>
  </si>
  <si>
    <t>288</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</si>
  <si>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за счет субсидий из областного бюджета</t>
  </si>
  <si>
    <t>МУ  "Управление культуры" МГО</t>
  </si>
  <si>
    <t>289</t>
  </si>
  <si>
    <t>МУ "Управление здравоохранения"</t>
  </si>
  <si>
    <t>290</t>
  </si>
  <si>
    <t>в 3,4 раза</t>
  </si>
  <si>
    <t>Приложение 4</t>
  </si>
  <si>
    <t>Приложение 3</t>
  </si>
  <si>
    <t>к решению Собрания</t>
  </si>
  <si>
    <t xml:space="preserve">депутатов Миасского </t>
  </si>
  <si>
    <t>городского округа</t>
  </si>
  <si>
    <t>РАСПРЕДЕЛЕНИЕ БЮДЖЕТНЫХ АССИГНОВАНИЙ НА 2009 ГОД</t>
  </si>
  <si>
    <t>ПО РАЗДЕЛАМ И ПОДРАЗДЕЛАМ, ЦЕЛЕВЫМ СТАТЬЯМ И ВИДАМ</t>
  </si>
  <si>
    <t>РАСХОДОВ КЛАССИФИКАЦИИ РАСХОДОВ БЮДЖЕТА</t>
  </si>
  <si>
    <t>МИАССКОГО ГОРОДСКОГО ОКРУГА</t>
  </si>
  <si>
    <t>Наименование</t>
  </si>
  <si>
    <t>Коды ведомственной классификации</t>
  </si>
  <si>
    <t>Сумма</t>
  </si>
  <si>
    <t>Исполнено</t>
  </si>
  <si>
    <t>% исполнения</t>
  </si>
  <si>
    <t>ведомство</t>
  </si>
  <si>
    <t>раздел</t>
  </si>
  <si>
    <t>подраздел</t>
  </si>
  <si>
    <t>целевая статья</t>
  </si>
  <si>
    <t>вид расходов</t>
  </si>
  <si>
    <t>на 2009 год  (тыс. руб.)</t>
  </si>
  <si>
    <t>за 2009 год  (тыс. руб.)</t>
  </si>
  <si>
    <t xml:space="preserve"> (%)</t>
  </si>
  <si>
    <t>Общегосударственные вопросы</t>
  </si>
  <si>
    <t>01</t>
  </si>
  <si>
    <t>Функционирование высшего должностного лица субъекта РФ и органа местного самоуправления</t>
  </si>
  <si>
    <t>02</t>
  </si>
  <si>
    <t>Руководство и управление в сфере установленных функций органов государственной власти субъектов РФ и органов местного самоуправления</t>
  </si>
  <si>
    <t>002 00 00</t>
  </si>
  <si>
    <t>Глава муниципального образования</t>
  </si>
  <si>
    <t>002 03 00</t>
  </si>
  <si>
    <t>Выполнение функций органами местного самоуправления</t>
  </si>
  <si>
    <t>500</t>
  </si>
  <si>
    <t>Функционирование законодательных (представительных) органов государственной власти и представительных органов местного самоуправления</t>
  </si>
  <si>
    <t>03</t>
  </si>
  <si>
    <t>Центральный аппарат</t>
  </si>
  <si>
    <t xml:space="preserve"> 01 </t>
  </si>
  <si>
    <t>002 04 00</t>
  </si>
  <si>
    <t>Депутаты представительного органа муниципального образования</t>
  </si>
  <si>
    <t>002 12 00</t>
  </si>
  <si>
    <t>Другие общегосударственные вопросы</t>
  </si>
  <si>
    <t>15</t>
  </si>
  <si>
    <t>Реализация государственных функций, связанных с общегосударственным управлением</t>
  </si>
  <si>
    <t>092 00 00</t>
  </si>
  <si>
    <t>Выполнение других обязательств государства</t>
  </si>
  <si>
    <t>216</t>
  </si>
  <si>
    <t>Образование</t>
  </si>
  <si>
    <t>07</t>
  </si>
  <si>
    <t>Молодежная политика и оздоровление детей</t>
  </si>
  <si>
    <t>Мероприятия по организации оздоровительной кампании детей и подростков</t>
  </si>
  <si>
    <t>432 00 00</t>
  </si>
  <si>
    <t>Оздоровление детей и подростков</t>
  </si>
  <si>
    <t>452</t>
  </si>
  <si>
    <t>Реализация  государственной политики в области приватизации и управления государственной и муниципальной собственностью</t>
  </si>
  <si>
    <t>090 00 00</t>
  </si>
  <si>
    <t>Оценка недвижимости, признание прав и регулирование отношений по государственной и муниципальной собственности</t>
  </si>
  <si>
    <t>200</t>
  </si>
  <si>
    <t>Национальная экономика</t>
  </si>
  <si>
    <t>04</t>
  </si>
  <si>
    <t>Транспорт</t>
  </si>
  <si>
    <t>08</t>
  </si>
  <si>
    <t>Другие виды транспорта</t>
  </si>
  <si>
    <t>317 00 00</t>
  </si>
  <si>
    <t>Отдельные мероприятия по другим видам транспорта</t>
  </si>
  <si>
    <t>366</t>
  </si>
  <si>
    <t>Другие вопросы в области национальной экономики</t>
  </si>
  <si>
    <t>11</t>
  </si>
  <si>
    <t>Реализация государственных функций в области национальной экономики</t>
  </si>
  <si>
    <t>340 00 00</t>
  </si>
  <si>
    <t>Мероприятия по землестройству и землепользованию</t>
  </si>
  <si>
    <t>406</t>
  </si>
  <si>
    <t>Непрограмные инвестиции в основные фонды</t>
  </si>
  <si>
    <t>102 00 00</t>
  </si>
  <si>
    <t>Строительство объектов общегражданского назначения</t>
  </si>
  <si>
    <t>214</t>
  </si>
  <si>
    <t>Функционирование Правительства РВ, высших исполнительных органов государственной власти субъектов РФ, местных администраций</t>
  </si>
  <si>
    <t>Расходы за счет субвенций из областного бюджета на организацию работы комиссии по делам несовершеннолетних и защите их прав</t>
  </si>
  <si>
    <t>002 04 58</t>
  </si>
  <si>
    <t>Расходы на оплату ТЭР, услуг водоснабжения,водоотведения, потребляемых МБУ и эл.энергии, расходов на уличное освещение за счет субсидий из областного  бюджета</t>
  </si>
  <si>
    <t>002 04 68</t>
  </si>
  <si>
    <t xml:space="preserve">Расходы за счет субвенций из областного бюджета на комплектование, учет, использование и хранение архивных документов, отнесенных к государственной собственности Челябинской области </t>
  </si>
  <si>
    <t>002 04 86</t>
  </si>
  <si>
    <t>Расходы за счет субвенций из областного бюджета на образование и организацию деятельности административных комиссий</t>
  </si>
  <si>
    <t>002 04 54</t>
  </si>
  <si>
    <t>Глава местной администрации (исполнительно-распорядительного органа муниципального образования)</t>
  </si>
  <si>
    <t>002 08 00</t>
  </si>
  <si>
    <t>Резервные фонды органов местного самоуправления</t>
  </si>
  <si>
    <t>070 00 00</t>
  </si>
  <si>
    <t>184</t>
  </si>
  <si>
    <t>Судебная система</t>
  </si>
  <si>
    <t>05</t>
  </si>
  <si>
    <t>Составление (изменение и дополнение) списков кандидатов в присяжные заседатели  федеральных судов общей юрисдикции в Российской Федерации</t>
  </si>
  <si>
    <t xml:space="preserve">00 140 00 </t>
  </si>
  <si>
    <t>Обеспечение деятельности финансовых, налоговых и таможенных органов и органов финансового (финансово-бюджетного) надзора</t>
  </si>
  <si>
    <t>06</t>
  </si>
  <si>
    <t>Организация работы финансовых органов муниципальных образований за счет субсидий из областного бюджета</t>
  </si>
  <si>
    <t>002 04 60</t>
  </si>
  <si>
    <t>Руководитель контрольно-счетной палаты муниципального образования и его заместители</t>
  </si>
  <si>
    <t>002 25 00</t>
  </si>
  <si>
    <t>Обеспечение проведения выборов и референдумов</t>
  </si>
  <si>
    <t>020 00 00</t>
  </si>
  <si>
    <t>Проведение выборов представительные органы муниципального образования</t>
  </si>
  <si>
    <t>020 00 02</t>
  </si>
  <si>
    <t>Обслуживание государственного и муниципального долга</t>
  </si>
  <si>
    <t>Процентные платежи по долговым обязательствам</t>
  </si>
  <si>
    <t>065 00 00</t>
  </si>
  <si>
    <t>Процентные платежи по муниципальному долгу</t>
  </si>
  <si>
    <t>065 03 00</t>
  </si>
  <si>
    <t>Прочие расходы</t>
  </si>
  <si>
    <t>013</t>
  </si>
  <si>
    <t>Резервные фонды</t>
  </si>
  <si>
    <t>12</t>
  </si>
  <si>
    <t>Резервные фонды местных администраций</t>
  </si>
  <si>
    <t>070 05 00</t>
  </si>
  <si>
    <t xml:space="preserve">Прочие расходы </t>
  </si>
  <si>
    <t>14</t>
  </si>
  <si>
    <t>Руководство и управление в сфере установленных функций</t>
  </si>
  <si>
    <t>001 00 00</t>
  </si>
  <si>
    <t xml:space="preserve">Государственная регистрация актов гражданского состояния </t>
  </si>
  <si>
    <t>001 38 00</t>
  </si>
  <si>
    <t>Обеспечение деятельности подведомственных учреждений</t>
  </si>
  <si>
    <t>002 99 00</t>
  </si>
  <si>
    <t>Выполнение функций бюджетными учреждениями</t>
  </si>
  <si>
    <t>001</t>
  </si>
  <si>
    <t>Реализация государственной политики в области приватизации и управления государственной и муниципальной собственностью</t>
  </si>
  <si>
    <t>090 02 00</t>
  </si>
  <si>
    <t>092 03 00</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</si>
  <si>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</si>
  <si>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собственности муниципальных образований</t>
  </si>
  <si>
    <t>102 01 02</t>
  </si>
  <si>
    <t>Бюджетные инвестиции</t>
  </si>
  <si>
    <t>003</t>
  </si>
  <si>
    <t>Дворцы и дома культуры, другие учреждения культуры и СМИ</t>
  </si>
  <si>
    <t>440 00 00</t>
  </si>
  <si>
    <t>440 99 00</t>
  </si>
  <si>
    <t>Целевые программы муниципальных образований</t>
  </si>
  <si>
    <t>795 00 00</t>
  </si>
  <si>
    <t>Программа "Миасс - безопасный город"</t>
  </si>
  <si>
    <t>795 00 01</t>
  </si>
  <si>
    <t>Программа "Муниципальная информационная автоматизированная  система"</t>
  </si>
  <si>
    <t>795 00 02</t>
  </si>
  <si>
    <t>Национальная безопасность и правоохранительная деятельность</t>
  </si>
  <si>
    <t>Органы внутренних дел</t>
  </si>
  <si>
    <t>Воинские формирования (органы, подразделения)</t>
  </si>
  <si>
    <t>202 00 00</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</si>
  <si>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</si>
  <si>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202 01 00</t>
  </si>
  <si>
    <t>Функционирование органов в сфере национальной безопасности, правоохранительной деятельности и обороны</t>
  </si>
  <si>
    <t>014</t>
  </si>
  <si>
    <t>Военный персонал</t>
  </si>
  <si>
    <t>202 58 00</t>
  </si>
  <si>
    <t xml:space="preserve">Функционирование органов в сфере национальной безопасности и  правоохранительной деятельности </t>
  </si>
  <si>
    <t>202 67 00</t>
  </si>
  <si>
    <t>Продовольственное обеспечение</t>
  </si>
  <si>
    <t>202 71 00</t>
  </si>
  <si>
    <t>Продовольственное обеспечение вне рамок государственного оборонного заказа</t>
  </si>
  <si>
    <t>202 71 02</t>
  </si>
  <si>
    <t>Вещевое обеспечение</t>
  </si>
  <si>
    <t xml:space="preserve">03 </t>
  </si>
  <si>
    <t>202 72 00</t>
  </si>
  <si>
    <t>Вещевое обеспечение вне рамок государственного оборонного заказа</t>
  </si>
  <si>
    <t>202 72 02</t>
  </si>
  <si>
    <t>Компенсация стоимости вещевого имущества</t>
  </si>
  <si>
    <t>202 72 03</t>
  </si>
  <si>
    <t>Пособия и компенсации военнослужащим, приравненным к ним лицам, а так же уволенным из их числа</t>
  </si>
  <si>
    <t>202 76 00</t>
  </si>
  <si>
    <t>Социальные выплаты</t>
  </si>
  <si>
    <t>005</t>
  </si>
  <si>
    <t xml:space="preserve">795 00 00 </t>
  </si>
  <si>
    <t>Комплексная программа профилактики правонарушений и усиления борьбы с преступностью на территории МГО на 2009-2010гг.</t>
  </si>
  <si>
    <t>795 00 64</t>
  </si>
  <si>
    <t>Муниципальная целевая программа "противопожарные мероприятия на 2008-2009гг.в УВД по Миасскому городскому округу"</t>
  </si>
  <si>
    <t xml:space="preserve">795 00 63 </t>
  </si>
  <si>
    <t>Защита населения и территории от последствий  чрезвычайных ситуаций природного и техногенного характера гражданская оборона</t>
  </si>
  <si>
    <t>09</t>
  </si>
  <si>
    <t>Мероприятия по предупреждению и ликвидации последствий чрезвычайных ситуаций и стихийных бедствий</t>
  </si>
  <si>
    <t>218 00 00</t>
  </si>
  <si>
    <t>Предупреждение и ликвидация последствий чрезвычайных ситуаций и стихийных бедствий природного и техногенного характера</t>
  </si>
  <si>
    <t>218 01 00</t>
  </si>
  <si>
    <t>Целевой финансовый резерв для предупреждения и ликвидации чрезвычайных ситуаций</t>
  </si>
  <si>
    <t>218 01 50</t>
  </si>
  <si>
    <t>Мероприятия по гражданской обороне</t>
  </si>
  <si>
    <t>219 00 00</t>
  </si>
  <si>
    <t>Подготовка населения и организаций к действиям в чрезвычайной ситуации в мирное и военное время</t>
  </si>
  <si>
    <t>219 01 00</t>
  </si>
  <si>
    <t>Реализция государственных функций, связанных с обеспечением национальной безопасности и правоохранительной деятельности</t>
  </si>
  <si>
    <t>247 00 00</t>
  </si>
  <si>
    <t>247 99 00</t>
  </si>
  <si>
    <t>Региональные целевые программы</t>
  </si>
  <si>
    <t>522 00 00</t>
  </si>
  <si>
    <t>Областная целевая программа "Снижение рисков и смягчение последствий чрезвычайных ситуаций природного и техногенного характера в Челябинской области на 2007-2010гг" за счет субсидий из областного бюджета</t>
  </si>
  <si>
    <t>522 13 00</t>
  </si>
  <si>
    <t xml:space="preserve">Областная целевая программа "Снижение рисков и смягчение последствий чрезвычайных ситуаций природного и техногенного характера в Челябинской области на 2007-2010гг" </t>
  </si>
  <si>
    <t>923</t>
  </si>
  <si>
    <t>Другие вопросы в области национальной безопасности и правоохранительной деятельности</t>
  </si>
  <si>
    <t>ОЦП "Снижение рисков и смягчение последствий чрезвычайных ситуаций природного и техногенного характера в Челябинской области</t>
  </si>
  <si>
    <t>10</t>
  </si>
  <si>
    <t>Отдельные мероприятия в области автомобильного транспорта</t>
  </si>
  <si>
    <t>303 02 00</t>
  </si>
  <si>
    <t>Субсидии юридическим лицам</t>
  </si>
  <si>
    <t>006</t>
  </si>
  <si>
    <t>Компенсация расходов автотранспортных предприятий, связанных с предоставлением сезонных льгот пенсионерам-садоводам, пенсионерам-огородникам на автомобильном транспорте городских и пригородных (садовых) маршрутов за счет средств областного бюджета</t>
  </si>
  <si>
    <t>303 02 72</t>
  </si>
  <si>
    <t>317 01 00</t>
  </si>
  <si>
    <t>Финансирование расходов на организацию транспортного обслуживания населения  муниципальных образований в части приобретения подвижного состава за счет субсидии из областного бюджета</t>
  </si>
  <si>
    <t>317 01 12</t>
  </si>
  <si>
    <t>Мероприятия в области строительства, архитектуры и градостроительства</t>
  </si>
  <si>
    <t>338 00 00</t>
  </si>
  <si>
    <t>Мероприятия по землеустройству и землепользованию</t>
  </si>
  <si>
    <t>340 03 00</t>
  </si>
  <si>
    <t>Программа "Поддержка и развитие малого предпринимательства  Миасского городского округа на 2009-2011гг."</t>
  </si>
  <si>
    <t>795 00 03</t>
  </si>
  <si>
    <t>ЦП "Доступное и комфортное жилье - гражданам России (Подпрограмма "Подготовка земельных участков для освоения в целях жилищного стр-ва")</t>
  </si>
  <si>
    <t>795 19 12</t>
  </si>
  <si>
    <t>Жилищно-коммунальное хозяйство</t>
  </si>
  <si>
    <t>Жилищное хозяйство</t>
  </si>
  <si>
    <t xml:space="preserve">Обеспечение мероприятий по капитальному ремонту многоквартирных домов и переселению граждан из аварийного жилищного фонда </t>
  </si>
  <si>
    <t>098 00 00</t>
  </si>
  <si>
    <t xml:space="preserve">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 </t>
  </si>
  <si>
    <t>098 01 00</t>
  </si>
  <si>
    <t xml:space="preserve">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 </t>
  </si>
  <si>
    <t>098 01 01</t>
  </si>
  <si>
    <t xml:space="preserve">Обеспечение мероприятий по капитальному ремонту многоквартирных домов и переселению граждан из аварийного жилищного фонда за счет средств бюджетов </t>
  </si>
  <si>
    <t>098 02 00</t>
  </si>
  <si>
    <t xml:space="preserve">Обеспечение мероприятий по капитальному ремонту многоквартирных домов за счет средств бюджетов </t>
  </si>
  <si>
    <t>098 02 01</t>
  </si>
  <si>
    <t>Субсидии юридическим лицам на обеспечение мероприятий по капитальному ремонту многоквартирных домов</t>
  </si>
  <si>
    <t>910</t>
  </si>
  <si>
    <t>Обеспечение мероприятий по переселению граждан из аварийного жилищного фонда за счет средств бюджетов</t>
  </si>
  <si>
    <t>098 02 02</t>
  </si>
  <si>
    <t xml:space="preserve">Поддержка жилищного хозяйства </t>
  </si>
  <si>
    <t>350 00 00</t>
  </si>
  <si>
    <t>Компенсация выпадающих доходов организациям, предоставляющим населению жилищные услуги по тарифам, не обеспечивающим возмещение издержек</t>
  </si>
  <si>
    <t>350 01 00</t>
  </si>
  <si>
    <t>Капитальный ремонт государственного жилищного фонда субъектов РФ и муниципального жилищного фонда</t>
  </si>
  <si>
    <t>350 02 00</t>
  </si>
  <si>
    <t>Областная целевая программа профилактики правонарушений и усилия борьбы с преступностью в Челябинской области на 2006-2008 годы"</t>
  </si>
  <si>
    <t>522 12 00</t>
  </si>
  <si>
    <t>Областная целевая программа по реализации национального проекта "Доступное и комфортное жилье - гражданам России" в Челябинской обл.</t>
  </si>
  <si>
    <t>522 19 00</t>
  </si>
  <si>
    <t>Подпрограмма "Мероприятия по переселению граждан из жилищного фонда, признанного непригодным для проживания"</t>
  </si>
  <si>
    <t>522 19 13</t>
  </si>
  <si>
    <t>Проведение капитального ремонта многоквартирных домов</t>
  </si>
  <si>
    <t>522 19 16</t>
  </si>
  <si>
    <t xml:space="preserve">ОАП "Капитальный ремонт многоквартирных домов в Челябинской области на 2008-2011 гг. </t>
  </si>
  <si>
    <t>522 21 00</t>
  </si>
  <si>
    <t>ОАП "Капитальный ремонт многоквартирных домов в Челябинской области на 2008-2011 гг. за счет средств Фонда реформирования ЖКХ</t>
  </si>
  <si>
    <t>522 21 22</t>
  </si>
  <si>
    <t>ОАП "Капитальный ремонт многоквартирных домов в Челябинской области на 2008-2011 гг. за счет средств областного бюджета</t>
  </si>
  <si>
    <t>522 21 23</t>
  </si>
  <si>
    <t>Программа "Кровля" МГО на 2006-2010гг</t>
  </si>
  <si>
    <t>795 00 07</t>
  </si>
  <si>
    <t>Программа  "Лифт МГО на 2008-2010"</t>
  </si>
  <si>
    <t>795 00 08</t>
  </si>
  <si>
    <t>Национальный проект "Доступное и комфортное жилье - гражданам России" на территории МГО на 2006-2010 гг.</t>
  </si>
  <si>
    <t xml:space="preserve">795 19 00 </t>
  </si>
  <si>
    <t>795 19 13</t>
  </si>
  <si>
    <t>Программа по ремонту кровель жилого фонда</t>
  </si>
  <si>
    <t>410</t>
  </si>
  <si>
    <t>Программа "Капитальный ремонт многоквартирных домов" МГО на 2008-2010 годы</t>
  </si>
  <si>
    <t>795 21 00</t>
  </si>
  <si>
    <t>Коммунальное хозяйство</t>
  </si>
  <si>
    <t>Отдельные мероприятия в области дорожного хозяйства</t>
  </si>
  <si>
    <t>351 00 00</t>
  </si>
  <si>
    <t>365</t>
  </si>
  <si>
    <t xml:space="preserve">Закупка для государственных нужд техники,
производимой на территории Российской Федерации
</t>
  </si>
  <si>
    <t>340 07 00</t>
  </si>
  <si>
    <t xml:space="preserve">Закупка автотранспортных средств
и коммунальной техники
</t>
  </si>
  <si>
    <t>340 07 02</t>
  </si>
  <si>
    <t xml:space="preserve">Поддержка коммунального хозяйства </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</si>
  <si>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</si>
  <si>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351 02 00</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</si>
  <si>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</si>
  <si>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351 03 00</t>
  </si>
  <si>
    <t>Мероприятия в области коммунального хозяйства</t>
  </si>
  <si>
    <t>351 05 00</t>
  </si>
  <si>
    <t>Мероприятия в области коммунального хозяйства за счет средств из областного бюджета</t>
  </si>
  <si>
    <t>351 05 73</t>
  </si>
  <si>
    <t xml:space="preserve">Подпрограмма "Модернизация объектов коммунальной инфраструктуры" </t>
  </si>
  <si>
    <t>522 19 11</t>
  </si>
  <si>
    <t>Программа "Содержание и благоустройство кладбищ Миасского городского округа на 2006-2010гг."</t>
  </si>
  <si>
    <t>795 00 06</t>
  </si>
  <si>
    <t>Программа экономии хозпитьевой воды, улучшение экологической обстановки МГО на 2008-2010гг.</t>
  </si>
  <si>
    <t>795 00 24</t>
  </si>
  <si>
    <t>Программа "О развитии энергосбережения в МГО на 2006-2010гг."</t>
  </si>
  <si>
    <t>795 00 25</t>
  </si>
  <si>
    <t xml:space="preserve">Национальный проект "Доступное и комфортное жилье - гражданам России" на территории МГО на 2006-2010 гг., </t>
  </si>
  <si>
    <t>795 19 00</t>
  </si>
  <si>
    <t>795 19 11</t>
  </si>
  <si>
    <t>Благоустройство</t>
  </si>
  <si>
    <t xml:space="preserve">Содержание и ремонт автомобильных дорог общего пользования местного значения, за исключением автомобильных дорог общего пользования федерального и регионального значения за счет субсидий из областного бюджета </t>
  </si>
  <si>
    <t>315 02 03</t>
  </si>
  <si>
    <t xml:space="preserve">Содержание и ремонт автомобильных дорог общего пользования местного значения, за исключением автомобильных дорог общего пользования федерального и регионального значения </t>
  </si>
  <si>
    <t>915</t>
  </si>
  <si>
    <t>600 00 00</t>
  </si>
  <si>
    <t>Уличное освещение</t>
  </si>
  <si>
    <t>600 01 00</t>
  </si>
  <si>
    <t>600 01 68</t>
  </si>
  <si>
    <t>Содержание автомобильных дорог и инженерных сооружений на них в границах городских округов и поселений в рамках благоустройства</t>
  </si>
  <si>
    <t>600 02 00</t>
  </si>
  <si>
    <t>Обеспечение выполнения работ по внедрению и содержанию технических средств, организации и регулированию дорожного движения в муниципальных образованиях за счет субсидий из областного бюджета</t>
  </si>
  <si>
    <t>600 02 66</t>
  </si>
  <si>
    <t>Озеленение</t>
  </si>
  <si>
    <t>600 03 00</t>
  </si>
  <si>
    <t>Прочие мероприятия по благоустройству городских округов и поселений</t>
  </si>
  <si>
    <t>600 05 00</t>
  </si>
  <si>
    <t>Программа по поддержанию дорог и дорожных сооружений МГО в проезжем состоянии на 2008-2010гг.</t>
  </si>
  <si>
    <t>795 00 09</t>
  </si>
  <si>
    <t xml:space="preserve">Программа "Реконструкция и модернизация системы наружного освещения МГО с обеспечением приборного учета электроэнергии на 2008-2010гг" </t>
  </si>
  <si>
    <t>795 00 26</t>
  </si>
  <si>
    <t>Другие вопросы в области жилищно-коммунального хозяйства</t>
  </si>
  <si>
    <t>Бюджетные инвестиции в объекты капитального строительства собственности муниципальных образований</t>
  </si>
  <si>
    <t xml:space="preserve">Бюджетные инвестиции </t>
  </si>
  <si>
    <t>Федеральная целевая программа "Жилище"  на 2002-2010 годы</t>
  </si>
  <si>
    <t>104 00 00</t>
  </si>
  <si>
    <t>104 03 00</t>
  </si>
  <si>
    <t>Подпрограмма "Подготовка земельных участков для освоения в целях жилищного строительства"</t>
  </si>
  <si>
    <t>522 19 12</t>
  </si>
  <si>
    <t>Областная целевая Программа капитального строительства в Челябинской области на 2009-2011 годы</t>
  </si>
  <si>
    <t>522 25 00</t>
  </si>
  <si>
    <t>Развитие социальной и инженерной структуры муниципальных образований</t>
  </si>
  <si>
    <t>523 00 00</t>
  </si>
  <si>
    <t xml:space="preserve">Развитие социальной и инженерной структуры </t>
  </si>
  <si>
    <t>523 01 00</t>
  </si>
  <si>
    <t xml:space="preserve">Программа водоснабжения частного сектора  </t>
  </si>
  <si>
    <t>795 00 21</t>
  </si>
  <si>
    <t>Подпрограмма "Обеспечение земельных участков объектами коммунальной инфраструктуры"</t>
  </si>
  <si>
    <t>Целевая Программа "Капитальное строительство на территории Миасского городского округа на 2009-2011 годы"</t>
  </si>
  <si>
    <t>795 25 00</t>
  </si>
  <si>
    <t>Охрана окружающей  среды</t>
  </si>
  <si>
    <t>Охрана объектов растительного и животного мира и среды их обитания</t>
  </si>
  <si>
    <t>Природоохранные учреждения</t>
  </si>
  <si>
    <t>411 00 00</t>
  </si>
  <si>
    <t>411 99 00</t>
  </si>
  <si>
    <t>Другие вопросы в области охраны окружающей среды</t>
  </si>
  <si>
    <t>ОЦП Природоохранных мероприятий оздоровления экологической обстановки в Челябинской области на 2006-2010гг.</t>
  </si>
  <si>
    <t>522 14 00</t>
  </si>
  <si>
    <t>Строительство объектов для нужд отрасли</t>
  </si>
  <si>
    <t>213</t>
  </si>
  <si>
    <t>Программа "Экология  Миасского городского округа" на 2006-2010гг.</t>
  </si>
  <si>
    <t>795 00 22</t>
  </si>
  <si>
    <t>Природоохранные мероприятия</t>
  </si>
  <si>
    <t>443</t>
  </si>
  <si>
    <t>Программа "Сбор и утилизация твердых коммунальных и промышленных отходов"</t>
  </si>
  <si>
    <t>795 00 23</t>
  </si>
  <si>
    <t>в том числе на ликвидацию чрезвычайных ситуаций</t>
  </si>
  <si>
    <t xml:space="preserve">                     на празднование 235-летия Миасса</t>
  </si>
  <si>
    <t>Общеэкономические вопросы</t>
  </si>
  <si>
    <t>Иные безвозмездные и безвозвратные перечисления</t>
  </si>
  <si>
    <t xml:space="preserve">520 00 00 </t>
  </si>
  <si>
    <t>Организация общественных работ</t>
  </si>
  <si>
    <t>Дошкольное образование</t>
  </si>
  <si>
    <t>Детские дошкольные учреждения</t>
  </si>
  <si>
    <t>420 00 00</t>
  </si>
  <si>
    <t>420 99 00</t>
  </si>
  <si>
    <t>Ремонт и противопожарные мероприятия в учреждениях образования муниципальных образований за счет субсидий из областного бюджета</t>
  </si>
  <si>
    <t>901</t>
  </si>
  <si>
    <t>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t>
  </si>
  <si>
    <t>420 99 01</t>
  </si>
  <si>
    <t>Реализация национального проекта "Образование" в Челябинской области</t>
  </si>
  <si>
    <t>908</t>
  </si>
  <si>
    <t xml:space="preserve">Обеспечение продуктами питания учреждений социальной сферы муниципальных образований </t>
  </si>
  <si>
    <t>420 99 62</t>
  </si>
  <si>
    <t>Организация воспитания и обучения детей-инвалидов на дому и в дошкольных учреждениях</t>
  </si>
  <si>
    <t>420 99 67</t>
  </si>
  <si>
    <t>Расходы на оплату ТЭР, услуг водоснабжения,водоотведения, потребляемых МБУ и эл.энергии, расходуемой на уличное освещение за счет субсидий из областного  бюджета</t>
  </si>
  <si>
    <t>420 99 68</t>
  </si>
  <si>
    <t>Областная целевая программа "Развитие дошкольного образования в Челябинской области" на 2006-2010 гг. за счет субсидий из областного бюджета</t>
  </si>
  <si>
    <t>522 15 00</t>
  </si>
  <si>
    <t>Общее образование</t>
  </si>
  <si>
    <t>Резервный фонд Президента Российской Федерации</t>
  </si>
  <si>
    <t>070 02 00</t>
  </si>
  <si>
    <t>Школы-детские сады, школы начальные, неполные средние и средние</t>
  </si>
  <si>
    <t>421 00 00</t>
  </si>
  <si>
    <t>421 99 00</t>
  </si>
  <si>
    <t>Обеспечение продуктами питания учреждений социальной сферы муниципальных образований из областного фонда продовольствия</t>
  </si>
  <si>
    <t>904</t>
  </si>
  <si>
    <t>421 99 01</t>
  </si>
  <si>
    <t>Мероприятия в области здравоохранения, спорта и физической культуры, туризма</t>
  </si>
  <si>
    <t>421 99 02</t>
  </si>
  <si>
    <t>Обеспечение продуктами питания детей из малообеспеченных семей и детей с нарушениями здоровья, обучающихся в муниципальных образовательных учреждениях за счет субсидии из областного бюджета</t>
  </si>
  <si>
    <t>421 99 59</t>
  </si>
  <si>
    <t>421 99 68</t>
  </si>
  <si>
    <t>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t>
  </si>
  <si>
    <t>421 99 70</t>
  </si>
  <si>
    <t>Расходы на проведение ремонтных работ, строительных работ и работ по благоустройству с привлечением студенческих отрядов</t>
  </si>
  <si>
    <t>907</t>
  </si>
  <si>
    <t>421 99 08</t>
  </si>
  <si>
    <t>Обеспечение деятельности школ-детских садов, школ начальных, неполных средних за счет субвенций местным бюджетам на обеспечение гарантий прав граждан в сфере образования</t>
  </si>
  <si>
    <t>421 99 88</t>
  </si>
  <si>
    <t>Учреждения по внешкольной работе с детьми</t>
  </si>
  <si>
    <t xml:space="preserve">423 00 00 </t>
  </si>
  <si>
    <t>423 99 00</t>
  </si>
  <si>
    <t>Ремонт и противопожарные мероприятия в учреждениях физической культуры и спорта муниципальных образований за счет субсидий из областного бюджета</t>
  </si>
  <si>
    <t>900</t>
  </si>
  <si>
    <t>423 99 01</t>
  </si>
  <si>
    <t>423 99 68</t>
  </si>
  <si>
    <t>Детские дома</t>
  </si>
  <si>
    <t>424 00 00</t>
  </si>
  <si>
    <t>424 99 00</t>
  </si>
  <si>
    <t>424  99 00</t>
  </si>
  <si>
    <t>424 99 70</t>
  </si>
  <si>
    <t>Расходы за счет субвенций из областного бюджета на содержание и обеспечение деятельности детских домов</t>
  </si>
  <si>
    <t>424 99 75</t>
  </si>
  <si>
    <t xml:space="preserve">Специальные (коррекционные) учреждения </t>
  </si>
  <si>
    <t>433 00 00</t>
  </si>
  <si>
    <t>433 99 00</t>
  </si>
  <si>
    <t>433 99 01</t>
  </si>
  <si>
    <t>433 99 02</t>
  </si>
  <si>
    <t>433 99 70</t>
  </si>
  <si>
    <t>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(коррекционных) образовательных учреждениях для обучающихся воспитанников с отклонениями в развитии</t>
  </si>
  <si>
    <t>433 99 82</t>
  </si>
  <si>
    <t>Мероприятия в области образования</t>
  </si>
  <si>
    <t>436 00 00</t>
  </si>
  <si>
    <t>Проведение противоаварийных
мероприятий в зданиях государственных и муниципальных
общеобразовательных учреждений</t>
  </si>
  <si>
    <t>436 15 00</t>
  </si>
  <si>
    <t>Физкультурно-оздоровительная работа и спортивные мероприятия</t>
  </si>
  <si>
    <t>512 00 00</t>
  </si>
  <si>
    <t>512 97 00</t>
  </si>
  <si>
    <t>Мероприятия в области здравоохранения, спорта и физической культуры,туризма за счет субсидии из областного бюджета</t>
  </si>
  <si>
    <t>512 97 26</t>
  </si>
  <si>
    <t>520 00 00</t>
  </si>
  <si>
    <t>Ежемесячное денежное вознаграждение за классное руководство</t>
  </si>
  <si>
    <t>520 09 00</t>
  </si>
  <si>
    <t>Внедрение ииновационных образовательных программ</t>
  </si>
  <si>
    <t>621</t>
  </si>
  <si>
    <t>Организационно-воспитательная работа с молодежью</t>
  </si>
  <si>
    <t>431 00 00</t>
  </si>
  <si>
    <t>Проведение мероприятий для детей и молодежи</t>
  </si>
  <si>
    <t>431 01 00</t>
  </si>
  <si>
    <t>431 01 99</t>
  </si>
  <si>
    <t>431 99 00</t>
  </si>
  <si>
    <t xml:space="preserve">Мероприятия по проведению оздоровительной кампании детей </t>
  </si>
  <si>
    <t xml:space="preserve">Оздоровление детей </t>
  </si>
  <si>
    <t>432 02 00</t>
  </si>
  <si>
    <t>Межбюджетные трансферты</t>
  </si>
  <si>
    <t>521 00 00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</si>
  <si>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</si>
  <si>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521 01 00</t>
  </si>
  <si>
    <t>Организация и осуществление мероприятий по работе с детьми и молодежью за счет субсидий из областного бюджета</t>
  </si>
  <si>
    <t>521 01 39</t>
  </si>
  <si>
    <t>Мероприятия по работе с детьми и молодежью</t>
  </si>
  <si>
    <t>917</t>
  </si>
  <si>
    <t>Другие вопросы в области образования</t>
  </si>
  <si>
    <t>Государственная поддержка в сфере образования</t>
  </si>
  <si>
    <t>436 01 00</t>
  </si>
  <si>
    <t>Расходы за счет субвенций из областного бюджета на государственную поддержку в сфере образования</t>
  </si>
  <si>
    <t>436 01 73</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</si>
  <si>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</si>
  <si>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</si>
  <si>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</si>
  <si>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452 99 08</t>
  </si>
  <si>
    <t>452 99 68</t>
  </si>
  <si>
    <t>Доходы бюджета Миасского  городского округа 
по кодам видов доходов, подвидов доходов, 
классификации операций сектора государственного управления, 
относящихся к доходам бюджета,  за 2009 год</t>
  </si>
  <si>
    <t>к решению Собрания депутатов</t>
  </si>
  <si>
    <t>Миасского городского округа</t>
  </si>
  <si>
    <t xml:space="preserve"> Налог на доходы физических лиц с доходов, полученных в виде дивидендов от долевого участия в деятельности организаций</t>
  </si>
  <si>
    <t xml:space="preserve"> Налог на доходы физических лиц, полученных физическими лицами, не являющимися налоговыми резидентами РФ в виде дивидендов от долевого участия в деятельности организаций</t>
  </si>
  <si>
    <t xml:space="preserve">Налог на доходы физических лиц с доходов, облагаемых по налоговой ставке, установленной п.1 ст.224 НК РФ, за исключением доходов, полученных физическими лицами, зарегистрированными в качестве индивидуальных предпринимателей, частных нотариусов и других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</si>
  <si>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t>
  </si>
  <si>
    <t xml:space="preserve"> = 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</si>
  <si>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т.ч. казенных)</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</si>
  <si>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</si>
  <si>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Государственная пошлина за государственную регистрацию транспортных средств и иных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 средством</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</si>
  <si>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</si>
  <si>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r>
      <t xml:space="preserve">Доходы, получаемые в виде арендной платы за земельные участки, государственная собственность на которые </t>
    </r>
    <r>
      <rPr>
        <u val="single"/>
        <sz val="8"/>
        <rFont val="Arial Cyr"/>
        <family val="0"/>
      </rPr>
      <t>не разграничена</t>
    </r>
    <r>
      <rPr>
        <sz val="8"/>
        <rFont val="Arial Cyr"/>
        <family val="0"/>
      </rPr>
      <t xml:space="preserve"> и которые расположены в границах городских округов, а также средства от продажи права на заключение договоров аренды указанных земельных участков,</t>
    </r>
  </si>
  <si>
    <t xml:space="preserve">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</si>
  <si>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(сумма платежа)</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</si>
  <si>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(пени, проценты)</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</si>
  <si>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(взыскания)</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</si>
  <si>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(прочие поступления)</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</si>
  <si>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(сумма платежа)</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</si>
  <si>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(пени, проценты)</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</si>
  <si>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(взыскания)</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</si>
  <si>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(прочие поступления)</t>
  </si>
  <si>
    <t>Ремонт и противопожарные мероприятия в учреждениях культуры муниципальных образований за счет субсидий из областного бюджета</t>
  </si>
  <si>
    <t>902</t>
  </si>
  <si>
    <t>440 99 68</t>
  </si>
  <si>
    <t>Музей и постоянные выставки</t>
  </si>
  <si>
    <t>441 00 00</t>
  </si>
  <si>
    <t>441 99 00</t>
  </si>
  <si>
    <t>441 99 68</t>
  </si>
  <si>
    <t>Библиотеки</t>
  </si>
  <si>
    <t>442 00 00</t>
  </si>
  <si>
    <t>442 99 00</t>
  </si>
  <si>
    <t>442 99 68</t>
  </si>
  <si>
    <t>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субсидий из областного бюджета</t>
  </si>
  <si>
    <t>442 99 70</t>
  </si>
  <si>
    <t>Комплектование книжных фондов библиотек муниципальных образований</t>
  </si>
  <si>
    <t>450 06 00</t>
  </si>
  <si>
    <t>Комплектование книжных фондов библиотек муниципальных образований и государственных библиотек городов Москвы и Санкт-Петербурга</t>
  </si>
  <si>
    <t>450 06 03</t>
  </si>
  <si>
    <t>Другие вопросы в области культуры, кинематографии и средств массовой информации</t>
  </si>
  <si>
    <t>Мероприятия по поддержке и развитию культуры, искусства, кинематографии средств массовой информации и архивного дела</t>
  </si>
  <si>
    <t>023</t>
  </si>
  <si>
    <t xml:space="preserve">Программа "Дети Миасского городского округа на 2006-2008гг." Подпрограмма "Одаренные дети" </t>
  </si>
  <si>
    <t>795 00 51</t>
  </si>
  <si>
    <t xml:space="preserve">Программа обеспечения противопожарной защиты учреждений культуры и муниципальных учреждений дополнительного образования детей "Детские школы искусств на 2006-2008гг. "Безопасность учреждений  культуры" </t>
  </si>
  <si>
    <t>795 00 52</t>
  </si>
  <si>
    <t>Программа "Культура. Искусство. Творчество." на 2009-2012гг.</t>
  </si>
  <si>
    <t>795 00 53</t>
  </si>
  <si>
    <t>Проведение детей для детей и молодежи</t>
  </si>
  <si>
    <t>447</t>
  </si>
  <si>
    <t>Здравоохранение, физическая культура и спорт</t>
  </si>
  <si>
    <t>Стационарная медицинская помощь</t>
  </si>
  <si>
    <t>Учреждения, обеспечивающие предоставление услуг в сфере здравоохранения</t>
  </si>
  <si>
    <t>469 00 00</t>
  </si>
  <si>
    <t>469 99 00</t>
  </si>
  <si>
    <t>Больницы, клиники, госпитали,МСЧ</t>
  </si>
  <si>
    <t>470 00 00</t>
  </si>
  <si>
    <t>470 99 00</t>
  </si>
  <si>
    <t xml:space="preserve">09 </t>
  </si>
  <si>
    <t>Ремонт и противопожарные мероприятия в учреждениях здравоохранения муниципальных образований за счет субсидий из областного бюджета</t>
  </si>
  <si>
    <t>903</t>
  </si>
  <si>
    <t>470 99 68</t>
  </si>
  <si>
    <t>Амбулаторная помощь</t>
  </si>
  <si>
    <t>Поликлиники, амбулатории, диагностические центры</t>
  </si>
  <si>
    <t>471 00 00</t>
  </si>
  <si>
    <t>471 99 00</t>
  </si>
  <si>
    <t>905</t>
  </si>
  <si>
    <t>Фельдшерско-акушерские пункты</t>
  </si>
  <si>
    <t>478 00 00</t>
  </si>
  <si>
    <t>478 99 00</t>
  </si>
  <si>
    <t>Денежные выплаты медицинскому персоналу фельдшерско-акушерских пунктов, врачам, фельдшерам и медицинским сестрам cкорой медицинской помощи</t>
  </si>
  <si>
    <t xml:space="preserve">520 18 00 </t>
  </si>
  <si>
    <t>Медицинская помощь в дневных стационарах всех типов</t>
  </si>
  <si>
    <t>Больницы, клиники, госпитали, медико-санитарные части</t>
  </si>
  <si>
    <t>Скорая медицинская помощь</t>
  </si>
  <si>
    <t>Станции скорой и неотложной помощи</t>
  </si>
  <si>
    <t>477 00 00</t>
  </si>
  <si>
    <t>477 99 00</t>
  </si>
  <si>
    <t>Физическая культура и спорт</t>
  </si>
  <si>
    <t xml:space="preserve">Физкультурно-оздоровительная работа и спортивные  мероприятия </t>
  </si>
  <si>
    <t>Программа "Развитие физической культуры и спорта в Миасском городском округе в 2007-2010гг"</t>
  </si>
  <si>
    <t>795 00 35</t>
  </si>
  <si>
    <t>Другие вопросы в области здравоохранения, физической культуры и спорта</t>
  </si>
  <si>
    <t>Областная целевая программа реализации Национального проекта "Здоровье" в Челябинской области</t>
  </si>
  <si>
    <t>522 18 00</t>
  </si>
  <si>
    <t xml:space="preserve">Нац.проект "Здоровье" на территории  Миасского городского округа на 2006-2010 гг. </t>
  </si>
  <si>
    <t>795 18 31</t>
  </si>
  <si>
    <t>Программа "Противопожарная безопасность учреждений здравоохранения Миасского городского округа на 2005-2008гг."</t>
  </si>
  <si>
    <t>795 00 32</t>
  </si>
  <si>
    <t>Программа "Профилактика клещевого энцефалита в Миасском городском округе</t>
  </si>
  <si>
    <t>795 00 33</t>
  </si>
  <si>
    <t>Целевая программа "Улучшение качества жизни больных бронхиальной астмой" на 2006-2010 годы</t>
  </si>
  <si>
    <t>795 00 34</t>
  </si>
  <si>
    <t>Программа "Питание детей второго года жизни в Миасском городском округе на 2008-2010гг"</t>
  </si>
  <si>
    <t>795 00 36</t>
  </si>
  <si>
    <t>Программа "Организация круглосуточной, неотложной эндоскопической, отоларингологической, офтальмологической, урологической неврологической помощи в МГО на 2008 год"</t>
  </si>
  <si>
    <t>795 00 62</t>
  </si>
  <si>
    <t>Социальная политика</t>
  </si>
  <si>
    <t>00</t>
  </si>
  <si>
    <t>Пенсионное обеспечение</t>
  </si>
  <si>
    <t>Доплаты к пенсиям, дополнительное пенсионное обеспечение</t>
  </si>
  <si>
    <t>491 00 00</t>
  </si>
  <si>
    <t>Доплаты к пенсиям государственных служащих субъектов Российской Федерации и муниципальных служащих</t>
  </si>
  <si>
    <t>491 01 00</t>
  </si>
  <si>
    <t>Социальное обслуживание населения</t>
  </si>
  <si>
    <t>Учреждения социального обслуживания населения</t>
  </si>
  <si>
    <t>507 00 00</t>
  </si>
  <si>
    <t>Расходы за счет субвенций из областного бюджета на содержание учреждений социального обслуживания населения</t>
  </si>
  <si>
    <t>507 99 00</t>
  </si>
  <si>
    <t>Расходы за счет бюджета округа на содержание учреждений социального обслуживания населения</t>
  </si>
  <si>
    <t>507 99 01</t>
  </si>
  <si>
    <t>508 00 00</t>
  </si>
  <si>
    <t>508 99 00</t>
  </si>
  <si>
    <t>Расходы за счет субвенции из областного бюджета на содержание учреждений социального обслуживания населения</t>
  </si>
  <si>
    <t>508 99 80</t>
  </si>
  <si>
    <t>Социальное обеспечение населения</t>
  </si>
  <si>
    <t>Федеральная целевая программа "Жилище"  на 2002-2010 годы (второй этап)</t>
  </si>
  <si>
    <t>Подпрограмма "Обеспечение жильем молодых семей"</t>
  </si>
  <si>
    <t>104 02 00</t>
  </si>
  <si>
    <t>Субсидии на обеспечение жильем</t>
  </si>
  <si>
    <t>501</t>
  </si>
  <si>
    <t>Социальная помощь</t>
  </si>
  <si>
    <t>505 00 00</t>
  </si>
  <si>
    <t>Расходы за счет субвенции из областного бюджета на обеспечение мер социальной поддержки граждан, работающих в сельских населенных пунктах и рабочих поселках Челябинской области</t>
  </si>
  <si>
    <t>505 00 53</t>
  </si>
  <si>
    <t>Расходы за счет субвенции из областного бюджета на предоставление дополнительных мер социальной поддержки отдельным категориям граждан</t>
  </si>
  <si>
    <t>505  00 54</t>
  </si>
  <si>
    <t>Расходы за счет субвенций из областного бюджета на обеспечение мер социальной поддержки граждан, имеющих звание "Ветеран труда Челябинской области"</t>
  </si>
  <si>
    <t>505 00 60</t>
  </si>
  <si>
    <t>Расходы за счет субвенций из областного бюджета на обеспечение мер социальной поддержки граждан, имеющих звание "Ветеран труда Челябинской области"(ежеквартальные денежные выплаты на оплату проезда)</t>
  </si>
  <si>
    <t>505 00 63</t>
  </si>
  <si>
    <t>Расходы за счет субвенций из областного бюджета на обеспечение мер социальной поддержки граждан, имеющих звание "Ветеран труда Челябинской области"(другие меры социальной поддержки граждан, имеющих звание "Ветеран труда Челябинской области")</t>
  </si>
  <si>
    <t>505 00 64</t>
  </si>
  <si>
    <t>Расходы за счет субвенции из областного бюджета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</si>
  <si>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505 22 05</t>
  </si>
  <si>
    <t>Обеспечение мер социальной поддержки для лиц, награжденных знаком "Почетный донор СССР", "Почетный донор России"</t>
  </si>
  <si>
    <t>505 29 01</t>
  </si>
  <si>
    <t>Расходы за счет субвенции из областного бюджета на обеспечение мер социальной поддержки граждан, имеющих звание "Ветерано труда Челябинской области" (ежеквартальные денежные выплаты на оплату проезда)</t>
  </si>
  <si>
    <t>505 33 31</t>
  </si>
  <si>
    <t>Расходы за счет субвенции из областного бюджета на обеспечение мер социальной поддержки граждан, имеющих звание "Ветерано труда Челябинской области" (другие меры социальной поддержки граждан, имеющих звание "Ветеран труда Челябинской области"))</t>
  </si>
  <si>
    <t>505 33 32</t>
  </si>
  <si>
    <t>Расходы за счет субвенции из областного бюджета на обеспечение мер социальной поддержки граждан, работающих  в сельских населенных пунктах и рабочих поселках Челябинской области</t>
  </si>
  <si>
    <t>505 33 53</t>
  </si>
  <si>
    <t>505 33 54</t>
  </si>
  <si>
    <t>Меры социальной поддержки граждан</t>
  </si>
  <si>
    <t>505 33 65</t>
  </si>
  <si>
    <t>Расходы за счет субвенции из областного бюджета на выплату единовременного пособия при рождении ребенка</t>
  </si>
  <si>
    <t>505 33 72</t>
  </si>
  <si>
    <t>Обеспечение жилыми помещениями дете-сирот, детей, оставшихся без попечения родителей, а также детей, находящихся под опекой (попечительством), не имеющих закрепленного жилого помещения</t>
  </si>
  <si>
    <t>505 36 00</t>
  </si>
  <si>
    <t>Расходы за счет субвенции из областного бюджета на обеспечение детей-сирот, детей, оставшихся без попечения родителей, лиц из числа детей, находящихся под опекой (попечительством), жилой площадью</t>
  </si>
  <si>
    <t>505 36 94</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</si>
  <si>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</si>
  <si>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505 45 00</t>
  </si>
  <si>
    <t>Оплата жилищно-коммунальных услуг отдельным категориям граждан</t>
  </si>
  <si>
    <t>505 46 00</t>
  </si>
  <si>
    <t>Расходы за счет субвенции из областного бюджета на обеспечение мер социальной поддержки реабилитированных лиц и лиц, признанных пострадавшими от политических репрессий (Закон Челябинской области "О мерах социальной поддержки жертв политических репрессий в ЧО (другие меры социальной поддержки лиц и лиц, признанных пострадавшими от политических репрессий в ЧО)</t>
  </si>
  <si>
    <t>505 47 02</t>
  </si>
  <si>
    <t>Расходы за счет субвенции из областного бюджета на предоставление гражданам субсидий на оплату жилого помещения и коммунальных услуг</t>
  </si>
  <si>
    <t>505 48 00</t>
  </si>
  <si>
    <t>Реализация мер социальной поддержки отдельных категорий граждан</t>
  </si>
  <si>
    <t>505 55 00</t>
  </si>
  <si>
    <t xml:space="preserve">Расходы за счет субвенции из областного бюджета на ежемесячное пособие на ребенка </t>
  </si>
  <si>
    <t>505 55 10</t>
  </si>
  <si>
    <t>Расходы за счет субвенции из областного бюджета на обеспечение мер  социальной поддержки ветеранов труда и труженников тыла (Закон Челябинской области "О мерах социальной поддержки ветеранов Челябинской области)</t>
  </si>
  <si>
    <t>505 55 20</t>
  </si>
  <si>
    <t>Расходы за счет субвенции из областного бюджета на обеспечение мер социальной поддержки ветеранов труда и тружеников тыла (Закон Челябинской области "О мерах социальной поддержки ветеранов Челябинской области" (ежеквартальные денежные выплаты на оплату проезда)</t>
  </si>
  <si>
    <t>505 55 21</t>
  </si>
  <si>
    <t>Расходы за счет субвенции из областного бюджета на обеспечение мер социальной поддержки ветеранов труда и тружеников тыла (Закон Челябинской области "О мерах социальной поддержки ветеранов Челябинской области" (другие меры социальной поддержки ветеранов труда и труженников тыла)</t>
  </si>
  <si>
    <t>505 55 22</t>
  </si>
  <si>
    <t>Расходы за счет субвенции из областного бюджета на обеспечение мер  социальной поддержки ветеранов труда и труженников тыла (Закон Челябинской области "О мерах социальной поддержки ветеранов Челябинской области) (ежеквартальные денежные выплаты на оплату проезда)</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</si>
  <si>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 (сумма платежа)</t>
  </si>
  <si>
    <t>000.1.01.02.02.1.01.1.000.1.1.0</t>
  </si>
  <si>
    <t>000.1.01.02.02.1.01.2.000.1.1.0</t>
  </si>
  <si>
    <t>000.1.01.02.02.1.01.3.000.1.1.0</t>
  </si>
  <si>
    <t>000.1.01.02.02.1.01.4.000.1.1.0</t>
  </si>
  <si>
    <t>000.1.01.02.02.2.01.1.000.1.1.0</t>
  </si>
  <si>
    <t>000.1.01.02.02.2.01.2.000.1.1.0</t>
  </si>
  <si>
    <t>000.1.01.02.02.2.01.3.000.1.1.0</t>
  </si>
  <si>
    <t>000.1.01.02.02.2.01.4.000.1.1.0</t>
  </si>
  <si>
    <t>000.1.01.02.03.0.01.1.000.1.1.0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</si>
  <si>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</si>
  <si>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000.1.01.02.03.0.01.2.000.1.1.0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</si>
  <si>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</si>
  <si>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000.1.01.02.03.0.01.4.000.1.1.0</t>
  </si>
  <si>
    <t>Налог на доходы физических лиц с доходов, полученных физическими лицами, не являющимися налоговыми резидентами Российской Федерации (прочие поступления)</t>
  </si>
  <si>
    <t>000.1.01.02.04.0.01.1.000.1.1.0</t>
  </si>
  <si>
    <t>000.1.01.02.04.0.01.2.000.1.1.0</t>
  </si>
  <si>
    <t>000.1.01.02.05.0.01.1.000.1.1.0</t>
  </si>
  <si>
    <t>000.1.01.02.06.0.01.1.000.1.1.0</t>
  </si>
  <si>
    <t>000.1.05.01.01.0.01.1.000.1.1.0</t>
  </si>
  <si>
    <t>Налог, взимаемый с налогоплательщиков, выбравших в качестве объекта налогообложения доходы (сумма платежа)</t>
  </si>
  <si>
    <t>000.1.05.01.01.0.01.2.000.1.1.0</t>
  </si>
  <si>
    <t>Налог, взимаемый с налогоплательщиков, выбравших в качестве объекта налогообложения доходы (пени, проценты)</t>
  </si>
  <si>
    <t>000.1.05.01.01.0.01.3.000.1.1.0</t>
  </si>
  <si>
    <t>Налог, взимаемый с налогоплательщиков, выбравших в качестве объекта налогообложения доходы (взыскания)</t>
  </si>
  <si>
    <t>000.1.05.01.01.0.01.4.000.1.1.0</t>
  </si>
  <si>
    <t>Налог, взимаемый с налогоплательщиков, выбравших в качестве объекта налогообложения доходы (прочие поступления)</t>
  </si>
  <si>
    <t>000.1.05.01.02.0.01.1.000.1.1.0</t>
  </si>
  <si>
    <t>Налог, взимаемый с налогоплательщиков, выбравших в качестве объекта налогообложения доходы, уменьшенные на величину расходов (сумма платежа)</t>
  </si>
  <si>
    <t>000.1.05.01.02.0.01.2.000.1.1.0</t>
  </si>
  <si>
    <t>Налог, взимаемый с налогоплательщиков, выбравших в качестве объекта налогообложения доходы, уменьшенные на величину расходов (пени, проценты)</t>
  </si>
  <si>
    <t>000.1.05.01.02.0.01.3.000.1.1.0</t>
  </si>
  <si>
    <t>Налог, взимаемый с налогоплательщиков, выбравших в качестве объекта налогообложения доходы, уменьшенные на величину расходов (взыскания)</t>
  </si>
  <si>
    <t>000.1.05.01.02.0.01.4.000.1.1.0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</si>
  <si>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</si>
  <si>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000.1.05.02.00.0.02.1.000.1.1.0</t>
  </si>
  <si>
    <t>Единый налог на вмененный доход для отдельных видов деятельности (сумма платежа)</t>
  </si>
  <si>
    <t>000.1.05.02.00.0.02.2.000.1.1.0</t>
  </si>
  <si>
    <t>Единый налог на вмененный доход для отдельных видов деятельности (пени, проценты)</t>
  </si>
  <si>
    <t>000.1.05.02.00.0.02.3.000.1.1.0</t>
  </si>
  <si>
    <t>Единый налог на вмененный доход для отдельных видов деятельности (взыскания)</t>
  </si>
  <si>
    <t>000.1.05.02.00.0.02.4.000.1.1.0</t>
  </si>
  <si>
    <t>Единый налог на вмененный доход для отдельных видов деятельности (прочие поступления)</t>
  </si>
  <si>
    <t>000.1.05.03.00.0.01.1.000.1.1.0</t>
  </si>
  <si>
    <t>Единый сельскохозяйственный налог (сумма платежа)</t>
  </si>
  <si>
    <t>000.1.05.03.00.0.01.2.000.1.1.0</t>
  </si>
  <si>
    <t>Единый сельскохозяйственный налог (пени, проценты)</t>
  </si>
  <si>
    <t>000.1.05.03.00.0.01.3.000.1.1.0</t>
  </si>
  <si>
    <t>Единый сельскохозяйственный налог (взыскания)</t>
  </si>
  <si>
    <t>000.1.06.01.02.0.04.1.000.1.1.0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</si>
  <si>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</si>
  <si>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000.1.06.01.02.0.04.2.000.1.1.0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</si>
  <si>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</si>
  <si>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000.1.06.01.02.0.04.3.000.1.1.0</t>
  </si>
  <si>
    <t>Налог на имущество физических лиц, взимаемый по ставкам, применяемым к объектам налогообложения, расположенным в границах городских округов (взыскания)</t>
  </si>
  <si>
    <t>000.1.06.01.02.0.04.4.000.1.1.0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</si>
  <si>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</si>
  <si>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000.1.06.04.01.1.02.1.000.1.1.0</t>
  </si>
  <si>
    <t>Транспортный налог с организаций (сумма платежа)</t>
  </si>
  <si>
    <t>000.1.06.04.01.1.02.2.000.1.1.0</t>
  </si>
  <si>
    <t>Транспортный налог с организаций (пени, проценты)</t>
  </si>
  <si>
    <t>000.1.06.04.01.1.02.3.000.1.1.0</t>
  </si>
  <si>
    <t>Транспортный налог с организаций (взыскания)</t>
  </si>
  <si>
    <t>000.1.06.04.01.1.02.4.000.1.1.0</t>
  </si>
  <si>
    <t>Транспортный налог с организаций (прочие поступления)</t>
  </si>
  <si>
    <t>000.1.06.04.01.2.02.1.000.1.1.0</t>
  </si>
  <si>
    <t>Транспортный налог с физических лиц (сумма платежа)</t>
  </si>
  <si>
    <t>000.1.06.04.01.2.02.2.000.1.1.0</t>
  </si>
  <si>
    <t>Транспортный налог с физических лиц (пени, проценты)</t>
  </si>
  <si>
    <t>000.1.06.04.01.2.02.3.000.1.1.0</t>
  </si>
  <si>
    <t>Транспортный налог с физических лиц (взыскания)</t>
  </si>
  <si>
    <t>000.1.06.04.01.2.02.4.000.1.1.0</t>
  </si>
  <si>
    <t>Транспортный налог с физических лиц (прочие поступления)</t>
  </si>
  <si>
    <t>000.1.06.05.00.0.02.1.000.1.1.0</t>
  </si>
  <si>
    <t>Налог на игорный бизнес (сумма платежа)</t>
  </si>
  <si>
    <t>000.1.06.05.00.0.02.2.000.1.1.0</t>
  </si>
  <si>
    <t>Налог на игорный бизнес (пени, проценты)</t>
  </si>
  <si>
    <t>000.1.06.06.01.2.04.1.000.1.1.0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</si>
  <si>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</si>
  <si>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000.1.06.06.01.2.04.2.000.1.1.0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</si>
  <si>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</si>
  <si>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000.1.06.06.01.2.04.3.000.1.1.0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</si>
  <si>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</si>
  <si>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000.1.06.06.01.2.04.4.000.1.1.0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</si>
  <si>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</si>
  <si>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000.1.06.06.02.2.04.1.000.1.1.0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</si>
  <si>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</si>
  <si>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000.1.06.06.02.2.04.2.000.1.1.0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</si>
  <si>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</si>
  <si>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000.1.06.06.02.2.04.3.000.1.1.0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</si>
  <si>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</si>
  <si>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000.1.06.06.02.2.04.4.000.1.1.0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</si>
  <si>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</si>
  <si>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000.1.07.01.02.0.01.1.000.1.1.0</t>
  </si>
  <si>
    <t>Налог на добычу общераспространенных полезных ископаемых (сумма платежа)</t>
  </si>
  <si>
    <t>000.1.07.01.02.0.01.2.000.1.1.0</t>
  </si>
  <si>
    <t>Налог на добычу общераспространенных полезных ископаемых (пени, проценты)</t>
  </si>
  <si>
    <t>000.1.07.01.02.0.01.3.000.1.1.0</t>
  </si>
  <si>
    <t>Налог на добычу общераспространенных полезных ископаемых (взыскания)</t>
  </si>
  <si>
    <t>000.1.07.01.03.0.01.1.000.1.1.0</t>
  </si>
  <si>
    <t>Налог на добычу прочих полезных ископаемых (за исключением полезных ископаемых в виде природных алмазов) (сумма платежа)</t>
  </si>
  <si>
    <t>000.1.07.01.03.0.01.2.000.1.1.0</t>
  </si>
  <si>
    <t>Налог на добычу прочих полезных ископаемых (за исключением полезных ископаемых в виде природных алмазов) (пени, проценты)</t>
  </si>
  <si>
    <t>000.1.08.03.01.0.01.1.000.1.1.0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</si>
  <si>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 (сумма платежа)</t>
  </si>
  <si>
    <t>000.1.08.03.01.0.01.4.000.1.1.0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</si>
  <si>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 (прочие поступления)</t>
  </si>
  <si>
    <t>000.1.08.07.14.0.01.1.000.1.1.0</t>
  </si>
  <si>
    <t>000.1.08.07.14.0.01.4.000.1.1.0</t>
  </si>
  <si>
    <t>000.1.08.07.15.0.01.1.000.1.1.0</t>
  </si>
  <si>
    <t>Государственная пошлина за выдачу разрешения на установку рекламной конструкции (сумма платежа)</t>
  </si>
  <si>
    <t>000.1.08.07.17.3.01.1.000.1.1.0</t>
  </si>
  <si>
    <t>000.1.08.07.17.3.01.4.000.1.1.0</t>
  </si>
  <si>
    <t>000.1.09.01.02.0.04.1.000.1.1.0</t>
  </si>
  <si>
    <t>Налог на прибыль организаций, зачислявшийся до 1 января 2005 года в местные бюджеты, мобилизуемый на территориях городских округов (сумма платежа)</t>
  </si>
  <si>
    <t>000.1.09.01.02.0.04.2.000.1.1.0</t>
  </si>
  <si>
    <t>Налог на прибыль организаций, зачислявшийся до 1 января 2005 года в местные бюджеты, мобилизуемый на территориях городских округов (пени, проценты)</t>
  </si>
  <si>
    <t>000.1.09.01.02.0.04.3.000.1.1.0</t>
  </si>
  <si>
    <t>Налог на прибыль организаций, зачислявшийся до 1 января 2005 года в местные бюджеты, мобилизуемый на территориях городских округов (взыскания)</t>
  </si>
  <si>
    <t>000.1.09.01.02.0.04.4.000.1.1.0</t>
  </si>
  <si>
    <t>Налог на прибыль организаций, зачислявшийся до 1 января 2005 года в местные бюджеты, мобилизуемый на территориях городских округов (прочие поступления)</t>
  </si>
  <si>
    <t>000.1.09.03.02.3.01.2.000.1.1.0</t>
  </si>
  <si>
    <t>Платежи за добычу подземных вод (пени, проценты)</t>
  </si>
  <si>
    <t>000.1.09.03.02.3.01.4.000.1.1.0</t>
  </si>
  <si>
    <t>Платежи за добычу подземных вод (прочие поступления)</t>
  </si>
  <si>
    <t>000.1.09.03.03.0.04.1.000.1.1.0</t>
  </si>
  <si>
    <t>Платежи за пользование недрами в целях, не связанных с добычей полезных ископаемых, мобилизуемые на территориях городских округов (сумма платежа)</t>
  </si>
  <si>
    <t>000.1.09.04.05.0.04.1.000.1.1.0</t>
  </si>
  <si>
    <t>Земельный налог (по обязательствам, возникшим до 1 января 2006 года), мобилизуемый на территориях городских округов (сумма платежа)</t>
  </si>
  <si>
    <t>000.1.09.04.05.0.04.2.000.1.1.0</t>
  </si>
  <si>
    <t>Земельный налог (по обязательствам, возникшим до 1 января 2006 года), мобилизуемый на территориях городских округов (пени, проценты)</t>
  </si>
  <si>
    <t>000.1.09.04.05.0.04.3.000.1.1.0</t>
  </si>
  <si>
    <t>Земельный налог (по обязательствам, возникшим до 1 января 2006 года), мобилизуемый на территориях городских округов (взыскания)</t>
  </si>
  <si>
    <t>000.1.09.06.01.0.02.1.000.1.1.0</t>
  </si>
  <si>
    <t>Налог с продаж (сумма платежа)</t>
  </si>
  <si>
    <t>000.1.09.06.01.0.02.2.000.1.1.0</t>
  </si>
  <si>
    <t>Налог с продаж (пени, проценты)</t>
  </si>
  <si>
    <t>000.1.09.06.01.0.02.3.000.1.1.0</t>
  </si>
  <si>
    <t>Налог с продаж (взыскания)</t>
  </si>
  <si>
    <t>000.1.09.06.02.0.02.1.000.1.1.0</t>
  </si>
  <si>
    <t>Сбор на нужды образовательных учреждений, взимаемый с юридических лиц (сумма платежа)</t>
  </si>
  <si>
    <t>000.1.09.06.02.0.02.2.000.1.1.0</t>
  </si>
  <si>
    <t>Сбор на нужды образовательных учреждений, взимаемый с юридических лиц (пени, проценты)</t>
  </si>
  <si>
    <t>000.1.09.07.01.0.04.1.000.1.1.0</t>
  </si>
  <si>
    <t>Налог на рекламу, мобилизуемый на территориях городских округов (сумма платежа)</t>
  </si>
  <si>
    <t>000.1.09.07.01.0.04.2.000.1.1.0</t>
  </si>
  <si>
    <t>Налог на рекламу, мобилизуемый на территориях городских округов (пени, проценты)</t>
  </si>
  <si>
    <t>000.1.09.07.01.0.04.3.000.1.1.0</t>
  </si>
  <si>
    <t>Налог на рекламу, мобилизуемый на территориях городских округов (взыскания)</t>
  </si>
  <si>
    <t>000.1.09.07.01.0.04.4.000.1.1.0</t>
  </si>
  <si>
    <t>Налог на рекламу, мобилизуемый на территориях городских округов (прочие поступления)</t>
  </si>
  <si>
    <t>000.1.09.07.03.0.04.1.000.1.1.0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</si>
  <si>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</si>
  <si>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000.1.09.07.03.0.04.2.000.1.1.0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</si>
  <si>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</si>
  <si>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000.1.09.07.03.0.04.3.000.1.1.0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</si>
  <si>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</si>
  <si>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000.1.09.07.03.0.04.4.000.1.1.0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</si>
  <si>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(прочие поступления)</t>
  </si>
  <si>
    <t>000.1.09.07.05.0.04.1.000.1.1.0</t>
  </si>
  <si>
    <t>Прочие местные налоги и сборы, мобилизуемые на территориях городских округов (сумма платежа)</t>
  </si>
  <si>
    <t>000.1.09.07.05.0.04.2.000.1.1.0</t>
  </si>
  <si>
    <t>Прочие местные налоги и сборы, мобилизуемые на территориях городских округов (пени, проценты)</t>
  </si>
  <si>
    <t>000.1.11.03.04.0.04.0.000.1.2.0</t>
  </si>
  <si>
    <t>000.1.11.05.01.0.04.0.000.1.2.0</t>
  </si>
  <si>
    <t>000.1.11.05.02.4.04.0.000.1.2.0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</si>
  <si>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</si>
  <si>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000.1.11.07.01.4.04.0.000.1.2.0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</si>
  <si>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</si>
  <si>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000.1.11.09.03.4.04.0.000.1.2.0</t>
  </si>
  <si>
    <t>000.1.11.09.04.4.04.0.000.1.2.0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</si>
  <si>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</si>
  <si>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</si>
  <si>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Прочие доходы от оказания платных услуг получателями средств бюджетов городских округов и компенсации затрат бюджетов городских округов</t>
  </si>
  <si>
    <t>000.1.14.02.03.3.04.0.000.4.1.0</t>
  </si>
  <si>
    <t>000.1.14.02.03.3.04.0.000.4.4.0</t>
  </si>
  <si>
    <t>000.1.14.06.01.2.04.0.000.4.3.0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</si>
  <si>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</si>
  <si>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000.1.14.06.02.4.04.0.000.4.3.0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</si>
  <si>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</si>
  <si>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000.1.16.03.01.0.01.0.000.1.4.0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</si>
  <si>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</si>
  <si>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</si>
  <si>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</si>
  <si>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000.1.16.06.00.0.01.0.000.1.4.0</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</si>
  <si>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t>
  </si>
  <si>
    <t>000.1.16.08.00.0.01.0.000.1.4.0</t>
  </si>
  <si>
    <t>000.1.16.21.04.0.04.0.000.1.4.0</t>
  </si>
  <si>
    <t>000.1.16.23.04.0.04.0.000.1.4.0</t>
  </si>
  <si>
    <t>000.1.16.25.01.0.01.0.000.1.4.0</t>
  </si>
  <si>
    <t>000.1.16.25.02.0.01.0.000.1.4.0</t>
  </si>
  <si>
    <t>000.1.16.25.03.0.01.0.000.1.4.0</t>
  </si>
  <si>
    <t>000.1.16.25.05.0.01.0.000.1.4.0</t>
  </si>
  <si>
    <t>000.1.16.25.06.0.01.0.000.1.4.0</t>
  </si>
  <si>
    <t>000.1.16.28.00.0.01.0.000.1.4.0</t>
  </si>
  <si>
    <t>505 55 23</t>
  </si>
  <si>
    <t>Расходы за счет субвенции из областного бюджета на обеспечение мер  социальной поддержки ветеранов труда и труженников тыла (Закон Челябинской области "О мерах социальной поддержки ветеранов Челябинской области) (другие меры социальной поддержки ветеранов труда и тружеников тыла))</t>
  </si>
  <si>
    <t>505 55 24</t>
  </si>
  <si>
    <t>Расходы за счет субвенции из областного бюджета на обеспечение мер социальной поддержки реабилитированных лиц и лиц, признанных пострадавшими от политических репрессий</t>
  </si>
  <si>
    <t>505 55 30</t>
  </si>
  <si>
    <t>Расходы за счет субвенции из областного бюджета на обеспечение мер социальной поддержки реабилитированных лиц и лиц, признанных пострадавшими от политических репрессий (Закон Челябинской области "О мерах социальной поддержки жертв политических репрессий в Челябинской области (ежеквартальные выплаты на оплату проезда))</t>
  </si>
  <si>
    <t>505 55 33</t>
  </si>
  <si>
    <t>Расходы за счет субвенции из областного бюджета на обеспечение мер социальной поддержки реабилитированных лиц и лиц, признанных пострадавшими от политических репрессий (Закон Челябинской области "О мерах социальной поддержки жертв политических репрессий в Челябинской области (другие меры социальной поддержки реабилитированных лиц и лиц, признаных пострадавшими от политических репрессий в Чел.области))</t>
  </si>
  <si>
    <t>505 55 34</t>
  </si>
  <si>
    <t>505 99 72</t>
  </si>
  <si>
    <t>Налог на доходы физических лиц с доходов, полученных физическими лицами, не являющимися налоговыми резидентами РФ</t>
  </si>
  <si>
    <t>Программа "Профилактика противодействия незаконному обороту и употреблению наркотических средств"</t>
  </si>
  <si>
    <t>795 00 41</t>
  </si>
  <si>
    <t>Программа развития образования на 2007-2010гг.</t>
  </si>
  <si>
    <t>795 00 42</t>
  </si>
  <si>
    <t>Программа "Безопасность образовательного учреждения МГО на 2007-2009 " Ремонт и противопожарные мероприятия в образовательных учреждениях муниципальных образований за счет средств местного бюджета</t>
  </si>
  <si>
    <t>795 00 43</t>
  </si>
  <si>
    <t xml:space="preserve">НП "Образование" в МГО на 2009-2010гг. </t>
  </si>
  <si>
    <t>795 17 44</t>
  </si>
  <si>
    <t>Культура, кинематография, средства массовой информации</t>
  </si>
  <si>
    <t xml:space="preserve">Культура </t>
  </si>
  <si>
    <t>Источники внутреннего финансирования дефицита бюджета Миасского городского округа по кодам групп, подгрупп, статей, видов источников, классификации операций сектора государственного управления, относящихся к источникам финансирования дефицитов бюджетов, в 2009 году</t>
  </si>
  <si>
    <t>Охрана семьи и детства</t>
  </si>
  <si>
    <t>Выплата единовременного пособия при всех формах устройства детей,лишенных родительского попечения, в семью</t>
  </si>
  <si>
    <t>505 05 02</t>
  </si>
  <si>
    <t>Иные  безвозмездные и безвозвратные перечисления</t>
  </si>
  <si>
    <t>Компенсация в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t>
  </si>
  <si>
    <t xml:space="preserve">520 10 00 </t>
  </si>
  <si>
    <t>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t>
  </si>
  <si>
    <t>520 10 41</t>
  </si>
  <si>
    <t xml:space="preserve">Содержание ребенка в семье опекуна и приемной семье, а также оплата труда приемного родителя </t>
  </si>
  <si>
    <t>520 13 00</t>
  </si>
  <si>
    <t>Расходы за счет субвенций из областного бюджета на выплату денежных средств на содержание ребенка в семье опекуна и приемной семье, оплату труда приемного родителя, а также на предоставление дополнительных гарантий</t>
  </si>
  <si>
    <t>Выплаты приемной семье на содержание подопечных детей</t>
  </si>
  <si>
    <t>520 13 11</t>
  </si>
  <si>
    <t>Содержание ребенка в семье опекуна и приемной семье, а также оплата труда приемного родителя</t>
  </si>
  <si>
    <t>909</t>
  </si>
  <si>
    <t>Оплата труда приемного родителя</t>
  </si>
  <si>
    <t>520 13 12</t>
  </si>
  <si>
    <t>Выплаты семьям опекунов на содержание подопечных детей</t>
  </si>
  <si>
    <t>520 13 13</t>
  </si>
  <si>
    <t>520 13 20</t>
  </si>
  <si>
    <t>Выплата денежных средств на реализацию права бесплатного проезда и содержание детей, находящихся под опекой (попечительством), а также на оплату труда приемного родителя</t>
  </si>
  <si>
    <t>Другие вопросы в области социальной политики</t>
  </si>
  <si>
    <t xml:space="preserve">Организация работы органов управления социальной защиты населения муниципальных образований </t>
  </si>
  <si>
    <t>002 04 46</t>
  </si>
  <si>
    <t>Расходы на обеспечение деятельности по предоставлению гражданам субсидий</t>
  </si>
  <si>
    <t>002 04 34</t>
  </si>
  <si>
    <t>Расходы за счет субвенции из областного бюджета на организацию и осуществление деятельности по опеке и попечительству</t>
  </si>
  <si>
    <t>002 04 44</t>
  </si>
  <si>
    <t>002 04 74</t>
  </si>
  <si>
    <t>Реформирование региональных и муниципальных финансов</t>
  </si>
  <si>
    <t>518 00 00</t>
  </si>
  <si>
    <t>Реформирование муниципальных финансов</t>
  </si>
  <si>
    <t>518 02 00</t>
  </si>
  <si>
    <t>Обеспечение выплаты заработной платы работникам бюджетных учреждений в соответствии с федеральным законодательством о минимальном размере оплаты труда, в связи с реформированием системы оплаты труда работников муниципальных бюджетных учреждений</t>
  </si>
  <si>
    <t>518 02 42</t>
  </si>
  <si>
    <t>ВСЕГО РАСХОДОВ</t>
  </si>
  <si>
    <t>ПРОФИЦИТ БЮДЖЕТА (со знаком "плюс") или ДЕФИЦИТ БЮДЖЕТА (со знаком "минус")</t>
  </si>
  <si>
    <t xml:space="preserve"> ИСТОЧНИКИ ВНУТРЕННЕГО ФИНАНСИРОВАНИЯ</t>
  </si>
  <si>
    <t>000</t>
  </si>
  <si>
    <t>000 00 00</t>
  </si>
  <si>
    <t>Бюджетные кредиты от других бюджетов бюджетной  системы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</si>
  <si>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</si>
  <si>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000 04 00</t>
  </si>
  <si>
    <t>700</t>
  </si>
  <si>
    <t>Погашение бюджетами городских округов кредитов  от других бюджетов бюджетной системы  Российской Федерации в валюте Российской  Федерации</t>
  </si>
  <si>
    <t>800</t>
  </si>
  <si>
    <t>Продажа земельных участков, находящихся в государственной и муниципальной собственности</t>
  </si>
  <si>
    <t>Остатки средств бюджетов</t>
  </si>
  <si>
    <t>010 00 00</t>
  </si>
  <si>
    <t>Иные источники внутреннего финансирования  дефицитов бюджетов</t>
  </si>
  <si>
    <t>Исполнение гарантий городских округов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</si>
  <si>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040 00 40  </t>
  </si>
  <si>
    <t>Возврат бюджетных кредитов, предоставленных  юридическим лицам из бюджетов городских  округов в валюте Российской Федерации</t>
  </si>
  <si>
    <t xml:space="preserve">050 10 40  </t>
  </si>
  <si>
    <t xml:space="preserve"> </t>
  </si>
  <si>
    <t>ВЕДОМСТВЕННАЯ СТРУКТУРА</t>
  </si>
  <si>
    <t xml:space="preserve">РАСХОДОВ  БЮДЖЕТА  МИАССКОГО ГОРОДСКОГО ОКРУГА </t>
  </si>
  <si>
    <t>НА 2009 ГОД</t>
  </si>
  <si>
    <t>Главные распорядители, наименование БК</t>
  </si>
  <si>
    <t xml:space="preserve"> Собрание депутатов Миасского городского округа</t>
  </si>
  <si>
    <t>291</t>
  </si>
  <si>
    <t>Контрольно - Счетная палата Миасского городского округа</t>
  </si>
  <si>
    <t>292</t>
  </si>
  <si>
    <t>Администрация Миасского городского округа</t>
  </si>
  <si>
    <t>283</t>
  </si>
  <si>
    <t>Обеспечение деятельности финансовых, налоговых и таможенных органов и органов надзора</t>
  </si>
  <si>
    <t>Воинские формирования</t>
  </si>
  <si>
    <t>Обеспечение функционирования органов в сфере национальной безопасности и правоохранительной деятельности</t>
  </si>
  <si>
    <t>2020000</t>
  </si>
  <si>
    <t>253</t>
  </si>
  <si>
    <t>Областная целевая программа "Развитие дошкольного образования в Челябинской области" на 2006-2010 годы</t>
  </si>
  <si>
    <t>Здравоохранение, физическая культура  и спорт</t>
  </si>
  <si>
    <t>Больницы, клиники, госпитали, МСЧ</t>
  </si>
  <si>
    <t>506 00 00</t>
  </si>
  <si>
    <t>327</t>
  </si>
  <si>
    <t>505 33 00</t>
  </si>
  <si>
    <t>Обеспечение жилыми помещениями дете-сирот, детей, оставшихся без попечения родителей, атакже детей, находящихся под опекой (попечительством), не имеющих закрепленного жилого помещения</t>
  </si>
  <si>
    <t>505 85 00</t>
  </si>
  <si>
    <t>Областная целевая программа реализации национального проекта "Доступное и комфортное жилье  - гражданам России" в Челябинской области на 2008-2010гг. за счет субсидии из областного бюджета"</t>
  </si>
  <si>
    <t xml:space="preserve">Финансовое управление Администрации Миасского городского округа </t>
  </si>
  <si>
    <t>284</t>
  </si>
  <si>
    <t>Управление социальной защиты населения Администрации Миасского городского округа</t>
  </si>
  <si>
    <t>285</t>
  </si>
  <si>
    <t xml:space="preserve">522 00 00 </t>
  </si>
  <si>
    <t>455</t>
  </si>
  <si>
    <t>Другие вопросы в области здравоохранения, физической культуры  и спорта</t>
  </si>
  <si>
    <t>Налог на доходы физических лиц с доходов, полученных физическими лицами, не являющимися налоговыми резидентами РФ, в отношениикоторых применяются налоговые ставки, установленные в Соглашениях об избежании двойного налогообложения</t>
  </si>
  <si>
    <t>Транспортный налог с организаций</t>
  </si>
  <si>
    <t>Транспортный налог с физических лиц</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</si>
  <si>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</si>
  <si>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 xml:space="preserve">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</si>
  <si>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</si>
  <si>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</si>
  <si>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008 108 07140 01 0000 110</t>
  </si>
  <si>
    <t>088 108 07140 01 0000 110</t>
  </si>
  <si>
    <t>182 116 06000 01 0000 140</t>
  </si>
  <si>
    <t>188 116 06000 01 0000 140</t>
  </si>
  <si>
    <t>141 116 08000 01 0000 140</t>
  </si>
  <si>
    <t>188 116 08000 01 0000 140</t>
  </si>
  <si>
    <t>076 116 25030 01 0000 140</t>
  </si>
  <si>
    <t>081 116 25030 01 0000 140</t>
  </si>
  <si>
    <t>009 116 25050 01 0000 140</t>
  </si>
  <si>
    <t>498 116 25050 01 0000 140</t>
  </si>
  <si>
    <t>141 116 28000 01 0000 140</t>
  </si>
  <si>
    <t>388 116 28000 01 0000 140</t>
  </si>
  <si>
    <t>011 116 90040 04 0000 140</t>
  </si>
  <si>
    <t>106 116 90040 04 0000 140</t>
  </si>
  <si>
    <t>177 116 90040 04 0000 140</t>
  </si>
  <si>
    <t>188 116 90040 04 0000 140</t>
  </si>
  <si>
    <t>192 116 90040 04 0000 140</t>
  </si>
  <si>
    <t>283 116 90040 04 0000 140</t>
  </si>
  <si>
    <t>288 116 90040 04 0000 140</t>
  </si>
  <si>
    <t>321 116 90040 04 0000 140</t>
  </si>
  <si>
    <t>498 116 90040 04 0000 140</t>
  </si>
  <si>
    <t>283 119 04000 04 0000 151</t>
  </si>
  <si>
    <t>285 119 04000 04 0000 151</t>
  </si>
  <si>
    <t>288 119 04000 04 0000 151</t>
  </si>
  <si>
    <t>290 119 04000 04 0000 151</t>
  </si>
  <si>
    <t>Доходы бюджета Миасского  городского округа 
по кодам классификации за 2009 год</t>
  </si>
  <si>
    <t>000.1.01.02.01.0.01.1.000.1.1.0</t>
  </si>
  <si>
    <t>Налог на доходы физических лиц с доходов, полученных в виде дивидендов от долевого участия в деятельности организаций (сумма платежа)</t>
  </si>
  <si>
    <t>000.1.01.02.01.0.01.2.000.1.1.0</t>
  </si>
  <si>
    <t>Налог на доходы физических лиц с доходов, полученных в виде дивидендов от долевого участия в деятельности организаций (пени, проценты)</t>
  </si>
  <si>
    <t>000.1.01.02.01.0.01.3.000.1.1.0</t>
  </si>
  <si>
    <t>Налог на доходы физических лиц с доходов, полученных в виде дивидендов от долевого участия в деятельности организаций (взыскания)</t>
  </si>
  <si>
    <t>000.1.01.02.01.0.01.4.000.1.1.0</t>
  </si>
  <si>
    <t>Налог на доходы физических лиц с доходов, полученных в виде дивидендов от долевого участия в деятельности организаций (прочие поступления)</t>
  </si>
  <si>
    <t>000.1.01.02.01.1.01.1.000.1.1.0</t>
  </si>
  <si>
    <r>
      <t xml:space="preserve">Доходы, получаемые в виде арендной платы, а также средства от продажи права на заключение договоров аренды за земли, находящиеся </t>
    </r>
    <r>
      <rPr>
        <u val="single"/>
        <sz val="8"/>
        <rFont val="Arial Cyr"/>
        <family val="0"/>
      </rPr>
      <t>в собственности городских округов</t>
    </r>
    <r>
      <rPr>
        <sz val="8"/>
        <rFont val="Arial Cyr"/>
        <family val="0"/>
      </rPr>
      <t xml:space="preserve"> (за исключением земельных участков муниципальных автономных учреждений)</t>
    </r>
  </si>
  <si>
    <r>
      <t xml:space="preserve"> = доходы от продажи земельных участков, государственная собственность на которые </t>
    </r>
    <r>
      <rPr>
        <u val="single"/>
        <sz val="8"/>
        <rFont val="Arial"/>
        <family val="2"/>
      </rPr>
      <t>не разграничена</t>
    </r>
    <r>
      <rPr>
        <sz val="8"/>
        <rFont val="Arial"/>
        <family val="2"/>
      </rPr>
      <t xml:space="preserve"> и которые расположены в границах городских округов</t>
    </r>
  </si>
  <si>
    <r>
      <t xml:space="preserve"> = доходы от продажи земельных участков, находящихся </t>
    </r>
    <r>
      <rPr>
        <u val="single"/>
        <sz val="8"/>
        <rFont val="Arial"/>
        <family val="2"/>
      </rPr>
      <t>в собственности городских округов</t>
    </r>
    <r>
      <rPr>
        <sz val="8"/>
        <rFont val="Arial"/>
        <family val="2"/>
      </rPr>
      <t xml:space="preserve">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r>
  </si>
  <si>
    <t>Денежные взыскания (штрафы) за нарушение законодательства в области обеспечения санитарно - эпидемиологического благополучия человека и законодательства в сфере защиты прав потребителей</t>
  </si>
  <si>
    <t>000.1.16.30.00.0.01.0.000.1.4.0</t>
  </si>
  <si>
    <t>000.1.16.90.04.0.04.0.000.1.4.0</t>
  </si>
  <si>
    <t>Прочие поступления от денежных взысканий (штрафов) и иных сумм в возмещение ущерба, зачисляемые в бюджеты городских округов</t>
  </si>
  <si>
    <t>000.1.17.01.04.0.04.0.000.1.8.0</t>
  </si>
  <si>
    <t>000.1.17.05.04.0.04.0.000.1.8.0</t>
  </si>
  <si>
    <t>Прочие неналоговые доходы бюджетов городских округов</t>
  </si>
  <si>
    <t>000.1.19.04.00.0.04.0.000.1.5.1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</si>
  <si>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</si>
  <si>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000.2.02.01.00.1.04.0.000.1.5.1</t>
  </si>
  <si>
    <t>Дотации бюджетам городских округов на выравнивание уровня бюджетной обеспеченности</t>
  </si>
  <si>
    <t>000.2.02.01.00.3.04.0.000.1.5.1</t>
  </si>
  <si>
    <t>000.2.02.02.00.4.04.0.000.1.5.1</t>
  </si>
  <si>
    <t>000.2.02.02.00.8.04.0.000.1.5.1</t>
  </si>
  <si>
    <t>000.2.02.02.06.8.04.0.000.1.5.1</t>
  </si>
  <si>
    <t>000.2.02.02.07.7.04.0.000.1.5.1</t>
  </si>
  <si>
    <t>000.2.02.02.08.8.04.0.001.1.5.1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</si>
  <si>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</si>
  <si>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000.2.02.02.08.9.04.0.001.1.5.1</t>
  </si>
  <si>
    <t>000.2.02.02.10.2.04.0.000.1.5.1</t>
  </si>
  <si>
    <t>000.2.02.02.10.5.04.0.000.1.5.1</t>
  </si>
  <si>
    <t>000.2.02.02.99.9.04.0.000.1.5.1</t>
  </si>
  <si>
    <t>Прочие субсидии бюджетам городских округов</t>
  </si>
  <si>
    <t>000.2.02.03.00.1.04.0.000.1.5.1</t>
  </si>
  <si>
    <t>000.2.02.03.00.3.04.0.000.1.5.1</t>
  </si>
  <si>
    <t>000.2.02.03.00.4.04.0.000.1.5.1</t>
  </si>
  <si>
    <t>000.2.02.03.00.8.04.0.000.1.5.1</t>
  </si>
  <si>
    <t>Субвенции бюджетам городских округов на обеспечение мер социальной поддержки ветеранов труда и тружеников тыла</t>
  </si>
  <si>
    <t>000.2.02.03.00.9.04.0.000.1.5.1</t>
  </si>
  <si>
    <t>000.2.02.03.01.2.04.0.000.1.5.1</t>
  </si>
  <si>
    <t>000.2.02.03.01.3.04.0.000.1.5.1</t>
  </si>
  <si>
    <t>000.2.02.03.02.1.04.0.000.1.5.1</t>
  </si>
  <si>
    <t>Субвенции бюджетам городских округов на ежемесячное денежное вознаграждение за классное руководство</t>
  </si>
  <si>
    <t>000.2.02.03.02.2.04.0.000.1.5.1</t>
  </si>
  <si>
    <t>000.2.02.03.02.4.04.0.000.1.5.1</t>
  </si>
  <si>
    <t>Субвенции бюджетам городских округов на выполнение передаваемых полномочий субъектов Российской Федерации</t>
  </si>
  <si>
    <t>000.2.02.03.02.6.04.0.000.1.5.1</t>
  </si>
  <si>
    <t>000.2.02.03.02.7.04.0.000.1.5.1</t>
  </si>
  <si>
    <t>000.2.02.03.02.9.04.0.000.1.5.1</t>
  </si>
  <si>
    <t>тыс.руб.</t>
  </si>
  <si>
    <t>Коды БК</t>
  </si>
  <si>
    <t>Наименование доходов</t>
  </si>
  <si>
    <t>Уточненный бюджет на 2009 год</t>
  </si>
  <si>
    <t>182 101 01012 02 0000 110</t>
  </si>
  <si>
    <t>Налог на прибыль организаций, зачисляемый в бюджеты субъектов РФ</t>
  </si>
  <si>
    <t xml:space="preserve"> 000 101 02000 01 0000 110</t>
  </si>
  <si>
    <t xml:space="preserve"> Налог на доходы физических лиц</t>
  </si>
  <si>
    <t>182 101 02010 01 0000 110</t>
  </si>
  <si>
    <t>182 101 02011 01 1000 110</t>
  </si>
  <si>
    <t>182 101 02021 01 0000 110</t>
  </si>
  <si>
    <t>182 101 02022 01 0000 110</t>
  </si>
  <si>
    <t>182 101 02030 01 0000 110</t>
  </si>
  <si>
    <t>182 101 02040 01 0000 110</t>
  </si>
  <si>
    <t>182 101 02050 01 0000 110</t>
  </si>
  <si>
    <t>182 101 02060 01 0000 110</t>
  </si>
  <si>
    <t>000 105 00000 00 0000 000</t>
  </si>
  <si>
    <t>Налоги  на  совокупный  доход</t>
  </si>
  <si>
    <t>182 105 01010 01 0000 110</t>
  </si>
  <si>
    <t>Налог, взимаемый с налогоплательщиков, выбравших в качестве объекта налогообложения доходы</t>
  </si>
  <si>
    <t>182 105 01020 01 0000 110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</si>
  <si>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</si>
  <si>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182 105 02000 02 0000 110   </t>
  </si>
  <si>
    <t>Единый налог на вмененный  доход для отдельных видов деятельности</t>
  </si>
  <si>
    <t>182 105 03000 01 0000 110</t>
  </si>
  <si>
    <t>Единый сельскохозяйственный налог</t>
  </si>
  <si>
    <t>в 2,5 раза</t>
  </si>
  <si>
    <t>000 106 00000 00 0000 000</t>
  </si>
  <si>
    <t>Налоги  на  имущество</t>
  </si>
  <si>
    <t>182 106 01020 04 0000 110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</si>
  <si>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</si>
  <si>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182 106 05000 02 0000 110</t>
  </si>
  <si>
    <t>Налог на игорный бизнес</t>
  </si>
  <si>
    <t>182 106 04000 02 000 110</t>
  </si>
  <si>
    <t>Транспортный налог, в т.ч.:</t>
  </si>
  <si>
    <t>182 106 04011 02 0000 110</t>
  </si>
  <si>
    <t>182 106 04012 02 0000 110</t>
  </si>
  <si>
    <t>000 106 06000 00 0000 110</t>
  </si>
  <si>
    <t>Земельный налог, в т.ч.:</t>
  </si>
  <si>
    <t>182 106 06012 04 0000 110</t>
  </si>
  <si>
    <t>в 2,3 раза</t>
  </si>
  <si>
    <t>182 106 06022 04 0000 110</t>
  </si>
  <si>
    <t>000 107 00000 00 0000 000</t>
  </si>
  <si>
    <t>Налоги, сборы и регулярные платежи за пользование природными ресурсами</t>
  </si>
  <si>
    <t>182 107 01000 01 0000 110</t>
  </si>
  <si>
    <t>Налог на добычу полезных ископаемых, в т.ч.:</t>
  </si>
  <si>
    <t>182 107 01020 01 0000 110</t>
  </si>
  <si>
    <t>182 107 01030 01 0000 110</t>
  </si>
  <si>
    <t>000 108 00000 00 0000 000</t>
  </si>
  <si>
    <t>Государственная  пошлина</t>
  </si>
  <si>
    <t>182 108 03010 01 0000 110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</si>
  <si>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</si>
  <si>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283 108 07150 01 0000 110</t>
  </si>
  <si>
    <t xml:space="preserve">Государственная пошлина за выдачу разрешения на установку рекламной конструкции </t>
  </si>
  <si>
    <t>283 108 07173 01 0000 110</t>
  </si>
  <si>
    <t>000 109 00000 00 0000 000</t>
  </si>
  <si>
    <t>Задолженность и перерасчеты по  отмененным налогам, сборам и иным обязательным платежам</t>
  </si>
  <si>
    <t>182 109 01020 04 0000 110</t>
  </si>
  <si>
    <t>Налог на прибыль организаций, зачислявшийся до 1 января 2005 года в местные бюджеты, мобилизуемый на территориях городских округов</t>
  </si>
  <si>
    <t>182 109 04050 04 0000 110</t>
  </si>
  <si>
    <t>Земельный налог (по обязательствам, возникшим до 1 января 2006 года), мобилизуемый на территориях городских округов</t>
  </si>
  <si>
    <t>182 109 06010 02 0000 110</t>
  </si>
  <si>
    <t>Налог с продаж</t>
  </si>
  <si>
    <t>182 109 07010 04 0000 110</t>
  </si>
  <si>
    <t>Налог на рекламу, мобилизуемый на территориях городских округов</t>
  </si>
  <si>
    <t>182 109 07030 04 0000 110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</si>
  <si>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</si>
  <si>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182 109 07050 04 0000 110</t>
  </si>
  <si>
    <t>Прочие местные налоги и сборы, мобилизуемые на территориях городских округов</t>
  </si>
  <si>
    <t>НАЛОГОВЫЕ ДОХОДЫ</t>
  </si>
  <si>
    <t>000 111 00000 00 0000 000</t>
  </si>
  <si>
    <t>Доходы от использования имущества, находящегося в государственной и муниципальной собственности</t>
  </si>
  <si>
    <t>284 111 03040 04 0000 120</t>
  </si>
  <si>
    <t>Проценты, полученные от предоставления бюджетных кредитов внутри страны за счет средств бюджетов городских округов</t>
  </si>
  <si>
    <t>в 2,6 раза</t>
  </si>
  <si>
    <t>000 111 05000 00 0000 120</t>
  </si>
  <si>
    <t>283 111 05010 04 0000 120</t>
  </si>
  <si>
    <t xml:space="preserve"> = средства от продажи права на заключение договоров аренды указанных земельных участков</t>
  </si>
  <si>
    <t>283 111 05024 04 0000 120</t>
  </si>
  <si>
    <t xml:space="preserve"> = средства от продажи права на заключение договоров аренды за земли, находящиеся в собственности городских округов</t>
  </si>
  <si>
    <t>283 111 07014 04 0000 120</t>
  </si>
  <si>
    <t>Доходы от перечисления части прибыли, оставшейся после уплаты налогов и иных обязательных платежей муниципальных унитарных предприятий, созданных городскими округами</t>
  </si>
  <si>
    <t>283 111 09034 04 0000 120</t>
  </si>
  <si>
    <t>Доходы от эксплуатации и использования имущества автомобильных дорог, находящихся в собственности городских округов</t>
  </si>
  <si>
    <t>283 111 09044 04 0000 120</t>
  </si>
  <si>
    <t xml:space="preserve"> =  доходы от сдачи в наем муниципального жилья</t>
  </si>
  <si>
    <t xml:space="preserve"> = средства от продажи права на заключение договоров аренды муниципального имущества</t>
  </si>
  <si>
    <t>498 112 01000 01 0000 120</t>
  </si>
  <si>
    <t>Плата за негативное воздействие на окруж. среду</t>
  </si>
  <si>
    <t>000 113 00000 00 0000 000</t>
  </si>
  <si>
    <t>Доходы от оказания платных услуг и компенсации затрат государства</t>
  </si>
  <si>
    <t>188 113 03040 04 0000 130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</si>
  <si>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t>
  </si>
  <si>
    <t>283 113 03040 04 0000 130</t>
  </si>
  <si>
    <t>285 113 03040 04 0000 130</t>
  </si>
  <si>
    <t>290 113 03040 04 0000 130</t>
  </si>
  <si>
    <t>000 114 00000 00 0000  000</t>
  </si>
  <si>
    <t>Доходы от продажи материальных и нематеральных активов</t>
  </si>
  <si>
    <t>283 114 02033 04 0000 410</t>
  </si>
  <si>
    <t>283 114 02033 04 0000 440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</si>
  <si>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</si>
  <si>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000 114 06000 00 0000 420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</si>
  <si>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</si>
  <si>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в 3,5 раза</t>
  </si>
  <si>
    <t>283 114 06012 04 0000 430</t>
  </si>
  <si>
    <t>283 114 06024 04 0000 430</t>
  </si>
  <si>
    <t xml:space="preserve"> 000 116 00000 00 0000 000</t>
  </si>
  <si>
    <t>Штрафные санкции , возмещение ущерба</t>
  </si>
  <si>
    <t>182 116 03010 01 0000 140</t>
  </si>
  <si>
    <t xml:space="preserve"> Денежные взыскания (штрафы) за  нарушение законодательства  о налогах и сборах, предусмотренные статьями 116, 117, 118, пунктами 1 и 2 ст. 120, статьями 125, 126, 128, 129, 129.1, 132, 133, 134, 135, 135.1 НК РФ</t>
  </si>
  <si>
    <t>182 116 03030 01 0000 140</t>
  </si>
  <si>
    <t xml:space="preserve"> 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</si>
  <si>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 xml:space="preserve"> Денежные взыскания (штрафы) за нарушение законадательства о применении ККТ при осуществление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</si>
  <si>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</si>
  <si>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000 116 18040 04 0000 140</t>
  </si>
  <si>
    <t>Денежные взыскания (штрафы) за нарушение бюджетного законодательства (в части бюджетов городских округов)</t>
  </si>
  <si>
    <t>322 116 21040 04 0000 140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</si>
  <si>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</si>
  <si>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290 116 23040 04 0000 140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</si>
  <si>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</si>
  <si>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498 116 25010 01 0000 140</t>
  </si>
  <si>
    <t>Денежные взыскания (штрафы) за нарушение законодательства о недрах</t>
  </si>
  <si>
    <t>009 116 25020 01 0000 140</t>
  </si>
  <si>
    <t>Денежные взыскания (штрафы) за нарушение законодательства об особо охраняемых природных территориях</t>
  </si>
  <si>
    <t>Денежные взыскания (штрафы) за нарушение законодательства об охране и использовании животного мира</t>
  </si>
  <si>
    <t>Денежные взыскания (штрафы) за нарушение законодательства в области охраны окружающей среды</t>
  </si>
  <si>
    <t>321 116 25060 01 0000 140</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</si>
  <si>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</si>
  <si>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</si>
  <si>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188 116 30000 01 0000 140</t>
  </si>
  <si>
    <t>Денежные взыскания (штрафы) за административные правонарушения в области дорожного движения</t>
  </si>
  <si>
    <t>161 116 33040 04 0000 140</t>
  </si>
  <si>
    <t>Денежные взыскания (штрафы) за нарушение законодательства РФ о размещении заказов на поставки товаров, выполнение работ, оказание услуг для нужд городских округов</t>
  </si>
  <si>
    <t xml:space="preserve"> Прочие поступления от денежных высканий (штрафов) и иных сумм в возмещение ущерба, зачисляемые в бюджеты городских округов</t>
  </si>
  <si>
    <t>000 117 01040 04 0000 180</t>
  </si>
  <si>
    <t>Невыясненные поступления, зачисляемые в бюджеты городских округов</t>
  </si>
  <si>
    <t>188 117 01040 04 0000 180</t>
  </si>
  <si>
    <t xml:space="preserve"> = УВД</t>
  </si>
  <si>
    <t>283 117 01040 04 0000 180</t>
  </si>
  <si>
    <t xml:space="preserve"> = администрация</t>
  </si>
  <si>
    <t>284 117 01040 04 0000 180</t>
  </si>
  <si>
    <t xml:space="preserve"> = финансовое управление</t>
  </si>
  <si>
    <t>285 117 01040 04 0000 180</t>
  </si>
  <si>
    <t xml:space="preserve"> = УСЗН</t>
  </si>
  <si>
    <t>290 117 01040 04 0000 180</t>
  </si>
  <si>
    <t xml:space="preserve"> = здравоохранение</t>
  </si>
  <si>
    <t>000 117 02000 00 0000 180</t>
  </si>
  <si>
    <t>Возмещение потерь сельскохозяйственного производства, связанных с изъятием сельскохозяйственных угодий (по обязательствам, возникшим до 01 января 2008 г.)</t>
  </si>
  <si>
    <t>283 117 02000 04 0000 180</t>
  </si>
  <si>
    <t>000 117 05000 00 0000 000</t>
  </si>
  <si>
    <t>Прочие неналоговые доходы</t>
  </si>
  <si>
    <t>283 117 05040 04 0000 180</t>
  </si>
  <si>
    <t>285 117 05040 04 0000 180</t>
  </si>
  <si>
    <t>290 117 05040 04 0000 180</t>
  </si>
  <si>
    <t>НЕНАЛОГОВЫЕ ДОХОДЫ</t>
  </si>
  <si>
    <t>НАЛОГОВЫЕ И НЕНАЛОГОВЫЕ ДОХОДЫ 
(без учетов возврата остатков субсидий и субвенций из бюджетов городских округов)</t>
  </si>
  <si>
    <t>Возврат остатков субсидий и субвенций из бюджетов городских округов</t>
  </si>
  <si>
    <t>НАЛОГОВЫЕ И НЕНАЛОГОВЫЕ ДОХОДЫ</t>
  </si>
  <si>
    <t>000 200 00000 00  0000 000</t>
  </si>
  <si>
    <t>БЕЗВОЗМЕЗДНЫЕ ПОСТУПЛЕНИЯ</t>
  </si>
  <si>
    <t>000 202 01000 00 0000 151</t>
  </si>
  <si>
    <t>Дотации бюджетам субъектов РФ и МО, в т.ч.:</t>
  </si>
  <si>
    <t>284 202 01001 04 0000 151</t>
  </si>
  <si>
    <t>Дотации  из областного фонда финансовой поддержки городских округов</t>
  </si>
  <si>
    <t>в 3,2 раза</t>
  </si>
  <si>
    <t>Дотации  из областного фонда финансовой поддержки поселений</t>
  </si>
  <si>
    <t>284 202 01003 04 0000 151</t>
  </si>
  <si>
    <t>Дотации бюджетам городских округов на поддержку мер по обеспечению сбалансированности бюджетов</t>
  </si>
  <si>
    <t>000 202 02000 00 0000 151</t>
  </si>
  <si>
    <t>Субсидии бюджетам субъектов РФ и МО (межбюджетные субсидии), в т.ч.:</t>
  </si>
  <si>
    <t xml:space="preserve">283 202 02004 04 0000 151
</t>
  </si>
  <si>
    <t>Субсидии бюджетам городских округов на развитие социальной и инженерной инфраструктуры муниципальных образований</t>
  </si>
  <si>
    <t xml:space="preserve">283 202 02008 04 0000 151
</t>
  </si>
  <si>
    <t>Субсидии бюджетам городских округов на обеспечение жильем молодых семей</t>
  </si>
  <si>
    <t>283 202 02077 04 0000 151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</si>
  <si>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</si>
  <si>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283 202 02088 04 0001 151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</si>
  <si>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ЖКХ</t>
  </si>
  <si>
    <t>283 202 02089 04 0001 151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</si>
  <si>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</si>
  <si>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283 202 02102 04 0000 151</t>
  </si>
  <si>
    <t>Субсидии бюджетам городских округов на закупку автотранспортных средств и коммунальной техники</t>
  </si>
  <si>
    <t>283 202 02105 04 0000 151</t>
  </si>
  <si>
    <t>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t>
  </si>
  <si>
    <t>283 202 02999 04 0000 151</t>
  </si>
  <si>
    <t>Субсидии МБ на финансирование расходов на организацию транспортного обслуживания населения МО в части приобретения подвижного состава</t>
  </si>
  <si>
    <t>Субсидии МБ на финансирование расходов по электрической энергии, расходуемой на уличное освещение</t>
  </si>
  <si>
    <t>Субсидии МБ на финансирование расходов на оплату ТЭР, услуг водоснабжения, водоотведения потребляемых муниципальными бюджетными учреждениями</t>
  </si>
  <si>
    <t>Субсидии МБ на обеспечения выполнения работ по внедрению и содержанию технических средств, организации и регулированию дорожного движения в МО</t>
  </si>
  <si>
    <t>Субсидии бюджетам предоставление работникам бюджетной сферы соц. выплат на приобретение или строительство жилья "ОЦП"Доступное и комфортное жилье - гражданам России" в Чел.обл</t>
  </si>
  <si>
    <t>Субсидии МБ на капитальный ремонт объектов коммунальной инфраструктуры теплотрассы по ул. Б. Хмелльницкого, микрорайон "А"</t>
  </si>
  <si>
    <t>284 202 02999 04 0000 151</t>
  </si>
  <si>
    <t>Субсидии МБ на организацию работы финансовых органов МО</t>
  </si>
  <si>
    <t>285 202 02999 04 0000 151</t>
  </si>
  <si>
    <t>Субсидии МБ на организацию работы органов управления социальной защиты населения МО</t>
  </si>
  <si>
    <t>Субсидии МБ на выплату библиотечным работникам муниципальных учреждений лечебного пособия и ежемесячной надбавки к з/плате за выслугу лет</t>
  </si>
  <si>
    <t>Субсидии МБ на компенсацию расходов автотранспортных предприятий, связанных с предоставлением сезонных льгот пенсионерам-садоводам, пенсионерам-огородникам на автомобильном транспорте городских и пригородных сезонных (садовых) маршрутов</t>
  </si>
  <si>
    <t>288 202 02999 04 0000 151</t>
  </si>
  <si>
    <t>Субсидии МБ на обеспечение продуктами питания детей из малообеспеченных семей и детей с нарушениеми здоровья, обущающихся в МОУ</t>
  </si>
  <si>
    <t xml:space="preserve">Субсидии МБ на обеспечение продуктами питания учреждений социальной сферы муниципальных образований </t>
  </si>
  <si>
    <t>Субсидии МБ на решение вопросов местного значения в сфере образования</t>
  </si>
  <si>
    <t>Субсидии МБ на увеличение количества детей в группах социальной помощи ОЦП "Развитие дошкольного образования в ЧО на 2006-2010 гг."</t>
  </si>
  <si>
    <t>Субсидии МБ на выплату ежемесячной надбавки к з/плате воспитателям, мл. воспитателям, помощникам воспитателей, работающим с детьми дошкольного возраста в МДОУ, ОЦП "Развитие дошкольного образования в ЧО на 2006-2010 гг."</t>
  </si>
  <si>
    <t>Субсидии МБ на развитие и содержание муниципальных учреждений спортивного направления, открытие ДСК и ДЮСШ, оборудование и ремонт спортивных площадок и спортивных сооружений и равитие физической культуры и массового спорта</t>
  </si>
  <si>
    <t>Субсидии МБ на выплату ежемесячной надбавки к заработной плате молодым специалистам МОУ (ОЦП НП "Образование" в ЧО на 2009-2012 годы)</t>
  </si>
  <si>
    <t>Субсидии МБ на оплату Интернет-трафика МОУ на базе которых созданы межшкольные методические центры  (проект "Информатизация системы образования в ЧО")</t>
  </si>
  <si>
    <t>Субсидии МБ на выплату надбавки к заработной плате молодым специалистам МОУ</t>
  </si>
  <si>
    <t>289 202 02068 04 0000 151</t>
  </si>
  <si>
    <t>Субсидии бюджетам городских округов на комплектование книжных фондов библиотек муниципальных образований</t>
  </si>
  <si>
    <t>289 202 02999 04 0000 151</t>
  </si>
  <si>
    <t>290 202 02999 04 0000 151</t>
  </si>
  <si>
    <t>000 2 02 03000 00 0000 151</t>
  </si>
  <si>
    <t>Субвенции бюджетам субъектов РФ и МО в т.ч.:</t>
  </si>
  <si>
    <t>283 202 03003 04 0000 151</t>
  </si>
  <si>
    <t>Субвенции бюджетам городских округов на государственную регистрацию актов гражданского состояния</t>
  </si>
  <si>
    <t>283 202 03024 04 0000 151</t>
  </si>
  <si>
    <t>Субвенции на осуществление полномочий в сфере организации работы комиссий по делам  несовершеннолетних и защиты их прав</t>
  </si>
  <si>
    <t>Субвенции на реализацию, переданных государственных полномочий в области охраны окружающей среды</t>
  </si>
  <si>
    <t>Субвенции по комплектованию, учету, использованию и хранению архивных документов, отнесенных к государстченной собственности ЧО</t>
  </si>
  <si>
    <t>283 202 03026 04 0000 151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</si>
  <si>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</si>
  <si>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285 202 03001 04 0000 151</t>
  </si>
  <si>
    <t>Субвенции бюджетам городских округов на оплату жилищно-коммунальных услуг отдельным категориям граждан</t>
  </si>
  <si>
    <t>285 202 03004 04 0000 151</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</si>
  <si>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</si>
  <si>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285 202 03008 04 0000 151</t>
  </si>
  <si>
    <t xml:space="preserve">Субвенции бюджетам городских округов на обеспечение мер социальной поддержки ветеранов труда и тружеников тыла </t>
  </si>
  <si>
    <t>285 202 03009 04 0000 151</t>
  </si>
  <si>
    <t>Субвенции бюджетам городских округов на выплату ежемесячного пособия на ребенка</t>
  </si>
  <si>
    <t>285 202 03012 04 0000 151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</si>
  <si>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</si>
  <si>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285 202 03013 04 0000 151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</si>
  <si>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</si>
  <si>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285 202 03022 04 0000 151</t>
  </si>
  <si>
    <t>Субвенции бюджетам городских округов на предоставление гражданам субсидий на оплату жилого помещения и коммунальных услуг</t>
  </si>
  <si>
    <t>285 202 03024 04 0000 151</t>
  </si>
  <si>
    <t>Субвенции на осуществление мер социальной поддержки граждан, работающих и проживающих в сельских населенных пунктах и рабочих поселках ЧО</t>
  </si>
  <si>
    <t>Субвенции на предоставление дополнительных мер социальной поддержки отдельным категориям граждан (тел+радио ИВОВ и ЖБЛ)</t>
  </si>
  <si>
    <t>Субвенции по выплате областного единовременного пособия при рождении ребенка</t>
  </si>
  <si>
    <t>Субвенции на организацию и осуществление деятельности по опеке и попечительству</t>
  </si>
  <si>
    <t>Субвенции на соц поддержку детей-сирот и детей, оставшихся без попечения родителей, находящихся в МОУ для детей-сирот и детей, оставшихся без попечения родителей</t>
  </si>
  <si>
    <t xml:space="preserve">Субвенции  на реализацию переданных государственных полномочий по социальному  обслуживанию населения </t>
  </si>
  <si>
    <t>Субвенции на обеспечение мер соц. поддержку граждан, имеющих звание "Ветеран труда ЧО"</t>
  </si>
  <si>
    <t>285 202 03027 04 0000 151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</si>
  <si>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</si>
  <si>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 xml:space="preserve">Субвенции на возмещение стоимости услуг по погребению и выплату социального пособия на погребение </t>
  </si>
  <si>
    <t>288 202 03021 04 0000 151</t>
  </si>
  <si>
    <t>Субвенции бюджетам городских округов на  ежемесячное денежное вознаграждение за классное руководство</t>
  </si>
  <si>
    <t>288 202 03024 04 0000 151</t>
  </si>
  <si>
    <t>Субвенции на организацию воспитания и обучения детей-инвалидов на дому и в дошкольных учреждениях</t>
  </si>
  <si>
    <t>Субвенции на обеспечение полномочий по поддержке негосударственных образовательных учреждений</t>
  </si>
  <si>
    <t>Субвенции по организации предоставления дошкольного и общего образования по основным общеобразовательным программам в муницип специальных (коррекционных) образовательных учреждениях для обучающихся, воспитанников с отклонениями в развитии</t>
  </si>
  <si>
    <t>Субвенции МБ на обеспечение государственных гарантий прав граждан в сфере образования</t>
  </si>
  <si>
    <t>288 202 03029 04 0000 151</t>
  </si>
  <si>
    <t>Субвенции бюджетам городских округов на компенсацию части родительской платы на содержание ребенка в муниципальных образовательных учреждениях, реализующих основную общеобразовательную программу дошкольного образования</t>
  </si>
  <si>
    <t>290 202 03055 04 0000 151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</si>
  <si>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</si>
  <si>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000 2 02 04000 00 0000 151</t>
  </si>
  <si>
    <t>Иные межбюджетные трансферты, в т.ч.:</t>
  </si>
  <si>
    <t>284 2 02 04005 04 0000 151</t>
  </si>
  <si>
    <t>Средства,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</si>
  <si>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284 202 04999 04 0000 151</t>
  </si>
  <si>
    <t>Субсидии на выплату премии победителю конкурса соц-экономического развития муниципальных образований ЧО за 2007 год</t>
  </si>
  <si>
    <t xml:space="preserve"> 288 2 02 04999 04 0000 151    </t>
  </si>
  <si>
    <t>Иные межбюджетные трансферты по программе ОЦП "Образование"</t>
  </si>
  <si>
    <t>288 202 04999 04 0000 151</t>
  </si>
  <si>
    <t>На поощрение лучших педагогических работников и учащихся- победителей конкурсов</t>
  </si>
  <si>
    <t>000 207 00000 00 0000 180</t>
  </si>
  <si>
    <t>Прочие безвозмездные поступления</t>
  </si>
  <si>
    <t>в 3,3 раза</t>
  </si>
  <si>
    <t>283 207 04000 04 0000 180</t>
  </si>
  <si>
    <t>Прочие безвозмездные поступления в бюджеты городских округов</t>
  </si>
  <si>
    <t>290 207 04000 04 0000 180</t>
  </si>
  <si>
    <t>СОБСТВЕННЫЕ ДОХОДЫ</t>
  </si>
  <si>
    <t>ИТОГО ДОХОДОВ</t>
  </si>
  <si>
    <t>сверено</t>
  </si>
  <si>
    <t>в 2,0 раза</t>
  </si>
  <si>
    <t>в 27,7 раза</t>
  </si>
  <si>
    <t>Приложение №2</t>
  </si>
  <si>
    <t>Приложение №1</t>
  </si>
  <si>
    <t>Исполнено 
за 2009 год</t>
  </si>
  <si>
    <t>% исполнения
к уточненному бюджету</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</si>
  <si>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</si>
  <si>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000.2.02.03.05.5.04.0.000.1.5.1</t>
  </si>
  <si>
    <t>000.2.02.04.00.5.04.0.000.1.5.1</t>
  </si>
  <si>
    <t>000.2.02.04.99.9.04.0.000.1.5.1</t>
  </si>
  <si>
    <t>Прочие межбюджетные трансферты, передаваемые бюджетам городских округов</t>
  </si>
  <si>
    <t>000.2.07.04.00.0.04.0.000.1.8.0</t>
  </si>
  <si>
    <t>Возврат остатков субсидий, субвенций и иных межбюджетных трансфертов, имеющих целевое назначение, прошлых лет</t>
  </si>
  <si>
    <t xml:space="preserve"> 000 100 00000 00 0000 000</t>
  </si>
  <si>
    <t>НАЛОГОВЫЕ И НЕНВЛОГОВЫЕ ДОХОДЫ</t>
  </si>
  <si>
    <t xml:space="preserve"> 000 101 02000 00 0000 110</t>
  </si>
  <si>
    <t>373,2</t>
  </si>
  <si>
    <t>000 119 00000 00 0000 000</t>
  </si>
  <si>
    <t>000 202 00000 00 0000 151</t>
  </si>
  <si>
    <t>Дотации бюджетам субъектов РФ и МО</t>
  </si>
  <si>
    <t>Субсидии бюджетам субъектов РФ и МО (межбюджетные субсидии)</t>
  </si>
  <si>
    <t xml:space="preserve">Субвенции бюджетам субъектов РФ и МО </t>
  </si>
  <si>
    <t>Иные межбюджетные трансферты</t>
  </si>
  <si>
    <t>000 112 00000 00 0000 000</t>
  </si>
  <si>
    <t>000. 112 01000 01 0000 120</t>
  </si>
  <si>
    <t>000.113 03040 04 0000 130</t>
  </si>
  <si>
    <t>Прочие доходы от оказания платных услуг получателями средств бюджетов городских округов и компенсации затрат государства</t>
  </si>
  <si>
    <t>000 117 00000 00 0000 000</t>
  </si>
  <si>
    <t xml:space="preserve">Прочие неналоговые доходы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</si>
</sst>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_-* #,##0.0_р_._-;\-* #,##0.0_р_._-;_-* &quot;-&quot;??_р_._-;_-@_-"/>
    <numFmt numFmtId="168" formatCode="_(* #,##0.0_);_(* \(#,##0.0\);_(* &quot;-&quot;??_);_(@_)"/>
    <numFmt numFmtId="169" formatCode="_(* #,##0.0_);_(* \(#,##0.0\);_(* &quot;-&quot;_);_(@_)"/>
    <numFmt numFmtId="170" formatCode="0.0%"/>
    <numFmt numFmtId="171" formatCode="_-* #,##0.0_р_._-;\-* #,##0.0_р_._-;_-* &quot;-&quot;?_р_._-;_-@_-"/>
    <numFmt numFmtId="172" formatCode="#,##0.0_ ;[Red]\-#,##0.0\ "/>
    <numFmt numFmtId="173" formatCode="?"/>
  </numFmts>
  <fonts count="52">
    <font>
      <sz val="10"/>
      <name val="Arial Cyr"/>
      <family val="0"/>
    </font>
    <font>
      <sz val="10"/>
      <name val="Arial"/>
      <family val="0"/>
    </font>
    <font>
      <b/>
      <sz val="10"/>
      <name val="Arial Cyr"/>
      <family val="0"/>
    </font>
    <font>
      <b/>
      <sz val="12"/>
      <name val="Arial Cyr"/>
      <family val="2"/>
    </font>
    <font>
      <sz val="11"/>
      <name val="Arial Cyr"/>
      <family val="2"/>
    </font>
    <font>
      <sz val="9"/>
      <name val="Arial Cyr"/>
      <family val="2"/>
    </font>
    <font>
      <b/>
      <sz val="11"/>
      <name val="Arial Cyr"/>
      <family val="0"/>
    </font>
    <font>
      <sz val="12"/>
      <name val="Arial Cyr"/>
      <family val="2"/>
    </font>
    <font>
      <sz val="11"/>
      <color indexed="8"/>
      <name val="Arial"/>
      <family val="2"/>
    </font>
    <font>
      <sz val="11"/>
      <name val="Arial"/>
      <family val="2"/>
    </font>
    <font>
      <i/>
      <sz val="10"/>
      <name val="Arial Cyr"/>
      <family val="2"/>
    </font>
    <font>
      <sz val="11"/>
      <color indexed="8"/>
      <name val="Arial Cyr"/>
      <family val="0"/>
    </font>
    <font>
      <sz val="12"/>
      <name val="Arial"/>
      <family val="2"/>
    </font>
    <font>
      <i/>
      <sz val="10"/>
      <name val="Arial"/>
      <family val="2"/>
    </font>
    <font>
      <i/>
      <sz val="11"/>
      <name val="Arial Cyr"/>
      <family val="2"/>
    </font>
    <font>
      <sz val="8"/>
      <name val="Arial"/>
      <family val="2"/>
    </font>
    <font>
      <b/>
      <sz val="8"/>
      <name val="Arial"/>
      <family val="2"/>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2"/>
      <name val="Arial Cyr"/>
      <family val="2"/>
    </font>
    <font>
      <b/>
      <sz val="8"/>
      <name val="Arial Cyr"/>
      <family val="2"/>
    </font>
    <font>
      <u val="single"/>
      <sz val="8"/>
      <name val="Arial Cyr"/>
      <family val="0"/>
    </font>
    <font>
      <u val="single"/>
      <sz val="8"/>
      <name val="Arial"/>
      <family val="2"/>
    </font>
    <font>
      <sz val="8.5"/>
      <name val="MS Sans Serif"/>
      <family val="2"/>
    </font>
    <font>
      <b/>
      <sz val="8"/>
      <color indexed="9"/>
      <name val="Arial Cyr"/>
      <family val="0"/>
    </font>
    <font>
      <b/>
      <sz val="8.5"/>
      <name val="MS Sans Serif"/>
      <family val="2"/>
    </font>
    <font>
      <b/>
      <sz val="10"/>
      <name val="Arial"/>
      <family val="2"/>
    </font>
    <font>
      <sz val="10"/>
      <color indexed="9"/>
      <name val="Arial Cyr"/>
      <family val="0"/>
    </font>
    <font>
      <sz val="8"/>
      <color indexed="9"/>
      <name val="Arial Cyr"/>
      <family val="0"/>
    </font>
    <font>
      <sz val="8"/>
      <color indexed="8"/>
      <name val="MS Sans Serif"/>
      <family val="2"/>
    </font>
    <font>
      <sz val="10"/>
      <color indexed="8"/>
      <name val="Arial Cyr"/>
      <family val="0"/>
    </font>
    <font>
      <i/>
      <sz val="8.5"/>
      <name val="MS Sans Serif"/>
      <family val="2"/>
    </font>
    <font>
      <b/>
      <sz val="11"/>
      <name val="MS Sans Serif"/>
      <family val="2"/>
    </font>
    <font>
      <sz val="8.5"/>
      <color indexed="9"/>
      <name val="MS Sans Serif"/>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hair"/>
      <right style="hair"/>
      <top style="hair"/>
      <bottom style="hair"/>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medium"/>
      <top style="medium"/>
      <bottom style="medium"/>
    </border>
    <border>
      <left style="thin"/>
      <right style="thin"/>
      <top style="medium"/>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 fillId="0" borderId="0">
      <alignment/>
      <protection/>
    </xf>
    <xf numFmtId="0" fontId="31"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404">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Alignment="1">
      <alignment/>
    </xf>
    <xf numFmtId="0" fontId="1" fillId="0" borderId="0" xfId="0" applyFont="1" applyFill="1" applyAlignment="1">
      <alignment horizontal="left" wrapText="1"/>
    </xf>
    <xf numFmtId="0" fontId="0" fillId="0" borderId="0" xfId="0" applyAlignment="1">
      <alignment/>
    </xf>
    <xf numFmtId="0" fontId="1" fillId="0" borderId="0" xfId="0" applyFont="1" applyFill="1" applyAlignment="1">
      <alignment horizontal="left"/>
    </xf>
    <xf numFmtId="0" fontId="2" fillId="0" borderId="0" xfId="0" applyFont="1" applyAlignment="1">
      <alignment horizontal="center"/>
    </xf>
    <xf numFmtId="0" fontId="0" fillId="0" borderId="0" xfId="0" applyAlignment="1">
      <alignment horizontal="left"/>
    </xf>
    <xf numFmtId="49" fontId="2" fillId="0" borderId="0" xfId="0" applyNumberFormat="1" applyFont="1" applyAlignment="1">
      <alignment horizontal="center"/>
    </xf>
    <xf numFmtId="49" fontId="3" fillId="0" borderId="0" xfId="0" applyNumberFormat="1" applyFont="1" applyAlignment="1">
      <alignment horizontal="center"/>
    </xf>
    <xf numFmtId="0" fontId="0" fillId="0" borderId="0" xfId="0" applyAlignment="1">
      <alignment horizontal="right"/>
    </xf>
    <xf numFmtId="0" fontId="4" fillId="0" borderId="10" xfId="0" applyFont="1" applyBorder="1" applyAlignment="1">
      <alignment/>
    </xf>
    <xf numFmtId="49" fontId="4" fillId="0" borderId="10" xfId="0" applyNumberFormat="1" applyFont="1" applyBorder="1" applyAlignment="1">
      <alignment/>
    </xf>
    <xf numFmtId="0" fontId="4" fillId="0" borderId="11" xfId="0" applyFont="1" applyBorder="1" applyAlignment="1">
      <alignment/>
    </xf>
    <xf numFmtId="0" fontId="4" fillId="0" borderId="12" xfId="0" applyFont="1" applyBorder="1" applyAlignment="1">
      <alignment/>
    </xf>
    <xf numFmtId="0" fontId="0" fillId="0" borderId="13" xfId="0" applyFill="1" applyBorder="1" applyAlignment="1">
      <alignment horizontal="center"/>
    </xf>
    <xf numFmtId="0" fontId="4" fillId="0" borderId="14" xfId="0" applyFont="1" applyBorder="1" applyAlignment="1">
      <alignment/>
    </xf>
    <xf numFmtId="49" fontId="5" fillId="0" borderId="15" xfId="0" applyNumberFormat="1" applyFont="1" applyBorder="1" applyAlignment="1">
      <alignment vertical="justify"/>
    </xf>
    <xf numFmtId="0" fontId="5" fillId="0" borderId="16" xfId="0" applyFont="1" applyBorder="1" applyAlignment="1">
      <alignment vertical="justify"/>
    </xf>
    <xf numFmtId="0" fontId="5" fillId="0" borderId="17" xfId="0" applyFont="1" applyBorder="1" applyAlignment="1">
      <alignment vertical="justify"/>
    </xf>
    <xf numFmtId="0" fontId="0" fillId="0" borderId="18" xfId="0" applyFill="1" applyBorder="1" applyAlignment="1">
      <alignment horizontal="center" vertical="justify"/>
    </xf>
    <xf numFmtId="0" fontId="0" fillId="0" borderId="18" xfId="0" applyFill="1" applyBorder="1" applyAlignment="1">
      <alignment horizontal="center" vertical="center"/>
    </xf>
    <xf numFmtId="0" fontId="6" fillId="0" borderId="19" xfId="0" applyFont="1" applyBorder="1" applyAlignment="1">
      <alignment vertical="justify"/>
    </xf>
    <xf numFmtId="49" fontId="6" fillId="0" borderId="20" xfId="0" applyNumberFormat="1" applyFont="1" applyBorder="1" applyAlignment="1">
      <alignment/>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164" fontId="3" fillId="0" borderId="22" xfId="0" applyNumberFormat="1" applyFont="1" applyFill="1" applyBorder="1" applyAlignment="1">
      <alignment horizontal="right"/>
    </xf>
    <xf numFmtId="0" fontId="2" fillId="0" borderId="0" xfId="0" applyFont="1" applyAlignment="1">
      <alignment/>
    </xf>
    <xf numFmtId="0" fontId="4" fillId="0" borderId="23" xfId="0" applyFont="1" applyBorder="1" applyAlignment="1">
      <alignment vertical="justify"/>
    </xf>
    <xf numFmtId="49" fontId="4" fillId="0" borderId="24" xfId="0" applyNumberFormat="1" applyFont="1" applyBorder="1" applyAlignment="1">
      <alignment/>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164" fontId="7" fillId="0" borderId="26" xfId="0" applyNumberFormat="1" applyFont="1" applyFill="1" applyBorder="1" applyAlignment="1">
      <alignment horizontal="right"/>
    </xf>
    <xf numFmtId="0" fontId="4" fillId="0" borderId="23" xfId="0" applyFont="1" applyBorder="1" applyAlignment="1">
      <alignment horizontal="left" wrapText="1"/>
    </xf>
    <xf numFmtId="49" fontId="4" fillId="0" borderId="25" xfId="0" applyNumberFormat="1" applyFont="1" applyFill="1" applyBorder="1" applyAlignment="1">
      <alignment horizontal="center"/>
    </xf>
    <xf numFmtId="49" fontId="4" fillId="24" borderId="25" xfId="0" applyNumberFormat="1" applyFont="1" applyFill="1" applyBorder="1" applyAlignment="1">
      <alignment horizontal="center"/>
    </xf>
    <xf numFmtId="0" fontId="4" fillId="0" borderId="23" xfId="0" applyFont="1" applyBorder="1" applyAlignment="1">
      <alignment horizontal="left" vertical="justify"/>
    </xf>
    <xf numFmtId="49" fontId="4" fillId="0" borderId="24" xfId="0" applyNumberFormat="1" applyFont="1" applyBorder="1" applyAlignment="1">
      <alignment horizontal="left"/>
    </xf>
    <xf numFmtId="0" fontId="0" fillId="24" borderId="0" xfId="0" applyFill="1" applyAlignment="1">
      <alignment/>
    </xf>
    <xf numFmtId="0" fontId="4" fillId="0" borderId="23" xfId="0" applyFont="1" applyBorder="1" applyAlignment="1">
      <alignment vertical="justify"/>
    </xf>
    <xf numFmtId="49" fontId="4" fillId="0" borderId="24" xfId="0" applyNumberFormat="1" applyFont="1" applyBorder="1" applyAlignment="1">
      <alignment/>
    </xf>
    <xf numFmtId="49" fontId="4" fillId="0" borderId="24" xfId="0" applyNumberFormat="1" applyFont="1" applyFill="1" applyBorder="1" applyAlignment="1">
      <alignment horizontal="center"/>
    </xf>
    <xf numFmtId="0" fontId="4" fillId="0" borderId="0" xfId="0" applyFont="1" applyAlignment="1">
      <alignment/>
    </xf>
    <xf numFmtId="0" fontId="4" fillId="0" borderId="23" xfId="0" applyFont="1" applyBorder="1" applyAlignment="1">
      <alignment wrapText="1"/>
    </xf>
    <xf numFmtId="0" fontId="4" fillId="0" borderId="23" xfId="0" applyFont="1" applyFill="1" applyBorder="1" applyAlignment="1">
      <alignment vertical="justify"/>
    </xf>
    <xf numFmtId="49" fontId="4" fillId="0" borderId="24" xfId="0" applyNumberFormat="1" applyFont="1" applyFill="1" applyBorder="1" applyAlignment="1">
      <alignment/>
    </xf>
    <xf numFmtId="49" fontId="4" fillId="0" borderId="24" xfId="0" applyNumberFormat="1" applyFont="1" applyFill="1" applyBorder="1" applyAlignment="1">
      <alignment horizontal="center"/>
    </xf>
    <xf numFmtId="0" fontId="8" fillId="0" borderId="23" xfId="0" applyFont="1" applyBorder="1" applyAlignment="1">
      <alignment wrapText="1"/>
    </xf>
    <xf numFmtId="0" fontId="0" fillId="0" borderId="0" xfId="0" applyFill="1" applyAlignment="1">
      <alignment/>
    </xf>
    <xf numFmtId="0" fontId="4" fillId="0" borderId="23" xfId="0" applyFont="1" applyFill="1" applyBorder="1" applyAlignment="1">
      <alignment horizontal="left" wrapText="1"/>
    </xf>
    <xf numFmtId="0" fontId="4" fillId="24" borderId="23" xfId="0" applyFont="1" applyFill="1" applyBorder="1" applyAlignment="1">
      <alignment horizontal="left" wrapText="1"/>
    </xf>
    <xf numFmtId="0" fontId="6" fillId="0" borderId="23" xfId="0" applyFont="1" applyBorder="1" applyAlignment="1">
      <alignment vertical="justify"/>
    </xf>
    <xf numFmtId="49" fontId="6" fillId="0" borderId="24" xfId="0" applyNumberFormat="1" applyFont="1" applyBorder="1" applyAlignment="1">
      <alignment/>
    </xf>
    <xf numFmtId="49" fontId="6" fillId="0" borderId="24" xfId="0" applyNumberFormat="1" applyFont="1" applyFill="1" applyBorder="1" applyAlignment="1">
      <alignment horizontal="center"/>
    </xf>
    <xf numFmtId="49" fontId="6" fillId="0" borderId="25" xfId="0" applyNumberFormat="1" applyFont="1" applyFill="1" applyBorder="1" applyAlignment="1">
      <alignment horizontal="center"/>
    </xf>
    <xf numFmtId="164" fontId="3" fillId="0" borderId="26" xfId="0" applyNumberFormat="1" applyFont="1" applyFill="1" applyBorder="1" applyAlignment="1">
      <alignment horizontal="right"/>
    </xf>
    <xf numFmtId="0" fontId="4" fillId="0" borderId="24" xfId="0" applyFont="1" applyBorder="1" applyAlignment="1">
      <alignment horizontal="center"/>
    </xf>
    <xf numFmtId="0" fontId="9" fillId="0" borderId="23" xfId="0" applyFont="1" applyBorder="1" applyAlignment="1">
      <alignment horizontal="left" vertical="justify"/>
    </xf>
    <xf numFmtId="49" fontId="9" fillId="0" borderId="24" xfId="0" applyNumberFormat="1" applyFont="1" applyBorder="1" applyAlignment="1">
      <alignment horizontal="center"/>
    </xf>
    <xf numFmtId="3" fontId="9" fillId="0" borderId="24" xfId="0" applyNumberFormat="1" applyFont="1" applyBorder="1" applyAlignment="1">
      <alignment horizontal="center"/>
    </xf>
    <xf numFmtId="49" fontId="4" fillId="0" borderId="25" xfId="0" applyNumberFormat="1" applyFont="1" applyBorder="1" applyAlignment="1">
      <alignment horizontal="center"/>
    </xf>
    <xf numFmtId="49" fontId="9" fillId="0" borderId="24" xfId="0" applyNumberFormat="1" applyFont="1" applyBorder="1" applyAlignment="1">
      <alignment horizontal="center" vertical="top" wrapText="1"/>
    </xf>
    <xf numFmtId="49" fontId="9" fillId="0" borderId="24" xfId="0" applyNumberFormat="1" applyFont="1" applyBorder="1" applyAlignment="1">
      <alignment horizontal="center" wrapText="1"/>
    </xf>
    <xf numFmtId="49" fontId="9" fillId="0" borderId="25" xfId="0" applyNumberFormat="1" applyFont="1" applyBorder="1" applyAlignment="1">
      <alignment horizontal="center" wrapText="1"/>
    </xf>
    <xf numFmtId="49" fontId="10" fillId="0" borderId="24" xfId="0" applyNumberFormat="1" applyFont="1" applyBorder="1" applyAlignment="1">
      <alignment/>
    </xf>
    <xf numFmtId="164" fontId="7" fillId="0" borderId="26" xfId="0" applyNumberFormat="1" applyFont="1" applyFill="1" applyBorder="1" applyAlignment="1">
      <alignment/>
    </xf>
    <xf numFmtId="49" fontId="9" fillId="0" borderId="25" xfId="0" applyNumberFormat="1" applyFont="1" applyBorder="1" applyAlignment="1">
      <alignment horizontal="center" vertical="top" wrapText="1"/>
    </xf>
    <xf numFmtId="49" fontId="6" fillId="24" borderId="24" xfId="0" applyNumberFormat="1" applyFont="1" applyFill="1" applyBorder="1" applyAlignment="1">
      <alignment/>
    </xf>
    <xf numFmtId="49" fontId="4" fillId="24" borderId="24" xfId="0" applyNumberFormat="1" applyFont="1" applyFill="1" applyBorder="1" applyAlignment="1">
      <alignment horizontal="center"/>
    </xf>
    <xf numFmtId="0" fontId="4" fillId="0" borderId="0" xfId="0" applyFont="1" applyFill="1" applyAlignment="1">
      <alignment horizontal="center"/>
    </xf>
    <xf numFmtId="49" fontId="6" fillId="0" borderId="24" xfId="0" applyNumberFormat="1" applyFont="1" applyBorder="1" applyAlignment="1">
      <alignment horizontal="center"/>
    </xf>
    <xf numFmtId="49" fontId="6" fillId="0" borderId="25" xfId="0" applyNumberFormat="1" applyFont="1" applyBorder="1" applyAlignment="1">
      <alignment horizontal="center"/>
    </xf>
    <xf numFmtId="49" fontId="9" fillId="0" borderId="27" xfId="0" applyNumberFormat="1" applyFont="1" applyBorder="1" applyAlignment="1">
      <alignment horizontal="left" vertical="center" wrapText="1"/>
    </xf>
    <xf numFmtId="0" fontId="11" fillId="0" borderId="23" xfId="0" applyFont="1" applyBorder="1" applyAlignment="1">
      <alignment wrapText="1"/>
    </xf>
    <xf numFmtId="0" fontId="4" fillId="0" borderId="23" xfId="0" applyFont="1" applyFill="1" applyBorder="1" applyAlignment="1">
      <alignment vertical="justify"/>
    </xf>
    <xf numFmtId="164" fontId="7" fillId="0" borderId="26" xfId="0" applyNumberFormat="1" applyFont="1" applyFill="1" applyBorder="1" applyAlignment="1">
      <alignment horizontal="right"/>
    </xf>
    <xf numFmtId="0" fontId="6" fillId="0" borderId="23" xfId="0" applyFont="1" applyFill="1" applyBorder="1" applyAlignment="1">
      <alignment vertical="justify"/>
    </xf>
    <xf numFmtId="49" fontId="6" fillId="0" borderId="24" xfId="0" applyNumberFormat="1" applyFont="1" applyFill="1" applyBorder="1" applyAlignment="1">
      <alignment/>
    </xf>
    <xf numFmtId="49" fontId="6" fillId="24" borderId="25" xfId="0" applyNumberFormat="1" applyFont="1" applyFill="1" applyBorder="1" applyAlignment="1">
      <alignment horizontal="center"/>
    </xf>
    <xf numFmtId="0" fontId="4" fillId="0" borderId="24" xfId="0" applyFont="1" applyFill="1" applyBorder="1" applyAlignment="1">
      <alignment horizontal="left" wrapText="1"/>
    </xf>
    <xf numFmtId="0" fontId="4" fillId="0" borderId="24" xfId="0" applyFont="1" applyFill="1" applyBorder="1" applyAlignment="1">
      <alignment horizontal="left" wrapText="1"/>
    </xf>
    <xf numFmtId="0" fontId="9" fillId="0" borderId="24" xfId="0" applyFont="1" applyFill="1" applyBorder="1" applyAlignment="1">
      <alignment wrapText="1"/>
    </xf>
    <xf numFmtId="0" fontId="9" fillId="0" borderId="23" xfId="0" applyFont="1" applyFill="1" applyBorder="1" applyAlignment="1">
      <alignment wrapText="1"/>
    </xf>
    <xf numFmtId="49" fontId="4" fillId="0" borderId="28" xfId="0" applyNumberFormat="1" applyFont="1" applyBorder="1" applyAlignment="1">
      <alignment/>
    </xf>
    <xf numFmtId="0" fontId="4" fillId="0" borderId="23" xfId="0" applyFont="1" applyFill="1" applyBorder="1" applyAlignment="1">
      <alignment vertical="justify" wrapText="1"/>
    </xf>
    <xf numFmtId="49" fontId="10" fillId="0" borderId="24" xfId="0" applyNumberFormat="1" applyFont="1" applyFill="1" applyBorder="1" applyAlignment="1">
      <alignment/>
    </xf>
    <xf numFmtId="0" fontId="10" fillId="0" borderId="0" xfId="0" applyFont="1" applyFill="1" applyAlignment="1">
      <alignment/>
    </xf>
    <xf numFmtId="49" fontId="9" fillId="0" borderId="25" xfId="0" applyNumberFormat="1" applyFont="1" applyBorder="1" applyAlignment="1">
      <alignment horizontal="center" vertical="center" wrapText="1"/>
    </xf>
    <xf numFmtId="164" fontId="7" fillId="0" borderId="26" xfId="0" applyNumberFormat="1" applyFont="1" applyFill="1" applyBorder="1" applyAlignment="1">
      <alignment horizontal="right" vertical="center"/>
    </xf>
    <xf numFmtId="49" fontId="9" fillId="0" borderId="24" xfId="0" applyNumberFormat="1" applyFont="1" applyBorder="1" applyAlignment="1">
      <alignment horizontal="center" vertical="center" wrapText="1"/>
    </xf>
    <xf numFmtId="49" fontId="9" fillId="0" borderId="28" xfId="0" applyNumberFormat="1" applyFont="1" applyBorder="1" applyAlignment="1">
      <alignment horizontal="center" vertical="top" wrapText="1"/>
    </xf>
    <xf numFmtId="49" fontId="9" fillId="0" borderId="23" xfId="0" applyNumberFormat="1" applyFont="1" applyBorder="1" applyAlignment="1">
      <alignment horizontal="left" vertical="top" wrapText="1"/>
    </xf>
    <xf numFmtId="164" fontId="12" fillId="0" borderId="26" xfId="0" applyNumberFormat="1" applyFont="1" applyFill="1" applyBorder="1" applyAlignment="1">
      <alignment/>
    </xf>
    <xf numFmtId="49" fontId="9" fillId="0" borderId="23" xfId="0" applyNumberFormat="1" applyFont="1" applyBorder="1" applyAlignment="1">
      <alignment horizontal="left" vertical="center" wrapText="1"/>
    </xf>
    <xf numFmtId="0" fontId="9" fillId="0" borderId="23" xfId="0" applyFont="1" applyBorder="1" applyAlignment="1">
      <alignment wrapText="1"/>
    </xf>
    <xf numFmtId="164" fontId="4" fillId="0" borderId="26" xfId="0" applyNumberFormat="1" applyFont="1" applyFill="1" applyBorder="1" applyAlignment="1">
      <alignment horizontal="right"/>
    </xf>
    <xf numFmtId="0" fontId="4" fillId="0" borderId="23" xfId="0" applyFont="1" applyBorder="1" applyAlignment="1">
      <alignment horizontal="left" vertical="justify" wrapText="1"/>
    </xf>
    <xf numFmtId="49" fontId="9" fillId="0" borderId="24" xfId="0" applyNumberFormat="1" applyFont="1" applyBorder="1" applyAlignment="1">
      <alignment horizontal="justify" vertical="top" wrapText="1"/>
    </xf>
    <xf numFmtId="0" fontId="4" fillId="0" borderId="23" xfId="0" applyFont="1" applyFill="1" applyBorder="1" applyAlignment="1">
      <alignment horizontal="justify" vertical="top" wrapText="1"/>
    </xf>
    <xf numFmtId="0" fontId="4" fillId="0" borderId="23" xfId="0" applyFont="1" applyFill="1" applyBorder="1" applyAlignment="1">
      <alignment horizontal="justify" vertical="justify" wrapText="1"/>
    </xf>
    <xf numFmtId="49" fontId="13" fillId="0" borderId="24" xfId="0" applyNumberFormat="1" applyFont="1" applyBorder="1" applyAlignment="1">
      <alignment horizontal="justify" vertical="top" wrapText="1"/>
    </xf>
    <xf numFmtId="0" fontId="9" fillId="0" borderId="23" xfId="0" applyFont="1" applyBorder="1" applyAlignment="1">
      <alignment horizontal="left" wrapText="1"/>
    </xf>
    <xf numFmtId="49" fontId="9" fillId="0" borderId="24" xfId="0" applyNumberFormat="1" applyFont="1" applyBorder="1" applyAlignment="1">
      <alignment/>
    </xf>
    <xf numFmtId="49" fontId="9" fillId="0" borderId="24" xfId="0" applyNumberFormat="1" applyFont="1" applyFill="1" applyBorder="1" applyAlignment="1">
      <alignment horizontal="center"/>
    </xf>
    <xf numFmtId="164" fontId="12" fillId="0" borderId="26" xfId="0" applyNumberFormat="1" applyFont="1" applyFill="1" applyBorder="1" applyAlignment="1">
      <alignment horizontal="right"/>
    </xf>
    <xf numFmtId="0" fontId="9" fillId="0" borderId="0" xfId="0" applyFont="1" applyAlignment="1">
      <alignment/>
    </xf>
    <xf numFmtId="0" fontId="4" fillId="24" borderId="23" xfId="0" applyFont="1" applyFill="1" applyBorder="1" applyAlignment="1">
      <alignment vertical="justify"/>
    </xf>
    <xf numFmtId="49" fontId="4" fillId="24" borderId="24" xfId="0" applyNumberFormat="1" applyFont="1" applyFill="1" applyBorder="1" applyAlignment="1">
      <alignment/>
    </xf>
    <xf numFmtId="49" fontId="4" fillId="0" borderId="24" xfId="0" applyNumberFormat="1" applyFont="1" applyBorder="1" applyAlignment="1">
      <alignment horizontal="center"/>
    </xf>
    <xf numFmtId="0" fontId="10" fillId="0" borderId="0" xfId="0" applyFont="1" applyAlignment="1">
      <alignment/>
    </xf>
    <xf numFmtId="0" fontId="10" fillId="0" borderId="23" xfId="0" applyFont="1" applyBorder="1" applyAlignment="1">
      <alignment vertical="justify"/>
    </xf>
    <xf numFmtId="49" fontId="10" fillId="0" borderId="24" xfId="0" applyNumberFormat="1" applyFont="1" applyBorder="1" applyAlignment="1">
      <alignment horizontal="center"/>
    </xf>
    <xf numFmtId="49" fontId="10" fillId="0" borderId="25" xfId="0" applyNumberFormat="1" applyFont="1" applyBorder="1" applyAlignment="1">
      <alignment horizontal="center"/>
    </xf>
    <xf numFmtId="164" fontId="10" fillId="0" borderId="26" xfId="0" applyNumberFormat="1" applyFont="1" applyFill="1" applyBorder="1" applyAlignment="1">
      <alignment horizontal="right"/>
    </xf>
    <xf numFmtId="0" fontId="4" fillId="0" borderId="23" xfId="0" applyFont="1" applyBorder="1" applyAlignment="1">
      <alignment horizontal="left" wrapText="1"/>
    </xf>
    <xf numFmtId="0" fontId="10" fillId="0" borderId="23" xfId="0" applyFont="1" applyBorder="1" applyAlignment="1">
      <alignment horizontal="left" wrapText="1"/>
    </xf>
    <xf numFmtId="49" fontId="10" fillId="0" borderId="24" xfId="0" applyNumberFormat="1" applyFont="1" applyBorder="1" applyAlignment="1">
      <alignment/>
    </xf>
    <xf numFmtId="49" fontId="10" fillId="0" borderId="25" xfId="0" applyNumberFormat="1" applyFont="1" applyFill="1" applyBorder="1" applyAlignment="1">
      <alignment horizontal="center"/>
    </xf>
    <xf numFmtId="164" fontId="10" fillId="0" borderId="26" xfId="0" applyNumberFormat="1" applyFont="1" applyFill="1" applyBorder="1" applyAlignment="1">
      <alignment horizontal="right"/>
    </xf>
    <xf numFmtId="0" fontId="4" fillId="0" borderId="24" xfId="0" applyFont="1" applyBorder="1" applyAlignment="1">
      <alignment/>
    </xf>
    <xf numFmtId="0" fontId="4" fillId="0" borderId="25" xfId="0" applyFont="1" applyBorder="1" applyAlignment="1">
      <alignment/>
    </xf>
    <xf numFmtId="49" fontId="6" fillId="0" borderId="24" xfId="0" applyNumberFormat="1" applyFont="1" applyBorder="1" applyAlignment="1">
      <alignment/>
    </xf>
    <xf numFmtId="0" fontId="2" fillId="0" borderId="0" xfId="0" applyFont="1" applyAlignment="1">
      <alignment/>
    </xf>
    <xf numFmtId="165" fontId="7" fillId="0" borderId="26" xfId="0" applyNumberFormat="1" applyFont="1" applyFill="1" applyBorder="1" applyAlignment="1">
      <alignment horizontal="right"/>
    </xf>
    <xf numFmtId="0" fontId="4" fillId="0" borderId="23" xfId="0" applyFont="1" applyBorder="1" applyAlignment="1">
      <alignment wrapText="1"/>
    </xf>
    <xf numFmtId="0" fontId="4" fillId="0" borderId="23" xfId="0" applyNumberFormat="1" applyFont="1" applyBorder="1" applyAlignment="1">
      <alignment horizontal="left" wrapText="1"/>
    </xf>
    <xf numFmtId="49" fontId="14" fillId="24" borderId="24" xfId="0" applyNumberFormat="1" applyFont="1" applyFill="1" applyBorder="1" applyAlignment="1">
      <alignment/>
    </xf>
    <xf numFmtId="0" fontId="14" fillId="24" borderId="0" xfId="0" applyFont="1" applyFill="1" applyAlignment="1">
      <alignment/>
    </xf>
    <xf numFmtId="49" fontId="4" fillId="0" borderId="25" xfId="0" applyNumberFormat="1" applyFont="1" applyFill="1" applyBorder="1" applyAlignment="1">
      <alignment horizontal="center"/>
    </xf>
    <xf numFmtId="166" fontId="7" fillId="0" borderId="26" xfId="0" applyNumberFormat="1" applyFont="1" applyFill="1" applyBorder="1" applyAlignment="1">
      <alignment horizontal="right"/>
    </xf>
    <xf numFmtId="0" fontId="4" fillId="0" borderId="0" xfId="0" applyFont="1" applyAlignment="1">
      <alignment/>
    </xf>
    <xf numFmtId="0" fontId="11" fillId="0" borderId="24" xfId="0" applyFont="1" applyFill="1" applyBorder="1" applyAlignment="1">
      <alignment horizontal="left" wrapText="1"/>
    </xf>
    <xf numFmtId="0" fontId="8" fillId="0" borderId="24" xfId="0" applyFont="1" applyFill="1" applyBorder="1" applyAlignment="1">
      <alignment horizontal="left" wrapText="1"/>
    </xf>
    <xf numFmtId="0" fontId="0" fillId="24" borderId="0" xfId="0" applyFont="1" applyFill="1" applyAlignment="1">
      <alignment/>
    </xf>
    <xf numFmtId="49" fontId="10" fillId="0" borderId="24" xfId="0" applyNumberFormat="1" applyFont="1" applyFill="1" applyBorder="1" applyAlignment="1">
      <alignment/>
    </xf>
    <xf numFmtId="49" fontId="4" fillId="0" borderId="24" xfId="0" applyNumberFormat="1" applyFont="1" applyFill="1" applyBorder="1" applyAlignment="1">
      <alignment/>
    </xf>
    <xf numFmtId="0" fontId="2" fillId="0" borderId="0" xfId="0" applyFont="1" applyFill="1" applyAlignment="1">
      <alignment/>
    </xf>
    <xf numFmtId="0" fontId="8" fillId="0" borderId="23" xfId="0" applyFont="1" applyFill="1" applyBorder="1" applyAlignment="1">
      <alignment wrapText="1"/>
    </xf>
    <xf numFmtId="0" fontId="9" fillId="24" borderId="23" xfId="0" applyFont="1" applyFill="1" applyBorder="1" applyAlignment="1">
      <alignment wrapText="1"/>
    </xf>
    <xf numFmtId="0" fontId="9" fillId="0" borderId="23" xfId="0" applyFont="1" applyBorder="1" applyAlignment="1">
      <alignment vertical="justify"/>
    </xf>
    <xf numFmtId="0" fontId="4" fillId="0" borderId="23" xfId="0" applyNumberFormat="1" applyFont="1" applyBorder="1" applyAlignment="1">
      <alignment vertical="justify"/>
    </xf>
    <xf numFmtId="49" fontId="4" fillId="0" borderId="24" xfId="0" applyNumberFormat="1" applyFont="1" applyBorder="1" applyAlignment="1">
      <alignment/>
    </xf>
    <xf numFmtId="49" fontId="1" fillId="0" borderId="25" xfId="0" applyNumberFormat="1" applyFont="1" applyBorder="1" applyAlignment="1">
      <alignment horizontal="center"/>
    </xf>
    <xf numFmtId="0" fontId="4" fillId="0" borderId="29" xfId="0" applyFont="1" applyBorder="1" applyAlignment="1">
      <alignment vertical="justify"/>
    </xf>
    <xf numFmtId="49" fontId="4" fillId="0" borderId="30" xfId="0" applyNumberFormat="1" applyFont="1" applyBorder="1" applyAlignment="1">
      <alignment/>
    </xf>
    <xf numFmtId="49" fontId="4" fillId="0" borderId="30" xfId="0" applyNumberFormat="1" applyFont="1" applyBorder="1" applyAlignment="1">
      <alignment horizontal="center"/>
    </xf>
    <xf numFmtId="49" fontId="1" fillId="0" borderId="31" xfId="0" applyNumberFormat="1" applyFont="1" applyBorder="1" applyAlignment="1">
      <alignment horizontal="center"/>
    </xf>
    <xf numFmtId="164" fontId="7" fillId="0" borderId="32" xfId="0" applyNumberFormat="1" applyFont="1" applyFill="1" applyBorder="1" applyAlignment="1">
      <alignment horizontal="right"/>
    </xf>
    <xf numFmtId="0" fontId="6" fillId="0" borderId="15" xfId="0" applyFont="1" applyBorder="1" applyAlignment="1">
      <alignment vertical="justify"/>
    </xf>
    <xf numFmtId="49" fontId="6" fillId="0" borderId="16" xfId="0" applyNumberFormat="1" applyFont="1" applyBorder="1" applyAlignment="1">
      <alignment/>
    </xf>
    <xf numFmtId="49" fontId="6" fillId="0" borderId="16" xfId="0" applyNumberFormat="1" applyFont="1" applyFill="1" applyBorder="1" applyAlignment="1">
      <alignment horizontal="center"/>
    </xf>
    <xf numFmtId="49" fontId="6" fillId="0" borderId="17" xfId="0" applyNumberFormat="1" applyFont="1" applyFill="1" applyBorder="1" applyAlignment="1">
      <alignment horizontal="center"/>
    </xf>
    <xf numFmtId="164" fontId="3" fillId="0" borderId="33" xfId="0" applyNumberFormat="1" applyFont="1" applyFill="1" applyBorder="1" applyAlignment="1">
      <alignment horizontal="right"/>
    </xf>
    <xf numFmtId="0" fontId="0" fillId="0" borderId="15" xfId="0" applyFont="1" applyBorder="1" applyAlignment="1">
      <alignment horizontal="left" wrapText="1"/>
    </xf>
    <xf numFmtId="49" fontId="0" fillId="0" borderId="16" xfId="0" applyNumberFormat="1" applyBorder="1" applyAlignment="1">
      <alignment/>
    </xf>
    <xf numFmtId="49" fontId="0" fillId="0" borderId="16" xfId="0" applyNumberFormat="1" applyBorder="1" applyAlignment="1">
      <alignment horizontal="center"/>
    </xf>
    <xf numFmtId="49" fontId="0" fillId="0" borderId="17" xfId="0" applyNumberFormat="1" applyBorder="1" applyAlignment="1">
      <alignment/>
    </xf>
    <xf numFmtId="164" fontId="3" fillId="0" borderId="18" xfId="0" applyNumberFormat="1" applyFont="1" applyFill="1" applyBorder="1" applyAlignment="1">
      <alignment horizontal="right"/>
    </xf>
    <xf numFmtId="0" fontId="0" fillId="0" borderId="29" xfId="0" applyFont="1" applyBorder="1" applyAlignment="1">
      <alignment horizontal="left" vertical="justify" wrapText="1"/>
    </xf>
    <xf numFmtId="49" fontId="0" fillId="0" borderId="34" xfId="0" applyNumberFormat="1" applyBorder="1" applyAlignment="1">
      <alignment/>
    </xf>
    <xf numFmtId="49" fontId="0" fillId="0" borderId="34" xfId="0" applyNumberFormat="1" applyBorder="1" applyAlignment="1">
      <alignment horizontal="center"/>
    </xf>
    <xf numFmtId="49" fontId="0" fillId="0" borderId="11" xfId="0" applyNumberFormat="1" applyBorder="1" applyAlignment="1">
      <alignment/>
    </xf>
    <xf numFmtId="164" fontId="7" fillId="0" borderId="13" xfId="0" applyNumberFormat="1" applyFont="1" applyFill="1" applyBorder="1" applyAlignment="1">
      <alignment/>
    </xf>
    <xf numFmtId="0" fontId="0" fillId="0" borderId="15" xfId="0" applyFont="1" applyBorder="1" applyAlignment="1">
      <alignment horizontal="left" vertical="justify" wrapText="1"/>
    </xf>
    <xf numFmtId="49" fontId="0" fillId="0" borderId="35" xfId="0" applyNumberFormat="1" applyBorder="1" applyAlignment="1">
      <alignment horizontal="center"/>
    </xf>
    <xf numFmtId="164" fontId="7" fillId="0" borderId="18" xfId="0" applyNumberFormat="1" applyFont="1" applyFill="1" applyBorder="1" applyAlignment="1">
      <alignment horizontal="right"/>
    </xf>
    <xf numFmtId="0" fontId="7" fillId="0" borderId="19" xfId="0" applyFont="1" applyBorder="1" applyAlignment="1">
      <alignment horizontal="left" vertical="justify" wrapText="1"/>
    </xf>
    <xf numFmtId="49" fontId="0" fillId="0" borderId="20" xfId="0" applyNumberFormat="1" applyBorder="1" applyAlignment="1">
      <alignment horizontal="center"/>
    </xf>
    <xf numFmtId="49" fontId="0" fillId="0" borderId="36" xfId="0" applyNumberFormat="1" applyBorder="1" applyAlignment="1">
      <alignment horizontal="center"/>
    </xf>
    <xf numFmtId="165" fontId="7" fillId="0" borderId="26" xfId="0" applyNumberFormat="1" applyFont="1" applyFill="1" applyBorder="1" applyAlignment="1">
      <alignment/>
    </xf>
    <xf numFmtId="49" fontId="0" fillId="0" borderId="24" xfId="0" applyNumberFormat="1" applyBorder="1" applyAlignment="1">
      <alignment horizontal="center"/>
    </xf>
    <xf numFmtId="49" fontId="0" fillId="0" borderId="37" xfId="0" applyNumberFormat="1" applyBorder="1" applyAlignment="1">
      <alignment horizontal="center"/>
    </xf>
    <xf numFmtId="0" fontId="4" fillId="0" borderId="19" xfId="0" applyFont="1" applyBorder="1" applyAlignment="1">
      <alignment horizontal="left" vertical="justify" wrapText="1"/>
    </xf>
    <xf numFmtId="165" fontId="7" fillId="0" borderId="22" xfId="0" applyNumberFormat="1" applyFont="1" applyFill="1" applyBorder="1" applyAlignment="1">
      <alignment/>
    </xf>
    <xf numFmtId="0" fontId="4" fillId="0" borderId="23" xfId="0" applyFont="1" applyBorder="1" applyAlignment="1">
      <alignment vertical="top" wrapText="1"/>
    </xf>
    <xf numFmtId="0" fontId="7" fillId="0" borderId="26" xfId="0" applyFont="1" applyFill="1" applyBorder="1" applyAlignment="1">
      <alignment/>
    </xf>
    <xf numFmtId="0" fontId="4" fillId="0" borderId="29" xfId="0" applyFont="1" applyBorder="1" applyAlignment="1">
      <alignment vertical="top" wrapText="1"/>
    </xf>
    <xf numFmtId="49" fontId="0" fillId="0" borderId="30" xfId="0" applyNumberFormat="1" applyBorder="1" applyAlignment="1">
      <alignment horizontal="center"/>
    </xf>
    <xf numFmtId="49" fontId="0" fillId="0" borderId="38" xfId="0" applyNumberFormat="1" applyBorder="1" applyAlignment="1">
      <alignment horizontal="center"/>
    </xf>
    <xf numFmtId="165" fontId="7" fillId="0" borderId="32" xfId="0" applyNumberFormat="1" applyFont="1" applyFill="1" applyBorder="1" applyAlignment="1">
      <alignment/>
    </xf>
    <xf numFmtId="0" fontId="9" fillId="0" borderId="23" xfId="0" applyNumberFormat="1" applyFont="1" applyBorder="1" applyAlignment="1">
      <alignment vertical="justify"/>
    </xf>
    <xf numFmtId="0" fontId="0" fillId="0" borderId="24" xfId="0" applyBorder="1" applyAlignment="1">
      <alignment horizontal="center"/>
    </xf>
    <xf numFmtId="0" fontId="0" fillId="0" borderId="37" xfId="0" applyBorder="1" applyAlignment="1">
      <alignment horizontal="center"/>
    </xf>
    <xf numFmtId="0" fontId="4" fillId="0" borderId="39" xfId="0" applyFont="1" applyBorder="1" applyAlignment="1">
      <alignment vertical="justify"/>
    </xf>
    <xf numFmtId="49" fontId="0" fillId="0" borderId="40" xfId="0" applyNumberForma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164" fontId="7" fillId="0" borderId="42" xfId="0" applyNumberFormat="1" applyFont="1" applyFill="1" applyBorder="1" applyAlignment="1">
      <alignment horizontal="right"/>
    </xf>
    <xf numFmtId="49" fontId="4" fillId="0" borderId="43" xfId="0" applyNumberFormat="1"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49" fontId="5" fillId="0" borderId="29" xfId="0" applyNumberFormat="1" applyFont="1" applyBorder="1" applyAlignment="1">
      <alignment vertical="justify"/>
    </xf>
    <xf numFmtId="0" fontId="5" fillId="0" borderId="47" xfId="0" applyFont="1" applyBorder="1" applyAlignment="1">
      <alignment vertical="justify"/>
    </xf>
    <xf numFmtId="0" fontId="5" fillId="0" borderId="48" xfId="0" applyFont="1" applyBorder="1" applyAlignment="1">
      <alignment vertical="justify"/>
    </xf>
    <xf numFmtId="0" fontId="6" fillId="0" borderId="49" xfId="0" applyFont="1" applyBorder="1" applyAlignment="1">
      <alignment vertical="justify"/>
    </xf>
    <xf numFmtId="49" fontId="6" fillId="0" borderId="50" xfId="0" applyNumberFormat="1" applyFont="1" applyBorder="1" applyAlignment="1">
      <alignment/>
    </xf>
    <xf numFmtId="0" fontId="4" fillId="0" borderId="50" xfId="0" applyFont="1" applyBorder="1" applyAlignment="1">
      <alignment/>
    </xf>
    <xf numFmtId="164" fontId="3" fillId="0" borderId="51" xfId="0" applyNumberFormat="1" applyFont="1" applyFill="1" applyBorder="1" applyAlignment="1">
      <alignment horizontal="right"/>
    </xf>
    <xf numFmtId="0" fontId="6" fillId="0" borderId="23" xfId="0" applyFont="1" applyFill="1" applyBorder="1" applyAlignment="1">
      <alignment vertical="justify"/>
    </xf>
    <xf numFmtId="49" fontId="6" fillId="0" borderId="24" xfId="0" applyNumberFormat="1" applyFont="1" applyFill="1" applyBorder="1" applyAlignment="1">
      <alignment/>
    </xf>
    <xf numFmtId="164" fontId="3" fillId="0" borderId="26" xfId="0" applyNumberFormat="1" applyFont="1" applyFill="1" applyBorder="1" applyAlignment="1">
      <alignment horizontal="right"/>
    </xf>
    <xf numFmtId="0" fontId="6" fillId="0" borderId="23" xfId="0" applyFont="1" applyBorder="1" applyAlignment="1">
      <alignment vertical="justify"/>
    </xf>
    <xf numFmtId="0" fontId="4" fillId="0" borderId="25" xfId="0" applyFont="1" applyBorder="1" applyAlignment="1">
      <alignment horizontal="center"/>
    </xf>
    <xf numFmtId="0" fontId="10" fillId="0" borderId="0" xfId="0" applyFont="1" applyFill="1" applyAlignment="1">
      <alignment horizontal="center"/>
    </xf>
    <xf numFmtId="0" fontId="4" fillId="0" borderId="23" xfId="0" applyFont="1" applyFill="1" applyBorder="1" applyAlignment="1">
      <alignment horizontal="left" wrapText="1"/>
    </xf>
    <xf numFmtId="0" fontId="4" fillId="0" borderId="0" xfId="0" applyFont="1" applyAlignment="1">
      <alignment horizontal="left"/>
    </xf>
    <xf numFmtId="49" fontId="4" fillId="24" borderId="24" xfId="0" applyNumberFormat="1" applyFont="1" applyFill="1" applyBorder="1" applyAlignment="1">
      <alignment horizontal="center"/>
    </xf>
    <xf numFmtId="49" fontId="4" fillId="24" borderId="25" xfId="0" applyNumberFormat="1" applyFont="1" applyFill="1" applyBorder="1" applyAlignment="1">
      <alignment horizontal="center"/>
    </xf>
    <xf numFmtId="49" fontId="4" fillId="24" borderId="24" xfId="0" applyNumberFormat="1" applyFont="1" applyFill="1" applyBorder="1" applyAlignment="1">
      <alignment horizontal="left"/>
    </xf>
    <xf numFmtId="164" fontId="7" fillId="24" borderId="26" xfId="0" applyNumberFormat="1" applyFont="1" applyFill="1" applyBorder="1" applyAlignment="1">
      <alignment horizontal="right"/>
    </xf>
    <xf numFmtId="0" fontId="4" fillId="0" borderId="23" xfId="0" applyFont="1" applyBorder="1" applyAlignment="1">
      <alignment horizontal="left" vertical="justify"/>
    </xf>
    <xf numFmtId="0" fontId="11" fillId="0" borderId="23" xfId="0" applyFont="1" applyBorder="1" applyAlignment="1">
      <alignment horizontal="left" wrapText="1"/>
    </xf>
    <xf numFmtId="49" fontId="9" fillId="0" borderId="25" xfId="0" applyNumberFormat="1" applyFont="1" applyBorder="1" applyAlignment="1">
      <alignment horizontal="center"/>
    </xf>
    <xf numFmtId="49" fontId="6" fillId="0" borderId="24" xfId="0" applyNumberFormat="1" applyFont="1" applyFill="1" applyBorder="1" applyAlignment="1">
      <alignment horizontal="center"/>
    </xf>
    <xf numFmtId="49" fontId="6" fillId="0" borderId="25" xfId="0" applyNumberFormat="1" applyFont="1" applyFill="1" applyBorder="1" applyAlignment="1">
      <alignment horizontal="center"/>
    </xf>
    <xf numFmtId="0" fontId="11" fillId="0" borderId="23" xfId="0" applyFont="1" applyFill="1" applyBorder="1" applyAlignment="1">
      <alignment horizontal="left" wrapText="1"/>
    </xf>
    <xf numFmtId="0" fontId="8" fillId="0" borderId="23" xfId="0" applyFont="1" applyFill="1" applyBorder="1" applyAlignment="1">
      <alignment horizontal="left" wrapText="1"/>
    </xf>
    <xf numFmtId="49" fontId="9" fillId="0" borderId="29" xfId="0" applyNumberFormat="1" applyFont="1" applyBorder="1" applyAlignment="1">
      <alignment horizontal="left" vertical="center" wrapText="1"/>
    </xf>
    <xf numFmtId="49" fontId="4" fillId="0" borderId="30" xfId="0" applyNumberFormat="1" applyFont="1" applyFill="1" applyBorder="1" applyAlignment="1">
      <alignment/>
    </xf>
    <xf numFmtId="49" fontId="4" fillId="0" borderId="30" xfId="0" applyNumberFormat="1" applyFont="1" applyFill="1" applyBorder="1" applyAlignment="1">
      <alignment horizontal="center"/>
    </xf>
    <xf numFmtId="49" fontId="4" fillId="0" borderId="31" xfId="0" applyNumberFormat="1" applyFont="1" applyFill="1" applyBorder="1" applyAlignment="1">
      <alignment horizontal="center"/>
    </xf>
    <xf numFmtId="164" fontId="7" fillId="0" borderId="32" xfId="0" applyNumberFormat="1" applyFont="1" applyFill="1" applyBorder="1" applyAlignment="1">
      <alignment horizontal="right"/>
    </xf>
    <xf numFmtId="164" fontId="3" fillId="0" borderId="32" xfId="0" applyNumberFormat="1" applyFont="1" applyFill="1" applyBorder="1" applyAlignment="1">
      <alignment horizontal="right"/>
    </xf>
    <xf numFmtId="0" fontId="0" fillId="0" borderId="52" xfId="0" applyFont="1" applyBorder="1" applyAlignment="1">
      <alignment horizontal="left" wrapText="1"/>
    </xf>
    <xf numFmtId="49" fontId="0" fillId="0" borderId="53" xfId="0" applyNumberFormat="1" applyBorder="1" applyAlignment="1">
      <alignment/>
    </xf>
    <xf numFmtId="49" fontId="0" fillId="0" borderId="53" xfId="0" applyNumberFormat="1" applyBorder="1" applyAlignment="1">
      <alignment horizontal="center"/>
    </xf>
    <xf numFmtId="49" fontId="0" fillId="0" borderId="54" xfId="0" applyNumberFormat="1" applyBorder="1" applyAlignment="1">
      <alignment/>
    </xf>
    <xf numFmtId="164" fontId="7" fillId="0" borderId="18" xfId="0" applyNumberFormat="1" applyFont="1" applyFill="1" applyBorder="1" applyAlignment="1">
      <alignment horizontal="right"/>
    </xf>
    <xf numFmtId="164" fontId="7" fillId="0" borderId="33" xfId="0" applyNumberFormat="1" applyFont="1" applyFill="1" applyBorder="1" applyAlignment="1">
      <alignment horizontal="right"/>
    </xf>
    <xf numFmtId="164" fontId="7" fillId="0" borderId="33" xfId="0" applyNumberFormat="1" applyFont="1" applyFill="1" applyBorder="1" applyAlignment="1">
      <alignment horizontal="right"/>
    </xf>
    <xf numFmtId="0" fontId="0" fillId="0" borderId="0" xfId="0" applyAlignment="1">
      <alignment horizontal="center" vertical="center" wrapText="1"/>
    </xf>
    <xf numFmtId="0" fontId="15" fillId="0" borderId="0" xfId="0" applyFont="1" applyAlignment="1">
      <alignment horizontal="right" vertical="center" wrapText="1"/>
    </xf>
    <xf numFmtId="0" fontId="0" fillId="0" borderId="0" xfId="0" applyAlignment="1">
      <alignment vertical="center" wrapText="1"/>
    </xf>
    <xf numFmtId="0" fontId="17" fillId="0" borderId="0" xfId="0" applyFont="1" applyFill="1" applyAlignment="1">
      <alignment vertical="center" wrapText="1"/>
    </xf>
    <xf numFmtId="167" fontId="17" fillId="0" borderId="0" xfId="61" applyNumberFormat="1" applyFont="1" applyAlignment="1">
      <alignment horizontal="right" vertical="center"/>
    </xf>
    <xf numFmtId="167" fontId="17" fillId="0" borderId="0" xfId="61" applyNumberFormat="1" applyFont="1" applyFill="1" applyAlignment="1">
      <alignment horizontal="right" vertical="center"/>
    </xf>
    <xf numFmtId="165" fontId="37" fillId="0" borderId="0" xfId="0" applyNumberFormat="1" applyFont="1" applyFill="1" applyAlignment="1">
      <alignment horizontal="center" vertical="center" wrapText="1"/>
    </xf>
    <xf numFmtId="165" fontId="37" fillId="0" borderId="0" xfId="0" applyNumberFormat="1" applyFont="1" applyFill="1" applyAlignment="1">
      <alignment vertical="center" wrapText="1"/>
    </xf>
    <xf numFmtId="0" fontId="17" fillId="0" borderId="0" xfId="0" applyFont="1" applyAlignment="1">
      <alignment horizontal="center" vertical="center" wrapText="1"/>
    </xf>
    <xf numFmtId="0" fontId="3" fillId="0" borderId="0" xfId="0" applyFont="1" applyFill="1" applyAlignment="1">
      <alignment horizontal="center" vertical="center" wrapText="1"/>
    </xf>
    <xf numFmtId="164" fontId="15" fillId="0" borderId="0" xfId="61" applyNumberFormat="1" applyFont="1" applyAlignment="1">
      <alignment horizontal="right" vertical="center" wrapText="1"/>
    </xf>
    <xf numFmtId="0" fontId="17" fillId="0" borderId="0" xfId="0" applyFont="1" applyAlignment="1">
      <alignment vertical="center" wrapText="1"/>
    </xf>
    <xf numFmtId="0" fontId="17" fillId="0" borderId="24" xfId="0" applyFont="1" applyBorder="1" applyAlignment="1">
      <alignment horizontal="center" vertical="center" wrapText="1"/>
    </xf>
    <xf numFmtId="0" fontId="17" fillId="24" borderId="24" xfId="0" applyFont="1" applyFill="1" applyBorder="1" applyAlignment="1">
      <alignment horizontal="left" vertical="center" wrapText="1"/>
    </xf>
    <xf numFmtId="168" fontId="15" fillId="0" borderId="24" xfId="61" applyNumberFormat="1" applyFont="1" applyBorder="1" applyAlignment="1">
      <alignment horizontal="center" vertical="center" wrapText="1"/>
    </xf>
    <xf numFmtId="168" fontId="15" fillId="0" borderId="24" xfId="61" applyNumberFormat="1" applyFont="1" applyFill="1" applyBorder="1" applyAlignment="1">
      <alignment horizontal="center" vertical="center" wrapText="1"/>
    </xf>
    <xf numFmtId="169" fontId="17" fillId="0" borderId="24" xfId="58" applyNumberFormat="1" applyFont="1" applyBorder="1" applyAlignment="1">
      <alignment horizontal="center" vertical="center" wrapText="1"/>
    </xf>
    <xf numFmtId="0" fontId="0" fillId="0" borderId="0" xfId="0" applyFont="1" applyAlignment="1">
      <alignment vertical="center" wrapText="1"/>
    </xf>
    <xf numFmtId="0" fontId="38" fillId="0" borderId="24" xfId="0" applyFont="1" applyBorder="1" applyAlignment="1">
      <alignment horizontal="center" vertical="center" wrapText="1"/>
    </xf>
    <xf numFmtId="0" fontId="38" fillId="0" borderId="24" xfId="0" applyFont="1" applyFill="1" applyBorder="1" applyAlignment="1">
      <alignment vertical="center" wrapText="1"/>
    </xf>
    <xf numFmtId="168" fontId="38" fillId="0" borderId="24" xfId="61" applyNumberFormat="1" applyFont="1" applyBorder="1" applyAlignment="1">
      <alignment vertical="center" wrapText="1"/>
    </xf>
    <xf numFmtId="168" fontId="38" fillId="0" borderId="24" xfId="61" applyNumberFormat="1" applyFont="1" applyFill="1" applyBorder="1" applyAlignment="1">
      <alignment vertical="center" wrapText="1"/>
    </xf>
    <xf numFmtId="170" fontId="38" fillId="0" borderId="24" xfId="58" applyNumberFormat="1" applyFont="1" applyBorder="1" applyAlignment="1">
      <alignment horizontal="center" vertical="center" wrapText="1"/>
    </xf>
    <xf numFmtId="0" fontId="2" fillId="0" borderId="0" xfId="0" applyFont="1" applyAlignment="1">
      <alignment vertical="center" wrapText="1"/>
    </xf>
    <xf numFmtId="0" fontId="17" fillId="0" borderId="24" xfId="0" applyFont="1" applyFill="1" applyBorder="1" applyAlignment="1">
      <alignment vertical="center" wrapText="1"/>
    </xf>
    <xf numFmtId="168" fontId="17" fillId="0" borderId="24" xfId="61" applyNumberFormat="1" applyFont="1" applyBorder="1" applyAlignment="1">
      <alignment vertical="center" wrapText="1"/>
    </xf>
    <xf numFmtId="168" fontId="17" fillId="0" borderId="24" xfId="61" applyNumberFormat="1" applyFont="1" applyFill="1" applyBorder="1" applyAlignment="1">
      <alignment vertical="center" wrapText="1"/>
    </xf>
    <xf numFmtId="170" fontId="17" fillId="0" borderId="24" xfId="58" applyNumberFormat="1" applyFont="1" applyBorder="1" applyAlignment="1">
      <alignment horizontal="center" vertical="center" wrapText="1"/>
    </xf>
    <xf numFmtId="0" fontId="17" fillId="0" borderId="24" xfId="0" applyFont="1" applyFill="1" applyBorder="1" applyAlignment="1">
      <alignment horizontal="left" vertical="center" wrapText="1"/>
    </xf>
    <xf numFmtId="168" fontId="17" fillId="24" borderId="24" xfId="61" applyNumberFormat="1" applyFont="1" applyFill="1" applyBorder="1" applyAlignment="1">
      <alignment horizontal="center" vertical="center" wrapText="1"/>
    </xf>
    <xf numFmtId="168" fontId="17" fillId="0" borderId="24" xfId="61" applyNumberFormat="1" applyFont="1" applyFill="1" applyBorder="1" applyAlignment="1">
      <alignment horizontal="center" vertical="center" wrapText="1"/>
    </xf>
    <xf numFmtId="165" fontId="17" fillId="0" borderId="24" xfId="61" applyNumberFormat="1" applyFont="1" applyFill="1" applyBorder="1" applyAlignment="1">
      <alignment horizontal="right" vertical="center" wrapText="1"/>
    </xf>
    <xf numFmtId="0" fontId="38" fillId="0" borderId="24" xfId="0" applyFont="1" applyFill="1" applyBorder="1" applyAlignment="1" quotePrefix="1">
      <alignment horizontal="left" vertical="center" wrapText="1"/>
    </xf>
    <xf numFmtId="0" fontId="2" fillId="0" borderId="0" xfId="0" applyFont="1" applyAlignment="1">
      <alignment vertical="center" wrapText="1"/>
    </xf>
    <xf numFmtId="49" fontId="17" fillId="0" borderId="24" xfId="53" applyNumberFormat="1" applyFont="1" applyFill="1" applyBorder="1" applyAlignment="1">
      <alignment horizontal="center" vertical="center" wrapText="1"/>
      <protection/>
    </xf>
    <xf numFmtId="0" fontId="17" fillId="0" borderId="24" xfId="53" applyNumberFormat="1" applyFont="1" applyFill="1" applyBorder="1" applyAlignment="1">
      <alignment vertical="center" wrapText="1"/>
      <protection/>
    </xf>
    <xf numFmtId="168" fontId="17" fillId="0" borderId="24" xfId="61" applyNumberFormat="1" applyFont="1" applyBorder="1" applyAlignment="1">
      <alignment vertical="center" wrapText="1"/>
    </xf>
    <xf numFmtId="168" fontId="17" fillId="0" borderId="24" xfId="61" applyNumberFormat="1" applyFont="1" applyFill="1" applyBorder="1" applyAlignment="1">
      <alignment vertical="center" wrapText="1"/>
    </xf>
    <xf numFmtId="0" fontId="17" fillId="0" borderId="24" xfId="0" applyFont="1" applyFill="1" applyBorder="1" applyAlignment="1" quotePrefix="1">
      <alignment horizontal="left" vertical="center" wrapText="1"/>
    </xf>
    <xf numFmtId="168" fontId="15" fillId="0" borderId="24" xfId="61" applyNumberFormat="1" applyFont="1" applyBorder="1" applyAlignment="1">
      <alignment vertical="center" wrapText="1"/>
    </xf>
    <xf numFmtId="168" fontId="15" fillId="0" borderId="24" xfId="61" applyNumberFormat="1" applyFont="1" applyFill="1" applyBorder="1" applyAlignment="1">
      <alignment vertical="center" wrapText="1"/>
    </xf>
    <xf numFmtId="164" fontId="15" fillId="0" borderId="24" xfId="61" applyNumberFormat="1" applyFont="1" applyFill="1" applyBorder="1" applyAlignment="1">
      <alignment vertical="center" wrapText="1"/>
    </xf>
    <xf numFmtId="164" fontId="17" fillId="0" borderId="24" xfId="61" applyNumberFormat="1" applyFont="1" applyFill="1" applyBorder="1" applyAlignment="1">
      <alignment vertical="center" wrapText="1"/>
    </xf>
    <xf numFmtId="49" fontId="38" fillId="0" borderId="24" xfId="53" applyNumberFormat="1" applyFont="1" applyFill="1" applyBorder="1" applyAlignment="1">
      <alignment horizontal="center" vertical="center" wrapText="1"/>
      <protection/>
    </xf>
    <xf numFmtId="0" fontId="38" fillId="0" borderId="24" xfId="53" applyNumberFormat="1" applyFont="1" applyFill="1" applyBorder="1" applyAlignment="1">
      <alignment vertical="center" wrapText="1"/>
      <protection/>
    </xf>
    <xf numFmtId="168" fontId="16" fillId="0" borderId="24" xfId="61" applyNumberFormat="1" applyFont="1" applyBorder="1" applyAlignment="1">
      <alignment vertical="center" wrapText="1"/>
    </xf>
    <xf numFmtId="168" fontId="16" fillId="0" borderId="24" xfId="61" applyNumberFormat="1" applyFont="1" applyFill="1" applyBorder="1" applyAlignment="1">
      <alignment vertical="center" wrapText="1"/>
    </xf>
    <xf numFmtId="3" fontId="17" fillId="0" borderId="24" xfId="0" applyNumberFormat="1" applyFont="1" applyBorder="1" applyAlignment="1">
      <alignment horizontal="center" vertical="center" wrapText="1"/>
    </xf>
    <xf numFmtId="164" fontId="38" fillId="0" borderId="24" xfId="61" applyNumberFormat="1" applyFont="1" applyFill="1" applyBorder="1" applyAlignment="1">
      <alignment vertical="center" wrapText="1"/>
    </xf>
    <xf numFmtId="0" fontId="17" fillId="0" borderId="24" xfId="61" applyNumberFormat="1" applyFont="1" applyFill="1" applyBorder="1" applyAlignment="1">
      <alignment vertical="center" wrapText="1"/>
    </xf>
    <xf numFmtId="168" fontId="38" fillId="22" borderId="24" xfId="61" applyNumberFormat="1" applyFont="1" applyFill="1" applyBorder="1" applyAlignment="1">
      <alignment vertical="center" wrapText="1"/>
    </xf>
    <xf numFmtId="170" fontId="38" fillId="22" borderId="24" xfId="58" applyNumberFormat="1" applyFont="1" applyFill="1" applyBorder="1" applyAlignment="1">
      <alignment horizontal="center" vertical="center" wrapText="1"/>
    </xf>
    <xf numFmtId="0" fontId="38" fillId="24" borderId="24" xfId="0" applyFont="1" applyFill="1" applyBorder="1" applyAlignment="1" quotePrefix="1">
      <alignment horizontal="left" vertical="center" wrapText="1"/>
    </xf>
    <xf numFmtId="0" fontId="38" fillId="0" borderId="24" xfId="53" applyNumberFormat="1" applyFont="1" applyBorder="1" applyAlignment="1">
      <alignment vertical="center" wrapText="1"/>
      <protection/>
    </xf>
    <xf numFmtId="0" fontId="17" fillId="0" borderId="24" xfId="53" applyNumberFormat="1" applyFont="1" applyBorder="1" applyAlignment="1">
      <alignment vertical="center" wrapText="1"/>
      <protection/>
    </xf>
    <xf numFmtId="171" fontId="17" fillId="0" borderId="24" xfId="61" applyNumberFormat="1" applyFont="1" applyFill="1" applyBorder="1" applyAlignment="1">
      <alignment horizontal="right" vertical="center" wrapText="1"/>
    </xf>
    <xf numFmtId="49" fontId="17" fillId="0" borderId="24" xfId="53" applyNumberFormat="1" applyFont="1" applyBorder="1" applyAlignment="1">
      <alignment horizontal="center" vertical="center" wrapText="1"/>
      <protection/>
    </xf>
    <xf numFmtId="0" fontId="15" fillId="0" borderId="24" xfId="0" applyFont="1" applyBorder="1" applyAlignment="1">
      <alignment vertical="center" wrapText="1"/>
    </xf>
    <xf numFmtId="0" fontId="15" fillId="0" borderId="0" xfId="0" applyFont="1" applyAlignment="1">
      <alignment horizontal="left" vertical="center" wrapText="1"/>
    </xf>
    <xf numFmtId="168" fontId="38" fillId="0" borderId="24" xfId="61" applyNumberFormat="1" applyFont="1" applyFill="1" applyBorder="1" applyAlignment="1">
      <alignment vertical="center" wrapText="1"/>
    </xf>
    <xf numFmtId="0" fontId="16" fillId="0" borderId="0" xfId="0" applyFont="1" applyAlignment="1">
      <alignment horizontal="left" vertical="center" wrapText="1"/>
    </xf>
    <xf numFmtId="0" fontId="0" fillId="0" borderId="0" xfId="0" applyFont="1" applyAlignment="1">
      <alignment vertical="center" wrapText="1"/>
    </xf>
    <xf numFmtId="0" fontId="17" fillId="24" borderId="24" xfId="0" applyFont="1" applyFill="1" applyBorder="1" applyAlignment="1">
      <alignment horizontal="center" vertical="center" wrapText="1"/>
    </xf>
    <xf numFmtId="0" fontId="17" fillId="24" borderId="24" xfId="0" applyFont="1" applyFill="1" applyBorder="1" applyAlignment="1">
      <alignment vertical="center" wrapText="1"/>
    </xf>
    <xf numFmtId="0" fontId="17" fillId="0" borderId="24" xfId="0" applyFont="1" applyFill="1" applyBorder="1" applyAlignment="1">
      <alignment horizontal="center" vertical="center" wrapText="1"/>
    </xf>
    <xf numFmtId="3" fontId="38" fillId="0" borderId="24" xfId="0" applyNumberFormat="1" applyFont="1" applyBorder="1" applyAlignment="1">
      <alignment horizontal="center" vertical="center" wrapText="1"/>
    </xf>
    <xf numFmtId="168" fontId="16" fillId="0" borderId="24" xfId="61" applyNumberFormat="1" applyFont="1" applyBorder="1" applyAlignment="1">
      <alignment horizontal="right" vertical="center" wrapText="1"/>
    </xf>
    <xf numFmtId="164" fontId="38" fillId="0" borderId="24" xfId="61" applyNumberFormat="1" applyFont="1" applyFill="1" applyBorder="1" applyAlignment="1">
      <alignment vertical="center" wrapText="1"/>
    </xf>
    <xf numFmtId="0" fontId="17" fillId="0" borderId="24" xfId="0" applyFont="1" applyFill="1" applyBorder="1" applyAlignment="1">
      <alignment vertical="center" wrapText="1"/>
    </xf>
    <xf numFmtId="168" fontId="15" fillId="0" borderId="24" xfId="61" applyNumberFormat="1" applyFont="1" applyBorder="1" applyAlignment="1">
      <alignment horizontal="right" vertical="center" wrapText="1"/>
    </xf>
    <xf numFmtId="165" fontId="17" fillId="0" borderId="24" xfId="61" applyNumberFormat="1" applyFont="1" applyFill="1" applyBorder="1" applyAlignment="1">
      <alignment vertical="center" wrapText="1"/>
    </xf>
    <xf numFmtId="0" fontId="17" fillId="0" borderId="24" xfId="0" applyFont="1" applyBorder="1" applyAlignment="1">
      <alignment horizontal="center" vertical="center" wrapText="1"/>
    </xf>
    <xf numFmtId="0" fontId="17" fillId="0" borderId="24" xfId="0" applyFont="1" applyBorder="1" applyAlignment="1">
      <alignment vertical="center" wrapText="1"/>
    </xf>
    <xf numFmtId="167" fontId="17" fillId="0" borderId="24" xfId="61" applyNumberFormat="1" applyFont="1" applyBorder="1" applyAlignment="1">
      <alignment horizontal="right" vertical="center" wrapText="1"/>
    </xf>
    <xf numFmtId="167" fontId="17" fillId="0" borderId="24" xfId="61" applyNumberFormat="1" applyFont="1" applyFill="1" applyBorder="1" applyAlignment="1">
      <alignment horizontal="right" vertical="center" wrapText="1"/>
    </xf>
    <xf numFmtId="0" fontId="38" fillId="0" borderId="24" xfId="0" applyFont="1" applyBorder="1" applyAlignment="1">
      <alignment horizontal="center" vertical="center" wrapText="1"/>
    </xf>
    <xf numFmtId="0" fontId="38" fillId="0" borderId="24" xfId="0" applyFont="1" applyBorder="1" applyAlignment="1">
      <alignment vertical="center" wrapText="1"/>
    </xf>
    <xf numFmtId="167" fontId="38" fillId="0" borderId="24" xfId="61" applyNumberFormat="1" applyFont="1" applyBorder="1" applyAlignment="1">
      <alignment horizontal="right" vertical="center" wrapText="1"/>
    </xf>
    <xf numFmtId="167" fontId="38" fillId="0" borderId="24" xfId="61" applyNumberFormat="1" applyFont="1" applyFill="1" applyBorder="1" applyAlignment="1">
      <alignment horizontal="right" vertical="center" wrapText="1"/>
    </xf>
    <xf numFmtId="49" fontId="17" fillId="24" borderId="24" xfId="53" applyNumberFormat="1" applyFont="1" applyFill="1" applyBorder="1" applyAlignment="1">
      <alignment horizontal="center" vertical="center" wrapText="1"/>
      <protection/>
    </xf>
    <xf numFmtId="49" fontId="17" fillId="24" borderId="24" xfId="53" applyNumberFormat="1" applyFont="1" applyFill="1" applyBorder="1" applyAlignment="1">
      <alignment horizontal="left" vertical="center" wrapText="1"/>
      <protection/>
    </xf>
    <xf numFmtId="170" fontId="38" fillId="0" borderId="24" xfId="58" applyNumberFormat="1" applyFont="1" applyFill="1" applyBorder="1" applyAlignment="1">
      <alignment horizontal="center" vertical="center" wrapText="1"/>
    </xf>
    <xf numFmtId="168" fontId="17" fillId="24" borderId="24" xfId="61" applyNumberFormat="1" applyFont="1" applyFill="1" applyBorder="1" applyAlignment="1">
      <alignment vertical="center" wrapText="1"/>
    </xf>
    <xf numFmtId="168" fontId="38" fillId="22" borderId="24" xfId="61" applyNumberFormat="1" applyFont="1" applyFill="1" applyBorder="1" applyAlignment="1">
      <alignment vertical="center" wrapText="1"/>
    </xf>
    <xf numFmtId="0" fontId="38" fillId="0" borderId="24" xfId="0" applyFont="1" applyFill="1" applyBorder="1" applyAlignment="1">
      <alignment horizontal="left" vertical="center" wrapText="1"/>
    </xf>
    <xf numFmtId="0" fontId="38" fillId="0" borderId="24" xfId="0" applyFont="1" applyFill="1" applyBorder="1" applyAlignment="1">
      <alignment horizontal="center" vertical="center" wrapText="1"/>
    </xf>
    <xf numFmtId="0" fontId="17" fillId="0" borderId="24" xfId="0" applyFont="1" applyFill="1" applyBorder="1" applyAlignment="1">
      <alignment horizontal="left" vertical="center" wrapText="1"/>
    </xf>
    <xf numFmtId="167" fontId="17" fillId="0" borderId="24" xfId="61" applyNumberFormat="1" applyFont="1" applyFill="1" applyBorder="1" applyAlignment="1">
      <alignment vertical="center" wrapText="1"/>
    </xf>
    <xf numFmtId="0" fontId="38" fillId="0" borderId="24" xfId="0" applyFont="1" applyFill="1" applyBorder="1" applyAlignment="1">
      <alignment vertical="center" wrapText="1"/>
    </xf>
    <xf numFmtId="0" fontId="17" fillId="24" borderId="24" xfId="0" applyFont="1" applyFill="1" applyBorder="1" applyAlignment="1">
      <alignment horizontal="center" vertical="center" wrapText="1"/>
    </xf>
    <xf numFmtId="0" fontId="17" fillId="24" borderId="24" xfId="0" applyFont="1" applyFill="1" applyBorder="1" applyAlignment="1">
      <alignment vertical="center" wrapText="1"/>
    </xf>
    <xf numFmtId="49" fontId="15" fillId="0" borderId="24" xfId="0" applyNumberFormat="1" applyFont="1" applyBorder="1" applyAlignment="1">
      <alignment horizontal="left" vertical="center" wrapText="1"/>
    </xf>
    <xf numFmtId="49" fontId="15" fillId="0" borderId="24" xfId="0" applyNumberFormat="1" applyFont="1" applyFill="1" applyBorder="1" applyAlignment="1">
      <alignment horizontal="left" vertical="center" wrapText="1"/>
    </xf>
    <xf numFmtId="49" fontId="15" fillId="0" borderId="55" xfId="0" applyNumberFormat="1" applyFont="1" applyBorder="1" applyAlignment="1">
      <alignment horizontal="left" vertical="center" wrapText="1"/>
    </xf>
    <xf numFmtId="49" fontId="41" fillId="0" borderId="24" xfId="0" applyNumberFormat="1" applyFont="1" applyBorder="1" applyAlignment="1">
      <alignment horizontal="left" vertical="center" wrapText="1"/>
    </xf>
    <xf numFmtId="0" fontId="15" fillId="0" borderId="24" xfId="0" applyFont="1" applyFill="1" applyBorder="1" applyAlignment="1">
      <alignment vertical="center" wrapText="1"/>
    </xf>
    <xf numFmtId="49" fontId="41" fillId="0" borderId="24" xfId="0" applyNumberFormat="1" applyFont="1" applyFill="1" applyBorder="1" applyAlignment="1">
      <alignment horizontal="left" vertical="center" wrapText="1"/>
    </xf>
    <xf numFmtId="0" fontId="17" fillId="0" borderId="24" xfId="0" applyFont="1" applyFill="1" applyBorder="1" applyAlignment="1">
      <alignment horizontal="center" vertical="center" wrapText="1"/>
    </xf>
    <xf numFmtId="0" fontId="38" fillId="0" borderId="24" xfId="0" applyFont="1" applyFill="1" applyBorder="1" applyAlignment="1">
      <alignment horizontal="left" vertical="center" wrapText="1"/>
    </xf>
    <xf numFmtId="168" fontId="38" fillId="4" borderId="24" xfId="61" applyNumberFormat="1" applyFont="1" applyFill="1" applyBorder="1" applyAlignment="1">
      <alignment vertical="center" wrapText="1"/>
    </xf>
    <xf numFmtId="170" fontId="38" fillId="4" borderId="24" xfId="58" applyNumberFormat="1" applyFont="1" applyFill="1" applyBorder="1" applyAlignment="1">
      <alignment horizontal="center" vertical="center" wrapText="1"/>
    </xf>
    <xf numFmtId="168" fontId="42" fillId="0" borderId="0" xfId="61" applyNumberFormat="1" applyFont="1" applyAlignment="1">
      <alignment horizontal="center" vertical="center" wrapText="1"/>
    </xf>
    <xf numFmtId="168" fontId="15" fillId="0" borderId="0" xfId="61" applyNumberFormat="1" applyFont="1" applyAlignment="1">
      <alignment vertical="center" wrapText="1"/>
    </xf>
    <xf numFmtId="49" fontId="41" fillId="0" borderId="24" xfId="0" applyNumberFormat="1" applyFont="1" applyBorder="1" applyAlignment="1">
      <alignment horizontal="center" vertical="center"/>
    </xf>
    <xf numFmtId="172" fontId="41" fillId="0" borderId="24" xfId="0" applyNumberFormat="1" applyFont="1" applyBorder="1" applyAlignment="1">
      <alignment horizontal="right" vertical="center"/>
    </xf>
    <xf numFmtId="173" fontId="41" fillId="0" borderId="24" xfId="0" applyNumberFormat="1" applyFont="1" applyBorder="1" applyAlignment="1">
      <alignment horizontal="left" vertical="center" wrapText="1"/>
    </xf>
    <xf numFmtId="49" fontId="43" fillId="0" borderId="24" xfId="0" applyNumberFormat="1" applyFont="1" applyBorder="1" applyAlignment="1">
      <alignment horizontal="left" vertical="center" wrapText="1"/>
    </xf>
    <xf numFmtId="172" fontId="43" fillId="0" borderId="24" xfId="0" applyNumberFormat="1" applyFont="1" applyBorder="1" applyAlignment="1">
      <alignment horizontal="right" vertical="center"/>
    </xf>
    <xf numFmtId="49" fontId="43" fillId="0" borderId="24" xfId="0" applyNumberFormat="1" applyFont="1" applyBorder="1" applyAlignment="1">
      <alignment horizontal="right" vertical="center" wrapText="1"/>
    </xf>
    <xf numFmtId="0" fontId="44" fillId="0" borderId="0" xfId="0" applyFont="1" applyAlignment="1">
      <alignment vertical="center" wrapText="1"/>
    </xf>
    <xf numFmtId="0" fontId="1" fillId="0" borderId="0" xfId="0" applyFont="1" applyAlignment="1">
      <alignment vertical="center" wrapText="1"/>
    </xf>
    <xf numFmtId="0" fontId="0" fillId="0" borderId="0" xfId="0" applyFont="1" applyAlignment="1">
      <alignment vertical="center" wrapText="1"/>
    </xf>
    <xf numFmtId="0" fontId="17" fillId="0" borderId="0" xfId="0" applyFont="1" applyAlignment="1">
      <alignment vertical="center" wrapText="1"/>
    </xf>
    <xf numFmtId="0" fontId="38" fillId="0" borderId="0" xfId="0" applyFont="1" applyAlignment="1">
      <alignment vertical="center" wrapText="1"/>
    </xf>
    <xf numFmtId="0" fontId="17" fillId="24" borderId="0" xfId="0" applyFont="1" applyFill="1" applyAlignment="1">
      <alignment vertical="center" wrapText="1"/>
    </xf>
    <xf numFmtId="0" fontId="2" fillId="0" borderId="0" xfId="0" applyFont="1" applyFill="1" applyAlignment="1">
      <alignment vertical="center" wrapText="1"/>
    </xf>
    <xf numFmtId="0" fontId="45" fillId="0" borderId="0" xfId="0" applyFont="1" applyAlignment="1">
      <alignment vertical="center" wrapText="1"/>
    </xf>
    <xf numFmtId="168" fontId="46" fillId="0" borderId="0" xfId="61" applyNumberFormat="1" applyFont="1" applyFill="1" applyAlignment="1">
      <alignment vertical="center" wrapText="1"/>
    </xf>
    <xf numFmtId="168" fontId="17" fillId="0" borderId="0" xfId="61" applyNumberFormat="1" applyFont="1" applyFill="1" applyAlignment="1">
      <alignment vertical="center" wrapText="1"/>
    </xf>
    <xf numFmtId="0" fontId="0" fillId="0" borderId="0" xfId="0" applyFont="1" applyAlignment="1">
      <alignment/>
    </xf>
    <xf numFmtId="0" fontId="0" fillId="0" borderId="0" xfId="0" applyBorder="1" applyAlignment="1">
      <alignment/>
    </xf>
    <xf numFmtId="49" fontId="43" fillId="0" borderId="0" xfId="0" applyNumberFormat="1" applyFont="1" applyFill="1" applyBorder="1" applyAlignment="1">
      <alignment horizontal="left"/>
    </xf>
    <xf numFmtId="0" fontId="41"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0" fontId="49" fillId="0" borderId="0" xfId="0" applyFont="1" applyFill="1" applyBorder="1" applyAlignment="1">
      <alignment horizontal="left"/>
    </xf>
    <xf numFmtId="0" fontId="41" fillId="0" borderId="0" xfId="0" applyFont="1" applyFill="1" applyAlignment="1">
      <alignment/>
    </xf>
    <xf numFmtId="0" fontId="0" fillId="0" borderId="0" xfId="0" applyFill="1" applyBorder="1" applyAlignment="1">
      <alignment/>
    </xf>
    <xf numFmtId="49" fontId="41" fillId="0" borderId="0" xfId="0" applyNumberFormat="1" applyFont="1" applyFill="1" applyAlignment="1">
      <alignment horizontal="left" vertical="center"/>
    </xf>
    <xf numFmtId="49" fontId="41" fillId="0" borderId="0" xfId="0" applyNumberFormat="1" applyFont="1" applyFill="1" applyAlignment="1">
      <alignment horizontal="right" vertical="center"/>
    </xf>
    <xf numFmtId="49" fontId="41" fillId="0" borderId="24" xfId="0" applyNumberFormat="1" applyFont="1" applyFill="1" applyBorder="1" applyAlignment="1">
      <alignment horizontal="center" vertical="center"/>
    </xf>
    <xf numFmtId="4" fontId="41" fillId="0" borderId="24" xfId="0" applyNumberFormat="1" applyFont="1" applyFill="1" applyBorder="1" applyAlignment="1">
      <alignment horizontal="right" vertical="center" wrapText="1"/>
    </xf>
    <xf numFmtId="164" fontId="41" fillId="0" borderId="24" xfId="0" applyNumberFormat="1" applyFont="1" applyFill="1" applyBorder="1" applyAlignment="1">
      <alignment vertical="center"/>
    </xf>
    <xf numFmtId="49" fontId="41" fillId="0" borderId="24" xfId="0" applyNumberFormat="1" applyFont="1" applyFill="1" applyBorder="1" applyAlignment="1">
      <alignment horizontal="center" vertical="center" wrapText="1"/>
    </xf>
    <xf numFmtId="4" fontId="41" fillId="0" borderId="24" xfId="0" applyNumberFormat="1" applyFont="1" applyFill="1" applyBorder="1" applyAlignment="1">
      <alignment horizontal="left" vertical="center" wrapText="1"/>
    </xf>
    <xf numFmtId="164" fontId="51" fillId="0" borderId="24" xfId="0" applyNumberFormat="1" applyFont="1" applyFill="1" applyBorder="1" applyAlignment="1">
      <alignment vertical="center"/>
    </xf>
    <xf numFmtId="4" fontId="41" fillId="0" borderId="0" xfId="0" applyNumberFormat="1" applyFont="1" applyFill="1" applyBorder="1" applyAlignment="1">
      <alignment horizontal="right" vertical="center"/>
    </xf>
    <xf numFmtId="4" fontId="41" fillId="0" borderId="24" xfId="0" applyNumberFormat="1" applyFont="1" applyFill="1" applyBorder="1" applyAlignment="1">
      <alignment horizontal="center" vertical="center" wrapText="1"/>
    </xf>
    <xf numFmtId="4" fontId="41" fillId="0" borderId="24" xfId="0" applyNumberFormat="1" applyFont="1" applyFill="1" applyBorder="1" applyAlignment="1">
      <alignment horizontal="center" vertical="center"/>
    </xf>
    <xf numFmtId="4" fontId="41" fillId="0" borderId="24" xfId="0" applyNumberFormat="1" applyFont="1" applyFill="1" applyBorder="1" applyAlignment="1">
      <alignment horizontal="right" vertical="center"/>
    </xf>
    <xf numFmtId="164" fontId="41" fillId="0" borderId="24" xfId="0" applyNumberFormat="1" applyFont="1" applyFill="1" applyBorder="1" applyAlignment="1">
      <alignment horizontal="right" vertical="center"/>
    </xf>
    <xf numFmtId="173" fontId="41" fillId="0" borderId="24" xfId="0" applyNumberFormat="1" applyFont="1" applyFill="1" applyBorder="1" applyAlignment="1">
      <alignment horizontal="left" vertical="center" wrapText="1"/>
    </xf>
    <xf numFmtId="173" fontId="41" fillId="0" borderId="24" xfId="0" applyNumberFormat="1" applyFont="1" applyFill="1" applyBorder="1" applyAlignment="1">
      <alignment horizontal="right" vertical="center" wrapText="1"/>
    </xf>
    <xf numFmtId="49" fontId="43" fillId="0" borderId="24" xfId="0" applyNumberFormat="1" applyFont="1" applyFill="1" applyBorder="1" applyAlignment="1">
      <alignment horizontal="left" vertical="center" wrapText="1"/>
    </xf>
    <xf numFmtId="49" fontId="43" fillId="0" borderId="24" xfId="0" applyNumberFormat="1" applyFont="1" applyFill="1" applyBorder="1" applyAlignment="1">
      <alignment horizontal="center" vertical="center" wrapText="1"/>
    </xf>
    <xf numFmtId="4" fontId="43" fillId="0" borderId="24" xfId="0" applyNumberFormat="1" applyFont="1" applyFill="1" applyBorder="1" applyAlignment="1">
      <alignment horizontal="right" vertical="center" wrapText="1"/>
    </xf>
    <xf numFmtId="4" fontId="43" fillId="0" borderId="24" xfId="0" applyNumberFormat="1" applyFont="1" applyFill="1" applyBorder="1" applyAlignment="1">
      <alignment vertical="center"/>
    </xf>
    <xf numFmtId="0" fontId="38" fillId="0" borderId="24" xfId="0" applyFont="1" applyFill="1" applyBorder="1" applyAlignment="1">
      <alignment horizontal="center" vertical="center" wrapText="1"/>
    </xf>
    <xf numFmtId="0" fontId="1" fillId="0" borderId="0" xfId="0" applyFont="1" applyFill="1" applyAlignment="1">
      <alignment horizontal="left" wrapText="1"/>
    </xf>
    <xf numFmtId="165" fontId="37" fillId="0" borderId="0" xfId="0" applyNumberFormat="1" applyFont="1" applyFill="1" applyAlignment="1">
      <alignment horizontal="center" vertical="center" wrapText="1"/>
    </xf>
    <xf numFmtId="0" fontId="38" fillId="0" borderId="30"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30" xfId="0" applyFont="1" applyFill="1" applyBorder="1" applyAlignment="1">
      <alignment horizontal="center" vertical="center" wrapText="1"/>
    </xf>
    <xf numFmtId="0" fontId="38" fillId="0" borderId="47" xfId="0" applyFont="1" applyFill="1" applyBorder="1" applyAlignment="1">
      <alignment horizontal="center" vertical="center" wrapText="1"/>
    </xf>
    <xf numFmtId="0" fontId="38" fillId="0" borderId="30" xfId="0" applyFont="1" applyBorder="1" applyAlignment="1">
      <alignment horizontal="center" vertical="center" wrapText="1"/>
    </xf>
    <xf numFmtId="0" fontId="38" fillId="0" borderId="20" xfId="0" applyFont="1" applyBorder="1" applyAlignment="1">
      <alignment horizontal="center" vertical="center" wrapText="1"/>
    </xf>
    <xf numFmtId="49" fontId="38" fillId="22" borderId="24" xfId="53" applyNumberFormat="1" applyFont="1" applyFill="1" applyBorder="1" applyAlignment="1">
      <alignment horizontal="center" vertical="center" wrapText="1"/>
      <protection/>
    </xf>
    <xf numFmtId="49" fontId="38" fillId="22" borderId="25" xfId="53" applyNumberFormat="1" applyFont="1" applyFill="1" applyBorder="1" applyAlignment="1">
      <alignment horizontal="center" vertical="center" wrapText="1"/>
      <protection/>
    </xf>
    <xf numFmtId="49" fontId="38" fillId="22" borderId="28" xfId="53" applyNumberFormat="1" applyFont="1" applyFill="1" applyBorder="1" applyAlignment="1">
      <alignment horizontal="center" vertical="center" wrapText="1"/>
      <protection/>
    </xf>
    <xf numFmtId="49" fontId="38" fillId="4" borderId="24" xfId="53" applyNumberFormat="1" applyFont="1" applyFill="1" applyBorder="1" applyAlignment="1">
      <alignment horizontal="center" vertical="center" wrapText="1"/>
      <protection/>
    </xf>
    <xf numFmtId="49" fontId="38" fillId="0" borderId="25" xfId="53" applyNumberFormat="1" applyFont="1" applyFill="1" applyBorder="1" applyAlignment="1">
      <alignment horizontal="left" vertical="center" wrapText="1"/>
      <protection/>
    </xf>
    <xf numFmtId="49" fontId="38" fillId="0" borderId="28" xfId="53" applyNumberFormat="1" applyFont="1" applyFill="1" applyBorder="1" applyAlignment="1">
      <alignment horizontal="left" vertical="center" wrapText="1"/>
      <protection/>
    </xf>
    <xf numFmtId="0" fontId="38" fillId="0" borderId="24" xfId="0" applyFont="1" applyBorder="1" applyAlignment="1">
      <alignment horizontal="center" vertical="center" wrapText="1"/>
    </xf>
    <xf numFmtId="0" fontId="38" fillId="0" borderId="24" xfId="0" applyFont="1" applyBorder="1" applyAlignment="1">
      <alignment horizontal="center" vertical="center" wrapText="1"/>
    </xf>
    <xf numFmtId="0" fontId="0" fillId="0" borderId="0" xfId="0" applyAlignment="1">
      <alignment/>
    </xf>
    <xf numFmtId="0" fontId="50" fillId="0" borderId="0" xfId="0" applyFont="1" applyFill="1" applyAlignment="1">
      <alignment horizontal="center" vertical="center" wrapText="1"/>
    </xf>
    <xf numFmtId="0" fontId="43" fillId="0" borderId="24"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213</xdr:row>
      <xdr:rowOff>161925</xdr:rowOff>
    </xdr:from>
    <xdr:ext cx="6296025" cy="9525"/>
    <xdr:grpSp>
      <xdr:nvGrpSpPr>
        <xdr:cNvPr id="1" name="Group 1"/>
        <xdr:cNvGrpSpPr>
          <a:grpSpLocks/>
        </xdr:cNvGrpSpPr>
      </xdr:nvGrpSpPr>
      <xdr:grpSpPr>
        <a:xfrm>
          <a:off x="9525" y="85172550"/>
          <a:ext cx="6296025" cy="9525"/>
          <a:chOff x="1" y="3495"/>
          <a:chExt cx="578" cy="33"/>
        </a:xfrm>
        <a:solidFill>
          <a:srgbClr val="FFFFFF"/>
        </a:solidFill>
      </xdr:grpSpPr>
      <xdr:sp>
        <xdr:nvSpPr>
          <xdr:cNvPr id="2" name="2621"/>
          <xdr:cNvSpPr>
            <a:spLocks/>
          </xdr:cNvSpPr>
        </xdr:nvSpPr>
        <xdr:spPr>
          <a:xfrm>
            <a:off x="1" y="3495"/>
            <a:ext cx="204" cy="17"/>
          </a:xfrm>
          <a:prstGeom prst="rect">
            <a:avLst/>
          </a:prstGeom>
          <a:noFill/>
          <a:ln w="9525" cmpd="sng">
            <a:noFill/>
          </a:ln>
        </xdr:spPr>
        <xdr:txBody>
          <a:bodyPr vertOverflow="clip" wrap="square" anchor="b"/>
          <a:p>
            <a:pPr algn="l">
              <a:defRPr/>
            </a:pPr>
            <a:r>
              <a:rPr lang="en-US" cap="none" sz="800" b="0" i="0" u="none" baseline="0">
                <a:solidFill>
                  <a:srgbClr val="000000"/>
                </a:solidFill>
              </a:rPr>
              <a:t>Руководитель</a:t>
            </a:r>
          </a:p>
        </xdr:txBody>
      </xdr:sp>
      <xdr:sp>
        <xdr:nvSpPr>
          <xdr:cNvPr id="3" name="2622"/>
          <xdr:cNvSpPr>
            <a:spLocks/>
          </xdr:cNvSpPr>
        </xdr:nvSpPr>
        <xdr:spPr>
          <a:xfrm>
            <a:off x="239" y="3495"/>
            <a:ext cx="102"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4" name="2623"/>
          <xdr:cNvSpPr>
            <a:spLocks/>
          </xdr:cNvSpPr>
        </xdr:nvSpPr>
        <xdr:spPr>
          <a:xfrm>
            <a:off x="375" y="3495"/>
            <a:ext cx="204" cy="17"/>
          </a:xfrm>
          <a:prstGeom prst="rect">
            <a:avLst/>
          </a:prstGeom>
          <a:noFill/>
          <a:ln w="9525" cmpd="sng">
            <a:noFill/>
          </a:ln>
        </xdr:spPr>
        <xdr:txBody>
          <a:bodyPr vertOverflow="clip" wrap="square" anchor="b"/>
          <a:p>
            <a:pPr algn="ctr">
              <a:defRPr/>
            </a:pPr>
            <a:r>
              <a:rPr lang="en-US" cap="none" u="none" baseline="0">
                <a:latin typeface="Arial Cyr"/>
                <a:ea typeface="Arial Cyr"/>
                <a:cs typeface="Arial Cyr"/>
              </a:rPr>
              <a:t/>
            </a:r>
          </a:p>
        </xdr:txBody>
      </xdr:sp>
      <xdr:sp>
        <xdr:nvSpPr>
          <xdr:cNvPr id="5" name="2627"/>
          <xdr:cNvSpPr>
            <a:spLocks/>
          </xdr:cNvSpPr>
        </xdr:nvSpPr>
        <xdr:spPr>
          <a:xfrm>
            <a:off x="239" y="3512"/>
            <a:ext cx="102"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6" name="2629"/>
          <xdr:cNvSpPr>
            <a:spLocks/>
          </xdr:cNvSpPr>
        </xdr:nvSpPr>
        <xdr:spPr>
          <a:xfrm>
            <a:off x="239" y="3512"/>
            <a:ext cx="10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7" name="2628"/>
          <xdr:cNvSpPr>
            <a:spLocks/>
          </xdr:cNvSpPr>
        </xdr:nvSpPr>
        <xdr:spPr>
          <a:xfrm>
            <a:off x="375" y="3512"/>
            <a:ext cx="204"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8" name="2630"/>
          <xdr:cNvSpPr>
            <a:spLocks/>
          </xdr:cNvSpPr>
        </xdr:nvSpPr>
        <xdr:spPr>
          <a:xfrm>
            <a:off x="375" y="3512"/>
            <a:ext cx="2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214</xdr:row>
      <xdr:rowOff>161925</xdr:rowOff>
    </xdr:from>
    <xdr:ext cx="6296025" cy="9525"/>
    <xdr:grpSp>
      <xdr:nvGrpSpPr>
        <xdr:cNvPr id="9" name="Group 9"/>
        <xdr:cNvGrpSpPr>
          <a:grpSpLocks/>
        </xdr:cNvGrpSpPr>
      </xdr:nvGrpSpPr>
      <xdr:grpSpPr>
        <a:xfrm>
          <a:off x="9525" y="85334475"/>
          <a:ext cx="6296025" cy="9525"/>
          <a:chOff x="1" y="3552"/>
          <a:chExt cx="578" cy="33"/>
        </a:xfrm>
        <a:solidFill>
          <a:srgbClr val="FFFFFF"/>
        </a:solidFill>
      </xdr:grpSpPr>
      <xdr:sp>
        <xdr:nvSpPr>
          <xdr:cNvPr id="10" name="2664"/>
          <xdr:cNvSpPr>
            <a:spLocks/>
          </xdr:cNvSpPr>
        </xdr:nvSpPr>
        <xdr:spPr>
          <a:xfrm>
            <a:off x="1" y="3552"/>
            <a:ext cx="204" cy="17"/>
          </a:xfrm>
          <a:prstGeom prst="rect">
            <a:avLst/>
          </a:prstGeom>
          <a:noFill/>
          <a:ln w="9525" cmpd="sng">
            <a:noFill/>
          </a:ln>
        </xdr:spPr>
        <xdr:txBody>
          <a:bodyPr vertOverflow="clip" wrap="square" anchor="b"/>
          <a:p>
            <a:pPr algn="l">
              <a:defRPr/>
            </a:pPr>
            <a:r>
              <a:rPr lang="en-US" cap="none" sz="800" b="0" i="0" u="none" baseline="0">
                <a:solidFill>
                  <a:srgbClr val="000000"/>
                </a:solidFill>
              </a:rPr>
              <a:t>Исполнитель</a:t>
            </a:r>
          </a:p>
        </xdr:txBody>
      </xdr:sp>
      <xdr:sp>
        <xdr:nvSpPr>
          <xdr:cNvPr id="11" name="2665"/>
          <xdr:cNvSpPr>
            <a:spLocks/>
          </xdr:cNvSpPr>
        </xdr:nvSpPr>
        <xdr:spPr>
          <a:xfrm>
            <a:off x="239" y="3552"/>
            <a:ext cx="102"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2" name="2666"/>
          <xdr:cNvSpPr>
            <a:spLocks/>
          </xdr:cNvSpPr>
        </xdr:nvSpPr>
        <xdr:spPr>
          <a:xfrm>
            <a:off x="375" y="3552"/>
            <a:ext cx="204" cy="17"/>
          </a:xfrm>
          <a:prstGeom prst="rect">
            <a:avLst/>
          </a:prstGeom>
          <a:noFill/>
          <a:ln w="9525" cmpd="sng">
            <a:noFill/>
          </a:ln>
        </xdr:spPr>
        <xdr:txBody>
          <a:bodyPr vertOverflow="clip" wrap="square" anchor="b"/>
          <a:p>
            <a:pPr algn="ctr">
              <a:defRPr/>
            </a:pPr>
            <a:r>
              <a:rPr lang="en-US" cap="none" u="none" baseline="0">
                <a:latin typeface="Arial Cyr"/>
                <a:ea typeface="Arial Cyr"/>
                <a:cs typeface="Arial Cyr"/>
              </a:rPr>
              <a:t/>
            </a:r>
          </a:p>
        </xdr:txBody>
      </xdr:sp>
      <xdr:sp>
        <xdr:nvSpPr>
          <xdr:cNvPr id="13" name="2670"/>
          <xdr:cNvSpPr>
            <a:spLocks/>
          </xdr:cNvSpPr>
        </xdr:nvSpPr>
        <xdr:spPr>
          <a:xfrm>
            <a:off x="239" y="3569"/>
            <a:ext cx="102"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4" name="2672"/>
          <xdr:cNvSpPr>
            <a:spLocks/>
          </xdr:cNvSpPr>
        </xdr:nvSpPr>
        <xdr:spPr>
          <a:xfrm>
            <a:off x="239" y="3569"/>
            <a:ext cx="10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2671"/>
          <xdr:cNvSpPr>
            <a:spLocks/>
          </xdr:cNvSpPr>
        </xdr:nvSpPr>
        <xdr:spPr>
          <a:xfrm>
            <a:off x="375" y="3569"/>
            <a:ext cx="204"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6" name="2673"/>
          <xdr:cNvSpPr>
            <a:spLocks/>
          </xdr:cNvSpPr>
        </xdr:nvSpPr>
        <xdr:spPr>
          <a:xfrm>
            <a:off x="375" y="3569"/>
            <a:ext cx="2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80;&#1089;&#1087;%20&#1073;&#1102;&#1076;&#1078;%202009\&#1050;%20&#1091;&#1090;&#1086;&#1095;&#1085;&#1077;&#1085;&#1080;&#1102;%202008%20&#1075;&#1086;&#1076;%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ункц."/>
      <sheetName val="Ведомств."/>
      <sheetName val="Госполномочия"/>
      <sheetName val="заимст"/>
    </sheetNames>
    <sheetDataSet>
      <sheetData sheetId="1">
        <row r="83">
          <cell r="F83" t="str">
            <v>500</v>
          </cell>
        </row>
        <row r="141">
          <cell r="F141" t="str">
            <v>003</v>
          </cell>
        </row>
        <row r="180">
          <cell r="F180" t="str">
            <v>500</v>
          </cell>
        </row>
        <row r="188">
          <cell r="F188" t="str">
            <v>500</v>
          </cell>
        </row>
        <row r="218">
          <cell r="F218" t="str">
            <v>915</v>
          </cell>
        </row>
        <row r="241">
          <cell r="F241" t="str">
            <v>003</v>
          </cell>
        </row>
        <row r="339">
          <cell r="F339" t="str">
            <v>079</v>
          </cell>
        </row>
        <row r="700">
          <cell r="F700" t="str">
            <v>079</v>
          </cell>
        </row>
        <row r="701">
          <cell r="F701" t="str">
            <v>079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57"/>
  <sheetViews>
    <sheetView workbookViewId="0" topLeftCell="A1">
      <selection activeCell="G5" sqref="G5"/>
    </sheetView>
  </sheetViews>
  <sheetFormatPr defaultColWidth="9.00390625" defaultRowHeight="12.75"/>
  <cols>
    <col min="1" max="1" width="21.625" style="233" bestFit="1" customWidth="1"/>
    <col min="2" max="2" width="54.75390625" style="235" customWidth="1"/>
    <col min="3" max="3" width="14.25390625" style="235" customWidth="1"/>
    <col min="4" max="4" width="11.875" style="236" customWidth="1"/>
    <col min="5" max="5" width="13.375" style="235" customWidth="1"/>
    <col min="6" max="16384" width="9.125" style="235" customWidth="1"/>
  </cols>
  <sheetData>
    <row r="1" spans="2:5" ht="12.75">
      <c r="B1" s="234"/>
      <c r="E1" s="237" t="s">
        <v>1433</v>
      </c>
    </row>
    <row r="2" spans="2:5" ht="12.75">
      <c r="B2" s="234"/>
      <c r="E2" s="238" t="s">
        <v>597</v>
      </c>
    </row>
    <row r="3" spans="2:5" ht="12.75">
      <c r="B3" s="234"/>
      <c r="E3" s="238" t="s">
        <v>598</v>
      </c>
    </row>
    <row r="4" spans="2:5" ht="12.75">
      <c r="B4" s="234"/>
      <c r="E4" s="237" t="s">
        <v>16</v>
      </c>
    </row>
    <row r="5" spans="1:3" ht="30.75" customHeight="1">
      <c r="A5" s="382" t="s">
        <v>1102</v>
      </c>
      <c r="B5" s="382"/>
      <c r="C5" s="382"/>
    </row>
    <row r="6" spans="1:3" ht="15.75">
      <c r="A6" s="239"/>
      <c r="B6" s="240"/>
      <c r="C6" s="240"/>
    </row>
    <row r="7" spans="1:5" ht="15.75">
      <c r="A7" s="241"/>
      <c r="B7" s="242"/>
      <c r="E7" s="243" t="s">
        <v>1154</v>
      </c>
    </row>
    <row r="8" spans="1:34" ht="36.75" customHeight="1">
      <c r="A8" s="383" t="s">
        <v>1155</v>
      </c>
      <c r="B8" s="385" t="s">
        <v>1156</v>
      </c>
      <c r="C8" s="385" t="s">
        <v>1157</v>
      </c>
      <c r="D8" s="387" t="s">
        <v>1434</v>
      </c>
      <c r="E8" s="387" t="s">
        <v>1435</v>
      </c>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1:34" ht="12.75" customHeight="1">
      <c r="A9" s="384"/>
      <c r="B9" s="386"/>
      <c r="C9" s="386"/>
      <c r="D9" s="388"/>
      <c r="E9" s="388"/>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row>
    <row r="10" spans="1:34" s="294" customFormat="1" ht="18" customHeight="1" hidden="1">
      <c r="A10" s="245" t="s">
        <v>1158</v>
      </c>
      <c r="B10" s="246" t="s">
        <v>1159</v>
      </c>
      <c r="C10" s="247">
        <v>0</v>
      </c>
      <c r="D10" s="248"/>
      <c r="E10" s="249">
        <v>0</v>
      </c>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row>
    <row r="11" spans="1:34" s="342" customFormat="1" ht="15.75" customHeight="1" hidden="1">
      <c r="A11" s="251" t="s">
        <v>1160</v>
      </c>
      <c r="B11" s="252" t="s">
        <v>1161</v>
      </c>
      <c r="C11" s="253">
        <f>SUM(C12:C19)</f>
        <v>589801.7</v>
      </c>
      <c r="D11" s="254">
        <f>SUM(D12:D19)-0.1</f>
        <v>541258.4</v>
      </c>
      <c r="E11" s="255">
        <f>D11/C11</f>
        <v>0.9176955576764192</v>
      </c>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row>
    <row r="12" spans="1:34" s="343" customFormat="1" ht="27" customHeight="1">
      <c r="A12" s="245" t="s">
        <v>1162</v>
      </c>
      <c r="B12" s="257" t="s">
        <v>599</v>
      </c>
      <c r="C12" s="258">
        <v>5300</v>
      </c>
      <c r="D12" s="259">
        <v>6722.2</v>
      </c>
      <c r="E12" s="260">
        <f>D12/C12</f>
        <v>1.2683396226415093</v>
      </c>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row>
    <row r="13" spans="1:34" s="343" customFormat="1" ht="33.75">
      <c r="A13" s="245" t="s">
        <v>1163</v>
      </c>
      <c r="B13" s="257" t="s">
        <v>600</v>
      </c>
      <c r="C13" s="258"/>
      <c r="D13" s="259">
        <v>1.4</v>
      </c>
      <c r="E13" s="26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row>
    <row r="14" spans="1:34" ht="50.25" customHeight="1">
      <c r="A14" s="245" t="s">
        <v>1164</v>
      </c>
      <c r="B14" s="261" t="s">
        <v>601</v>
      </c>
      <c r="C14" s="262">
        <v>578792.7</v>
      </c>
      <c r="D14" s="263">
        <v>528365.9</v>
      </c>
      <c r="E14" s="260">
        <f>D14/C14</f>
        <v>0.9128758880338333</v>
      </c>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row>
    <row r="15" spans="1:34" ht="56.25" customHeight="1">
      <c r="A15" s="245" t="s">
        <v>1165</v>
      </c>
      <c r="B15" s="261" t="s">
        <v>15</v>
      </c>
      <c r="C15" s="262">
        <f>11009-5300</f>
        <v>5709</v>
      </c>
      <c r="D15" s="263">
        <v>5691.1</v>
      </c>
      <c r="E15" s="260">
        <f>D15/C15</f>
        <v>0.9968645997547733</v>
      </c>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row>
    <row r="16" spans="1:34" ht="30.75" customHeight="1">
      <c r="A16" s="245" t="s">
        <v>1166</v>
      </c>
      <c r="B16" s="261" t="s">
        <v>972</v>
      </c>
      <c r="C16" s="262"/>
      <c r="D16" s="264">
        <v>136.7</v>
      </c>
      <c r="E16" s="260"/>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row>
    <row r="17" spans="1:34" ht="56.25" customHeight="1">
      <c r="A17" s="245" t="s">
        <v>1167</v>
      </c>
      <c r="B17" s="261" t="s">
        <v>602</v>
      </c>
      <c r="C17" s="262"/>
      <c r="D17" s="263">
        <v>337.3</v>
      </c>
      <c r="E17" s="260"/>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row>
    <row r="18" spans="1:32" ht="67.5" customHeight="1" hidden="1">
      <c r="A18" s="245" t="s">
        <v>1168</v>
      </c>
      <c r="B18" s="261" t="s">
        <v>603</v>
      </c>
      <c r="C18" s="262"/>
      <c r="D18" s="263"/>
      <c r="E18" s="260"/>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row>
    <row r="19" spans="1:34" ht="56.25" customHeight="1">
      <c r="A19" s="245" t="s">
        <v>1169</v>
      </c>
      <c r="B19" s="261" t="s">
        <v>1070</v>
      </c>
      <c r="C19" s="262"/>
      <c r="D19" s="263">
        <v>3.9</v>
      </c>
      <c r="E19" s="260"/>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row>
    <row r="20" spans="1:5" s="266" customFormat="1" ht="14.25" customHeight="1" hidden="1">
      <c r="A20" s="251" t="s">
        <v>1170</v>
      </c>
      <c r="B20" s="265" t="s">
        <v>1171</v>
      </c>
      <c r="C20" s="253">
        <f>SUM(C21:C24)</f>
        <v>120049</v>
      </c>
      <c r="D20" s="254">
        <f>SUM(D21:D24)</f>
        <v>100686.90000000001</v>
      </c>
      <c r="E20" s="255">
        <f aca="true" t="shared" si="0" ref="E20:E30">D20/C20</f>
        <v>0.8387150246982483</v>
      </c>
    </row>
    <row r="21" spans="1:5" ht="23.25" customHeight="1">
      <c r="A21" s="267" t="s">
        <v>1172</v>
      </c>
      <c r="B21" s="268" t="s">
        <v>1173</v>
      </c>
      <c r="C21" s="269">
        <v>48093</v>
      </c>
      <c r="D21" s="270">
        <v>33594.4</v>
      </c>
      <c r="E21" s="260">
        <f t="shared" si="0"/>
        <v>0.6985299315908761</v>
      </c>
    </row>
    <row r="22" spans="1:5" ht="24" customHeight="1">
      <c r="A22" s="267" t="s">
        <v>1174</v>
      </c>
      <c r="B22" s="268" t="s">
        <v>1175</v>
      </c>
      <c r="C22" s="269">
        <v>10979</v>
      </c>
      <c r="D22" s="270">
        <v>6861.9</v>
      </c>
      <c r="E22" s="260">
        <f t="shared" si="0"/>
        <v>0.6250022770744148</v>
      </c>
    </row>
    <row r="23" spans="1:5" ht="14.25" customHeight="1">
      <c r="A23" s="245" t="s">
        <v>1176</v>
      </c>
      <c r="B23" s="271" t="s">
        <v>1177</v>
      </c>
      <c r="C23" s="272">
        <v>60916</v>
      </c>
      <c r="D23" s="270">
        <v>60155.8</v>
      </c>
      <c r="E23" s="260">
        <f t="shared" si="0"/>
        <v>0.9875205200604111</v>
      </c>
    </row>
    <row r="24" spans="1:5" ht="12.75">
      <c r="A24" s="245" t="s">
        <v>1178</v>
      </c>
      <c r="B24" s="261" t="s">
        <v>1179</v>
      </c>
      <c r="C24" s="272">
        <v>61</v>
      </c>
      <c r="D24" s="270">
        <v>74.8</v>
      </c>
      <c r="E24" s="260">
        <f t="shared" si="0"/>
        <v>1.2262295081967212</v>
      </c>
    </row>
    <row r="25" spans="1:5" s="266" customFormat="1" ht="16.5" customHeight="1" hidden="1">
      <c r="A25" s="251" t="s">
        <v>1181</v>
      </c>
      <c r="B25" s="265" t="s">
        <v>1182</v>
      </c>
      <c r="C25" s="253">
        <f>C26+C28+C31+C32</f>
        <v>45902.5</v>
      </c>
      <c r="D25" s="254">
        <f>D26+D28+D31+D32</f>
        <v>78894.79999999999</v>
      </c>
      <c r="E25" s="255">
        <f t="shared" si="0"/>
        <v>1.718747344915854</v>
      </c>
    </row>
    <row r="26" spans="1:5" ht="33.75">
      <c r="A26" s="245" t="s">
        <v>1183</v>
      </c>
      <c r="B26" s="271" t="s">
        <v>1184</v>
      </c>
      <c r="C26" s="272">
        <v>10930</v>
      </c>
      <c r="D26" s="270">
        <v>19142.2</v>
      </c>
      <c r="E26" s="260">
        <f t="shared" si="0"/>
        <v>1.751344922232388</v>
      </c>
    </row>
    <row r="27" spans="1:5" ht="12.75" customHeight="1" hidden="1">
      <c r="A27" s="245" t="s">
        <v>1185</v>
      </c>
      <c r="B27" s="261" t="s">
        <v>1186</v>
      </c>
      <c r="C27" s="272"/>
      <c r="D27" s="270"/>
      <c r="E27" s="260" t="e">
        <f t="shared" si="0"/>
        <v>#DIV/0!</v>
      </c>
    </row>
    <row r="28" spans="1:5" ht="15.75" customHeight="1" hidden="1">
      <c r="A28" s="245" t="s">
        <v>1187</v>
      </c>
      <c r="B28" s="261" t="s">
        <v>1188</v>
      </c>
      <c r="C28" s="272">
        <f>SUM(C29:C30)</f>
        <v>12915</v>
      </c>
      <c r="D28" s="273">
        <f>D29+D30</f>
        <v>18901.5</v>
      </c>
      <c r="E28" s="260">
        <f t="shared" si="0"/>
        <v>1.4635307781649245</v>
      </c>
    </row>
    <row r="29" spans="1:5" ht="12.75" customHeight="1">
      <c r="A29" s="245" t="s">
        <v>1189</v>
      </c>
      <c r="B29" s="261" t="s">
        <v>1071</v>
      </c>
      <c r="C29" s="272">
        <v>3693</v>
      </c>
      <c r="D29" s="270">
        <v>5977.1</v>
      </c>
      <c r="E29" s="260">
        <f t="shared" si="0"/>
        <v>1.6184944489574873</v>
      </c>
    </row>
    <row r="30" spans="1:5" ht="12.75" customHeight="1">
      <c r="A30" s="245" t="s">
        <v>1190</v>
      </c>
      <c r="B30" s="261" t="s">
        <v>1072</v>
      </c>
      <c r="C30" s="272">
        <v>9222</v>
      </c>
      <c r="D30" s="270">
        <v>12924.4</v>
      </c>
      <c r="E30" s="260">
        <f t="shared" si="0"/>
        <v>1.4014747343309477</v>
      </c>
    </row>
    <row r="31" spans="1:5" ht="12.75">
      <c r="A31" s="245" t="s">
        <v>1185</v>
      </c>
      <c r="B31" s="261" t="s">
        <v>1186</v>
      </c>
      <c r="C31" s="272">
        <v>0</v>
      </c>
      <c r="D31" s="270">
        <v>1638</v>
      </c>
      <c r="E31" s="260"/>
    </row>
    <row r="32" spans="1:5" ht="12.75" hidden="1">
      <c r="A32" s="245" t="s">
        <v>1191</v>
      </c>
      <c r="B32" s="257" t="s">
        <v>1192</v>
      </c>
      <c r="C32" s="272">
        <f>SUM(C33:C34)</f>
        <v>22057.5</v>
      </c>
      <c r="D32" s="274">
        <f>D33+D34</f>
        <v>39213.1</v>
      </c>
      <c r="E32" s="260">
        <f>D32/C32</f>
        <v>1.7777671993652953</v>
      </c>
    </row>
    <row r="33" spans="1:5" ht="45.75" customHeight="1">
      <c r="A33" s="267" t="s">
        <v>1193</v>
      </c>
      <c r="B33" s="268" t="s">
        <v>1073</v>
      </c>
      <c r="C33" s="272">
        <v>1760.5</v>
      </c>
      <c r="D33" s="270">
        <v>4072.7</v>
      </c>
      <c r="E33" s="260" t="s">
        <v>1194</v>
      </c>
    </row>
    <row r="34" spans="1:5" ht="47.25" customHeight="1">
      <c r="A34" s="267" t="s">
        <v>1195</v>
      </c>
      <c r="B34" s="268" t="s">
        <v>1074</v>
      </c>
      <c r="C34" s="272">
        <v>20297</v>
      </c>
      <c r="D34" s="275">
        <v>35140.4</v>
      </c>
      <c r="E34" s="260">
        <f aca="true" t="shared" si="1" ref="E34:E43">D34/C34</f>
        <v>1.7313100458195794</v>
      </c>
    </row>
    <row r="35" spans="1:5" s="266" customFormat="1" ht="28.5" customHeight="1" hidden="1">
      <c r="A35" s="276" t="s">
        <v>1196</v>
      </c>
      <c r="B35" s="277" t="s">
        <v>1197</v>
      </c>
      <c r="C35" s="278">
        <f>C37+C38</f>
        <v>5110</v>
      </c>
      <c r="D35" s="279">
        <f>D37+D38</f>
        <v>3403</v>
      </c>
      <c r="E35" s="255">
        <f t="shared" si="1"/>
        <v>0.6659491193737769</v>
      </c>
    </row>
    <row r="36" spans="1:5" ht="18" customHeight="1" hidden="1">
      <c r="A36" s="267" t="s">
        <v>1198</v>
      </c>
      <c r="B36" s="268" t="s">
        <v>1199</v>
      </c>
      <c r="C36" s="272">
        <f>C38+C37</f>
        <v>5110</v>
      </c>
      <c r="D36" s="270">
        <f>D37+D38</f>
        <v>3403</v>
      </c>
      <c r="E36" s="260">
        <f t="shared" si="1"/>
        <v>0.6659491193737769</v>
      </c>
    </row>
    <row r="37" spans="1:5" ht="16.5" customHeight="1">
      <c r="A37" s="267" t="s">
        <v>1200</v>
      </c>
      <c r="B37" s="268" t="s">
        <v>1075</v>
      </c>
      <c r="C37" s="272">
        <v>3935</v>
      </c>
      <c r="D37" s="270">
        <v>2932.7</v>
      </c>
      <c r="E37" s="260">
        <f t="shared" si="1"/>
        <v>0.7452858958068614</v>
      </c>
    </row>
    <row r="38" spans="1:5" ht="25.5" customHeight="1">
      <c r="A38" s="267" t="s">
        <v>1201</v>
      </c>
      <c r="B38" s="268" t="s">
        <v>1076</v>
      </c>
      <c r="C38" s="272">
        <v>1175</v>
      </c>
      <c r="D38" s="270">
        <v>470.3</v>
      </c>
      <c r="E38" s="260">
        <f t="shared" si="1"/>
        <v>0.4002553191489362</v>
      </c>
    </row>
    <row r="39" spans="1:5" s="266" customFormat="1" ht="19.5" customHeight="1" hidden="1">
      <c r="A39" s="251" t="s">
        <v>1202</v>
      </c>
      <c r="B39" s="252" t="s">
        <v>1203</v>
      </c>
      <c r="C39" s="253">
        <f>SUM(C40:C44)</f>
        <v>18710.5</v>
      </c>
      <c r="D39" s="254">
        <f>SUM(D40:D44)</f>
        <v>14968</v>
      </c>
      <c r="E39" s="255">
        <f t="shared" si="1"/>
        <v>0.7999786216295662</v>
      </c>
    </row>
    <row r="40" spans="1:5" ht="37.5" customHeight="1">
      <c r="A40" s="245" t="s">
        <v>1204</v>
      </c>
      <c r="B40" s="257" t="s">
        <v>1205</v>
      </c>
      <c r="C40" s="272">
        <v>3515</v>
      </c>
      <c r="D40" s="270">
        <v>5218</v>
      </c>
      <c r="E40" s="260">
        <f t="shared" si="1"/>
        <v>1.4844950213371266</v>
      </c>
    </row>
    <row r="41" spans="1:5" ht="68.25" customHeight="1">
      <c r="A41" s="280" t="s">
        <v>1077</v>
      </c>
      <c r="B41" s="257" t="s">
        <v>606</v>
      </c>
      <c r="C41" s="272">
        <v>213</v>
      </c>
      <c r="D41" s="270">
        <v>135.5</v>
      </c>
      <c r="E41" s="260">
        <f t="shared" si="1"/>
        <v>0.636150234741784</v>
      </c>
    </row>
    <row r="42" spans="1:5" ht="78.75" customHeight="1">
      <c r="A42" s="280" t="s">
        <v>1078</v>
      </c>
      <c r="B42" s="257" t="s">
        <v>606</v>
      </c>
      <c r="C42" s="272">
        <v>14975</v>
      </c>
      <c r="D42" s="270">
        <v>9560.1</v>
      </c>
      <c r="E42" s="260">
        <f t="shared" si="1"/>
        <v>0.6384040066777964</v>
      </c>
    </row>
    <row r="43" spans="1:5" ht="22.5">
      <c r="A43" s="245" t="s">
        <v>1206</v>
      </c>
      <c r="B43" s="261" t="s">
        <v>1207</v>
      </c>
      <c r="C43" s="272">
        <v>7.5</v>
      </c>
      <c r="D43" s="270">
        <v>6</v>
      </c>
      <c r="E43" s="260">
        <f t="shared" si="1"/>
        <v>0.8</v>
      </c>
    </row>
    <row r="44" spans="1:5" ht="59.25" customHeight="1">
      <c r="A44" s="245" t="s">
        <v>1208</v>
      </c>
      <c r="B44" s="338" t="s">
        <v>607</v>
      </c>
      <c r="C44" s="272"/>
      <c r="D44" s="270">
        <v>48.4</v>
      </c>
      <c r="E44" s="260"/>
    </row>
    <row r="45" spans="1:5" s="266" customFormat="1" ht="22.5" hidden="1">
      <c r="A45" s="251" t="s">
        <v>1209</v>
      </c>
      <c r="B45" s="252" t="s">
        <v>1210</v>
      </c>
      <c r="C45" s="253"/>
      <c r="D45" s="281">
        <f>SUM(D46:D51)-0.1</f>
        <v>1188.8000000000004</v>
      </c>
      <c r="E45" s="255"/>
    </row>
    <row r="46" spans="1:5" ht="30.75" customHeight="1">
      <c r="A46" s="267" t="s">
        <v>1211</v>
      </c>
      <c r="B46" s="268" t="s">
        <v>1212</v>
      </c>
      <c r="C46" s="269"/>
      <c r="D46" s="275">
        <v>25.7</v>
      </c>
      <c r="E46" s="255"/>
    </row>
    <row r="47" spans="1:5" ht="22.5">
      <c r="A47" s="267" t="s">
        <v>1213</v>
      </c>
      <c r="B47" s="268" t="s">
        <v>1214</v>
      </c>
      <c r="C47" s="269"/>
      <c r="D47" s="275">
        <v>1156.9</v>
      </c>
      <c r="E47" s="255"/>
    </row>
    <row r="48" spans="1:5" ht="12.75">
      <c r="A48" s="267" t="s">
        <v>1215</v>
      </c>
      <c r="B48" s="268" t="s">
        <v>1216</v>
      </c>
      <c r="C48" s="269"/>
      <c r="D48" s="275">
        <v>-6.5</v>
      </c>
      <c r="E48" s="255"/>
    </row>
    <row r="49" spans="1:5" ht="12.75">
      <c r="A49" s="267" t="s">
        <v>1217</v>
      </c>
      <c r="B49" s="268" t="s">
        <v>1218</v>
      </c>
      <c r="C49" s="269"/>
      <c r="D49" s="270">
        <v>10.4</v>
      </c>
      <c r="E49" s="255"/>
    </row>
    <row r="50" spans="1:5" ht="45">
      <c r="A50" s="267" t="s">
        <v>1219</v>
      </c>
      <c r="B50" s="268" t="s">
        <v>1220</v>
      </c>
      <c r="C50" s="269"/>
      <c r="D50" s="282">
        <v>-0.5</v>
      </c>
      <c r="E50" s="255"/>
    </row>
    <row r="51" spans="1:5" ht="22.5">
      <c r="A51" s="267" t="s">
        <v>1221</v>
      </c>
      <c r="B51" s="268" t="s">
        <v>1222</v>
      </c>
      <c r="C51" s="269"/>
      <c r="D51" s="270">
        <v>2.9</v>
      </c>
      <c r="E51" s="255"/>
    </row>
    <row r="52" spans="1:5" s="266" customFormat="1" ht="20.25" customHeight="1" hidden="1">
      <c r="A52" s="389" t="s">
        <v>1223</v>
      </c>
      <c r="B52" s="389"/>
      <c r="C52" s="283">
        <f>C45+C39+C35+C25+C20+C10+C11</f>
        <v>779573.7</v>
      </c>
      <c r="D52" s="283">
        <f>D45+D39+D35+D25+D20+D10+D11+0.1</f>
        <v>740400</v>
      </c>
      <c r="E52" s="284">
        <f aca="true" t="shared" si="2" ref="E52:E57">D52/C52</f>
        <v>0.9497498440493825</v>
      </c>
    </row>
    <row r="53" spans="1:5" s="266" customFormat="1" ht="22.5" hidden="1">
      <c r="A53" s="251" t="s">
        <v>1224</v>
      </c>
      <c r="B53" s="285" t="s">
        <v>1225</v>
      </c>
      <c r="C53" s="253">
        <f>SUM(C55+C62+C60)+C54</f>
        <v>81462.8</v>
      </c>
      <c r="D53" s="254">
        <f>SUM(D55+D61+D62)+D54+D60-0.1</f>
        <v>102687.4</v>
      </c>
      <c r="E53" s="255">
        <f t="shared" si="2"/>
        <v>1.2605434627830125</v>
      </c>
    </row>
    <row r="54" spans="1:5" s="294" customFormat="1" ht="22.5">
      <c r="A54" s="245" t="s">
        <v>1226</v>
      </c>
      <c r="B54" s="246" t="s">
        <v>1227</v>
      </c>
      <c r="C54" s="258">
        <v>1951.8</v>
      </c>
      <c r="D54" s="259">
        <v>2075.3</v>
      </c>
      <c r="E54" s="260">
        <f t="shared" si="2"/>
        <v>1.0632749257096015</v>
      </c>
    </row>
    <row r="55" spans="1:5" s="266" customFormat="1" ht="56.25" hidden="1">
      <c r="A55" s="276" t="s">
        <v>1229</v>
      </c>
      <c r="B55" s="286" t="s">
        <v>604</v>
      </c>
      <c r="C55" s="253">
        <f>SUM(C56+C58)</f>
        <v>64140</v>
      </c>
      <c r="D55" s="254">
        <f>SUM(D56+D58)</f>
        <v>77966.5</v>
      </c>
      <c r="E55" s="255">
        <f t="shared" si="2"/>
        <v>1.2155675085749922</v>
      </c>
    </row>
    <row r="56" spans="1:5" ht="56.25">
      <c r="A56" s="267" t="s">
        <v>1230</v>
      </c>
      <c r="B56" s="287" t="s">
        <v>608</v>
      </c>
      <c r="C56" s="269">
        <v>61840</v>
      </c>
      <c r="D56" s="270">
        <v>73363.3</v>
      </c>
      <c r="E56" s="260">
        <f t="shared" si="2"/>
        <v>1.1863405562742562</v>
      </c>
    </row>
    <row r="57" spans="1:5" ht="23.25" customHeight="1" hidden="1">
      <c r="A57" s="267"/>
      <c r="B57" s="287" t="s">
        <v>1231</v>
      </c>
      <c r="C57" s="269">
        <v>6000</v>
      </c>
      <c r="D57" s="275">
        <v>4421.4</v>
      </c>
      <c r="E57" s="260">
        <f t="shared" si="2"/>
        <v>0.7368999999999999</v>
      </c>
    </row>
    <row r="58" spans="1:5" ht="51" customHeight="1">
      <c r="A58" s="267" t="s">
        <v>1232</v>
      </c>
      <c r="B58" s="268" t="s">
        <v>1112</v>
      </c>
      <c r="C58" s="269">
        <v>2300</v>
      </c>
      <c r="D58" s="270">
        <v>4603.2</v>
      </c>
      <c r="E58" s="260" t="s">
        <v>1430</v>
      </c>
    </row>
    <row r="59" spans="1:5" ht="39.75" customHeight="1" hidden="1">
      <c r="A59" s="267"/>
      <c r="B59" s="268" t="s">
        <v>1233</v>
      </c>
      <c r="C59" s="269">
        <v>0</v>
      </c>
      <c r="D59" s="270"/>
      <c r="E59" s="260" t="e">
        <f>D59/C59</f>
        <v>#DIV/0!</v>
      </c>
    </row>
    <row r="60" spans="1:5" ht="39.75" customHeight="1">
      <c r="A60" s="267" t="s">
        <v>1234</v>
      </c>
      <c r="B60" s="268" t="s">
        <v>1235</v>
      </c>
      <c r="C60" s="269">
        <v>171</v>
      </c>
      <c r="D60" s="288">
        <v>40.9</v>
      </c>
      <c r="E60" s="260">
        <f>D60/C60</f>
        <v>0.2391812865497076</v>
      </c>
    </row>
    <row r="61" spans="1:5" ht="27.75" customHeight="1">
      <c r="A61" s="267" t="s">
        <v>1236</v>
      </c>
      <c r="B61" s="268" t="s">
        <v>1237</v>
      </c>
      <c r="C61" s="269"/>
      <c r="D61" s="270">
        <v>188.3</v>
      </c>
      <c r="E61" s="260"/>
    </row>
    <row r="62" spans="1:5" ht="55.5" customHeight="1">
      <c r="A62" s="289" t="s">
        <v>1238</v>
      </c>
      <c r="B62" s="290" t="s">
        <v>609</v>
      </c>
      <c r="C62" s="272">
        <v>15200</v>
      </c>
      <c r="D62" s="270">
        <v>22416.5</v>
      </c>
      <c r="E62" s="260">
        <f>D62/C62</f>
        <v>1.4747697368421053</v>
      </c>
    </row>
    <row r="63" spans="1:5" ht="0.75" customHeight="1" hidden="1">
      <c r="A63" s="245"/>
      <c r="B63" s="257" t="s">
        <v>1239</v>
      </c>
      <c r="C63" s="272">
        <v>500</v>
      </c>
      <c r="D63" s="270"/>
      <c r="E63" s="260">
        <f>D63/C63</f>
        <v>0</v>
      </c>
    </row>
    <row r="64" spans="1:5" ht="21" customHeight="1" hidden="1">
      <c r="A64" s="245"/>
      <c r="B64" s="257" t="s">
        <v>1240</v>
      </c>
      <c r="C64" s="272"/>
      <c r="D64" s="270">
        <v>781.1</v>
      </c>
      <c r="E64" s="260"/>
    </row>
    <row r="65" spans="1:9" s="344" customFormat="1" ht="15" customHeight="1">
      <c r="A65" s="245" t="s">
        <v>1241</v>
      </c>
      <c r="B65" s="257" t="s">
        <v>1242</v>
      </c>
      <c r="C65" s="272">
        <v>5600</v>
      </c>
      <c r="D65" s="270">
        <v>5781.2</v>
      </c>
      <c r="E65" s="260">
        <f>D65/C65</f>
        <v>1.0323571428571428</v>
      </c>
      <c r="F65" s="291"/>
      <c r="G65" s="291"/>
      <c r="H65" s="291"/>
      <c r="I65" s="291"/>
    </row>
    <row r="66" spans="1:9" s="266" customFormat="1" ht="24" customHeight="1" hidden="1">
      <c r="A66" s="251" t="s">
        <v>1243</v>
      </c>
      <c r="B66" s="252" t="s">
        <v>1244</v>
      </c>
      <c r="C66" s="278">
        <f>C68</f>
        <v>373.2</v>
      </c>
      <c r="D66" s="292">
        <f>D67+D68+D69+D70</f>
        <v>1184.4</v>
      </c>
      <c r="E66" s="255" t="s">
        <v>1318</v>
      </c>
      <c r="F66" s="293"/>
      <c r="G66" s="293"/>
      <c r="H66" s="293"/>
      <c r="I66" s="293"/>
    </row>
    <row r="67" spans="1:9" s="266" customFormat="1" ht="36.75" customHeight="1">
      <c r="A67" s="245" t="s">
        <v>1245</v>
      </c>
      <c r="B67" s="257" t="s">
        <v>1246</v>
      </c>
      <c r="C67" s="278"/>
      <c r="D67" s="270">
        <v>12.8</v>
      </c>
      <c r="E67" s="260"/>
      <c r="F67" s="293"/>
      <c r="G67" s="293"/>
      <c r="H67" s="293"/>
      <c r="I67" s="293"/>
    </row>
    <row r="68" spans="1:9" s="344" customFormat="1" ht="36" customHeight="1">
      <c r="A68" s="245" t="s">
        <v>1247</v>
      </c>
      <c r="B68" s="257" t="s">
        <v>1246</v>
      </c>
      <c r="C68" s="272">
        <v>373.2</v>
      </c>
      <c r="D68" s="270">
        <v>954.7</v>
      </c>
      <c r="E68" s="260" t="s">
        <v>1180</v>
      </c>
      <c r="F68" s="291"/>
      <c r="G68" s="291"/>
      <c r="H68" s="291"/>
      <c r="I68" s="291"/>
    </row>
    <row r="69" spans="1:9" s="344" customFormat="1" ht="36" customHeight="1">
      <c r="A69" s="245" t="s">
        <v>1248</v>
      </c>
      <c r="B69" s="257" t="s">
        <v>1246</v>
      </c>
      <c r="C69" s="272"/>
      <c r="D69" s="270">
        <v>153.5</v>
      </c>
      <c r="E69" s="260"/>
      <c r="F69" s="291"/>
      <c r="G69" s="291"/>
      <c r="H69" s="291"/>
      <c r="I69" s="291"/>
    </row>
    <row r="70" spans="1:9" s="344" customFormat="1" ht="36" customHeight="1">
      <c r="A70" s="245" t="s">
        <v>1249</v>
      </c>
      <c r="B70" s="257" t="s">
        <v>1246</v>
      </c>
      <c r="C70" s="272"/>
      <c r="D70" s="270">
        <v>63.4</v>
      </c>
      <c r="E70" s="260"/>
      <c r="F70" s="291"/>
      <c r="G70" s="291"/>
      <c r="H70" s="291"/>
      <c r="I70" s="291"/>
    </row>
    <row r="71" spans="1:5" s="266" customFormat="1" ht="15" customHeight="1" hidden="1">
      <c r="A71" s="251" t="s">
        <v>1250</v>
      </c>
      <c r="B71" s="252" t="s">
        <v>1251</v>
      </c>
      <c r="C71" s="253">
        <f>SUM(C72+C74)</f>
        <v>27350</v>
      </c>
      <c r="D71" s="254">
        <f>SUM(D72+D73+D74)-0.1</f>
        <v>41949.00000000001</v>
      </c>
      <c r="E71" s="255">
        <f>D71/C71</f>
        <v>1.5337842778793422</v>
      </c>
    </row>
    <row r="72" spans="1:5" ht="56.25">
      <c r="A72" s="245" t="s">
        <v>1252</v>
      </c>
      <c r="B72" s="290" t="s">
        <v>605</v>
      </c>
      <c r="C72" s="272">
        <v>22000</v>
      </c>
      <c r="D72" s="270">
        <v>22917.5</v>
      </c>
      <c r="E72" s="260">
        <f>D72/C72</f>
        <v>1.0417045454545455</v>
      </c>
    </row>
    <row r="73" spans="1:5" ht="45">
      <c r="A73" s="245" t="s">
        <v>1253</v>
      </c>
      <c r="B73" s="290" t="s">
        <v>1254</v>
      </c>
      <c r="C73" s="272"/>
      <c r="D73" s="270">
        <v>165.2</v>
      </c>
      <c r="E73" s="260"/>
    </row>
    <row r="74" spans="1:5" s="294" customFormat="1" ht="57" customHeight="1" hidden="1">
      <c r="A74" s="267" t="s">
        <v>1255</v>
      </c>
      <c r="B74" s="290" t="s">
        <v>1256</v>
      </c>
      <c r="C74" s="272">
        <f>SUM(C75:C76)</f>
        <v>5350</v>
      </c>
      <c r="D74" s="273">
        <f>SUM(D75:D76)</f>
        <v>18866.4</v>
      </c>
      <c r="E74" s="260" t="s">
        <v>1257</v>
      </c>
    </row>
    <row r="75" spans="1:5" ht="33.75" customHeight="1">
      <c r="A75" s="267" t="s">
        <v>1258</v>
      </c>
      <c r="B75" s="290" t="s">
        <v>1113</v>
      </c>
      <c r="C75" s="272">
        <v>5150</v>
      </c>
      <c r="D75" s="270">
        <v>13330.3</v>
      </c>
      <c r="E75" s="260" t="s">
        <v>1228</v>
      </c>
    </row>
    <row r="76" spans="1:5" ht="45" customHeight="1">
      <c r="A76" s="267" t="s">
        <v>1259</v>
      </c>
      <c r="B76" s="290" t="s">
        <v>1114</v>
      </c>
      <c r="C76" s="272">
        <v>200</v>
      </c>
      <c r="D76" s="270">
        <v>5536.1</v>
      </c>
      <c r="E76" s="260" t="s">
        <v>1431</v>
      </c>
    </row>
    <row r="77" spans="1:5" s="266" customFormat="1" ht="15.75" customHeight="1" hidden="1">
      <c r="A77" s="251" t="s">
        <v>1260</v>
      </c>
      <c r="B77" s="252" t="s">
        <v>1261</v>
      </c>
      <c r="C77" s="253">
        <f>SUM(C78:C106)</f>
        <v>15024.3</v>
      </c>
      <c r="D77" s="254">
        <f>SUM(D78:D106)</f>
        <v>15170.800000000001</v>
      </c>
      <c r="E77" s="255">
        <f>D77/C77</f>
        <v>1.0097508702568507</v>
      </c>
    </row>
    <row r="78" spans="1:5" ht="45">
      <c r="A78" s="295" t="s">
        <v>1262</v>
      </c>
      <c r="B78" s="296" t="s">
        <v>1263</v>
      </c>
      <c r="C78" s="269"/>
      <c r="D78" s="270">
        <v>132.7</v>
      </c>
      <c r="E78" s="260"/>
    </row>
    <row r="79" spans="1:5" ht="33.75">
      <c r="A79" s="245" t="s">
        <v>1264</v>
      </c>
      <c r="B79" s="296" t="s">
        <v>1265</v>
      </c>
      <c r="C79" s="269">
        <v>350</v>
      </c>
      <c r="D79" s="270">
        <v>141</v>
      </c>
      <c r="E79" s="260">
        <f>D79/C79</f>
        <v>0.40285714285714286</v>
      </c>
    </row>
    <row r="80" spans="1:5" ht="33.75">
      <c r="A80" s="245" t="s">
        <v>1079</v>
      </c>
      <c r="B80" s="296" t="s">
        <v>1266</v>
      </c>
      <c r="C80" s="269">
        <v>1700</v>
      </c>
      <c r="D80" s="270">
        <v>287.2</v>
      </c>
      <c r="E80" s="260">
        <f>D80/C80</f>
        <v>0.16894117647058823</v>
      </c>
    </row>
    <row r="81" spans="1:5" ht="33.75">
      <c r="A81" s="245" t="s">
        <v>1080</v>
      </c>
      <c r="B81" s="296" t="s">
        <v>1266</v>
      </c>
      <c r="C81" s="272"/>
      <c r="D81" s="270">
        <v>3</v>
      </c>
      <c r="E81" s="260"/>
    </row>
    <row r="82" spans="1:5" ht="45">
      <c r="A82" s="245" t="s">
        <v>1081</v>
      </c>
      <c r="B82" s="296" t="s">
        <v>1267</v>
      </c>
      <c r="C82" s="272"/>
      <c r="D82" s="270">
        <v>3</v>
      </c>
      <c r="E82" s="260"/>
    </row>
    <row r="83" spans="1:5" ht="45">
      <c r="A83" s="245" t="s">
        <v>1082</v>
      </c>
      <c r="B83" s="296" t="s">
        <v>1267</v>
      </c>
      <c r="C83" s="272"/>
      <c r="D83" s="270">
        <v>36.5</v>
      </c>
      <c r="E83" s="260"/>
    </row>
    <row r="84" spans="1:5" ht="22.5" customHeight="1" hidden="1">
      <c r="A84" s="245" t="s">
        <v>1268</v>
      </c>
      <c r="B84" s="296" t="s">
        <v>1269</v>
      </c>
      <c r="C84" s="272"/>
      <c r="D84" s="270">
        <v>0</v>
      </c>
      <c r="E84" s="260" t="e">
        <f>D84/C84</f>
        <v>#DIV/0!</v>
      </c>
    </row>
    <row r="85" spans="1:5" ht="33.75">
      <c r="A85" s="245" t="s">
        <v>1270</v>
      </c>
      <c r="B85" s="296" t="s">
        <v>1271</v>
      </c>
      <c r="C85" s="272"/>
      <c r="D85" s="270">
        <v>38</v>
      </c>
      <c r="E85" s="260"/>
    </row>
    <row r="86" spans="1:5" ht="33.75">
      <c r="A86" s="245" t="s">
        <v>1272</v>
      </c>
      <c r="B86" s="296" t="s">
        <v>1273</v>
      </c>
      <c r="C86" s="272">
        <v>24.3</v>
      </c>
      <c r="D86" s="270">
        <v>24.3</v>
      </c>
      <c r="E86" s="260">
        <f>D86/C86</f>
        <v>1</v>
      </c>
    </row>
    <row r="87" spans="1:5" ht="22.5">
      <c r="A87" s="245" t="s">
        <v>1274</v>
      </c>
      <c r="B87" s="296" t="s">
        <v>1275</v>
      </c>
      <c r="C87" s="272"/>
      <c r="D87" s="270">
        <v>4</v>
      </c>
      <c r="E87" s="260"/>
    </row>
    <row r="88" spans="1:5" ht="22.5">
      <c r="A88" s="245" t="s">
        <v>1276</v>
      </c>
      <c r="B88" s="296" t="s">
        <v>1277</v>
      </c>
      <c r="C88" s="272"/>
      <c r="D88" s="270">
        <v>3</v>
      </c>
      <c r="E88" s="260"/>
    </row>
    <row r="89" spans="1:5" ht="22.5">
      <c r="A89" s="297" t="s">
        <v>1083</v>
      </c>
      <c r="B89" s="296" t="s">
        <v>1278</v>
      </c>
      <c r="C89" s="272"/>
      <c r="D89" s="270">
        <v>5.5</v>
      </c>
      <c r="E89" s="260"/>
    </row>
    <row r="90" spans="1:5" ht="22.5">
      <c r="A90" s="297" t="s">
        <v>1084</v>
      </c>
      <c r="B90" s="296" t="s">
        <v>1278</v>
      </c>
      <c r="C90" s="272"/>
      <c r="D90" s="270">
        <v>1</v>
      </c>
      <c r="E90" s="260"/>
    </row>
    <row r="91" spans="1:5" ht="22.5">
      <c r="A91" s="267" t="s">
        <v>1085</v>
      </c>
      <c r="B91" s="268" t="s">
        <v>1279</v>
      </c>
      <c r="C91" s="272"/>
      <c r="D91" s="270">
        <v>90</v>
      </c>
      <c r="E91" s="260"/>
    </row>
    <row r="92" spans="1:5" ht="22.5">
      <c r="A92" s="267" t="s">
        <v>1086</v>
      </c>
      <c r="B92" s="268" t="s">
        <v>1279</v>
      </c>
      <c r="C92" s="272">
        <v>200</v>
      </c>
      <c r="D92" s="270">
        <v>30</v>
      </c>
      <c r="E92" s="260">
        <f>D92/C92</f>
        <v>0.15</v>
      </c>
    </row>
    <row r="93" spans="1:5" ht="22.5">
      <c r="A93" s="267" t="s">
        <v>1280</v>
      </c>
      <c r="B93" s="268" t="s">
        <v>1281</v>
      </c>
      <c r="C93" s="272"/>
      <c r="D93" s="270">
        <v>28.6</v>
      </c>
      <c r="E93" s="260"/>
    </row>
    <row r="94" spans="1:5" ht="33.75">
      <c r="A94" s="245" t="s">
        <v>1087</v>
      </c>
      <c r="B94" s="296" t="s">
        <v>1282</v>
      </c>
      <c r="C94" s="272">
        <v>350</v>
      </c>
      <c r="D94" s="270">
        <v>450.2</v>
      </c>
      <c r="E94" s="260">
        <f>D94/C94</f>
        <v>1.2862857142857143</v>
      </c>
    </row>
    <row r="95" spans="1:5" ht="33.75">
      <c r="A95" s="245" t="s">
        <v>1088</v>
      </c>
      <c r="B95" s="296" t="s">
        <v>1282</v>
      </c>
      <c r="C95" s="272"/>
      <c r="D95" s="270">
        <v>2</v>
      </c>
      <c r="E95" s="260"/>
    </row>
    <row r="96" spans="1:5" ht="22.5">
      <c r="A96" s="245" t="s">
        <v>1283</v>
      </c>
      <c r="B96" s="296" t="s">
        <v>1284</v>
      </c>
      <c r="C96" s="272">
        <v>7700</v>
      </c>
      <c r="D96" s="270">
        <v>9093.9</v>
      </c>
      <c r="E96" s="260">
        <f>D96/C96</f>
        <v>1.1810259740259739</v>
      </c>
    </row>
    <row r="97" spans="1:5" ht="33.75" hidden="1">
      <c r="A97" s="245" t="s">
        <v>1285</v>
      </c>
      <c r="B97" s="296" t="s">
        <v>1286</v>
      </c>
      <c r="C97" s="272"/>
      <c r="D97" s="270"/>
      <c r="E97" s="260"/>
    </row>
    <row r="98" spans="1:5" ht="22.5">
      <c r="A98" s="280" t="s">
        <v>1089</v>
      </c>
      <c r="B98" s="257" t="s">
        <v>1287</v>
      </c>
      <c r="C98" s="272"/>
      <c r="D98" s="270">
        <v>42</v>
      </c>
      <c r="E98" s="260"/>
    </row>
    <row r="99" spans="1:5" ht="22.5">
      <c r="A99" s="280" t="s">
        <v>1090</v>
      </c>
      <c r="B99" s="257" t="s">
        <v>1287</v>
      </c>
      <c r="C99" s="272"/>
      <c r="D99" s="270">
        <v>40</v>
      </c>
      <c r="E99" s="260"/>
    </row>
    <row r="100" spans="1:5" ht="22.5">
      <c r="A100" s="280" t="s">
        <v>1091</v>
      </c>
      <c r="B100" s="257" t="s">
        <v>1287</v>
      </c>
      <c r="C100" s="272"/>
      <c r="D100" s="270">
        <v>3.3</v>
      </c>
      <c r="E100" s="260"/>
    </row>
    <row r="101" spans="1:5" ht="22.5">
      <c r="A101" s="280" t="s">
        <v>1092</v>
      </c>
      <c r="B101" s="257" t="s">
        <v>1287</v>
      </c>
      <c r="C101" s="272">
        <v>1200</v>
      </c>
      <c r="D101" s="270">
        <v>1245.2</v>
      </c>
      <c r="E101" s="260">
        <f>D101/C101</f>
        <v>1.0376666666666667</v>
      </c>
    </row>
    <row r="102" spans="1:5" ht="22.5">
      <c r="A102" s="280" t="s">
        <v>1093</v>
      </c>
      <c r="B102" s="257" t="s">
        <v>1287</v>
      </c>
      <c r="C102" s="272">
        <v>3500</v>
      </c>
      <c r="D102" s="270">
        <v>3169.1</v>
      </c>
      <c r="E102" s="260">
        <f>D102/C102</f>
        <v>0.9054571428571428</v>
      </c>
    </row>
    <row r="103" spans="1:5" ht="22.5">
      <c r="A103" s="280" t="s">
        <v>1094</v>
      </c>
      <c r="B103" s="257" t="s">
        <v>1287</v>
      </c>
      <c r="C103" s="272"/>
      <c r="D103" s="270">
        <v>176</v>
      </c>
      <c r="E103" s="260"/>
    </row>
    <row r="104" spans="1:5" ht="22.5">
      <c r="A104" s="280" t="s">
        <v>1095</v>
      </c>
      <c r="B104" s="257" t="s">
        <v>1287</v>
      </c>
      <c r="C104" s="272"/>
      <c r="D104" s="270">
        <v>5.2</v>
      </c>
      <c r="E104" s="260"/>
    </row>
    <row r="105" spans="1:5" ht="22.5">
      <c r="A105" s="280" t="s">
        <v>1096</v>
      </c>
      <c r="B105" s="257" t="s">
        <v>1287</v>
      </c>
      <c r="C105" s="272"/>
      <c r="D105" s="270">
        <v>2.5</v>
      </c>
      <c r="E105" s="260"/>
    </row>
    <row r="106" spans="1:5" ht="22.5">
      <c r="A106" s="280" t="s">
        <v>1097</v>
      </c>
      <c r="B106" s="257" t="s">
        <v>1287</v>
      </c>
      <c r="C106" s="272"/>
      <c r="D106" s="270">
        <v>113.6</v>
      </c>
      <c r="E106" s="260"/>
    </row>
    <row r="107" spans="1:5" s="266" customFormat="1" ht="22.5" hidden="1">
      <c r="A107" s="298" t="s">
        <v>1288</v>
      </c>
      <c r="B107" s="252" t="s">
        <v>1289</v>
      </c>
      <c r="C107" s="299"/>
      <c r="D107" s="300">
        <f>SUM(D109:D112)</f>
        <v>-52.6</v>
      </c>
      <c r="E107" s="255"/>
    </row>
    <row r="108" spans="1:5" s="266" customFormat="1" ht="12.75" hidden="1">
      <c r="A108" s="280" t="s">
        <v>1290</v>
      </c>
      <c r="B108" s="301" t="s">
        <v>1291</v>
      </c>
      <c r="C108" s="299"/>
      <c r="D108" s="300"/>
      <c r="E108" s="255"/>
    </row>
    <row r="109" spans="1:5" ht="12.75">
      <c r="A109" s="280" t="s">
        <v>1292</v>
      </c>
      <c r="B109" s="257" t="s">
        <v>1293</v>
      </c>
      <c r="C109" s="302"/>
      <c r="D109" s="303">
        <v>-52.6</v>
      </c>
      <c r="E109" s="255"/>
    </row>
    <row r="110" spans="1:5" ht="12.75" hidden="1">
      <c r="A110" s="280" t="s">
        <v>1294</v>
      </c>
      <c r="B110" s="257" t="s">
        <v>1295</v>
      </c>
      <c r="C110" s="302">
        <v>0</v>
      </c>
      <c r="D110" s="270"/>
      <c r="E110" s="255"/>
    </row>
    <row r="111" spans="1:5" ht="12.75" hidden="1">
      <c r="A111" s="280" t="s">
        <v>1296</v>
      </c>
      <c r="B111" s="257" t="s">
        <v>1297</v>
      </c>
      <c r="C111" s="302">
        <v>0</v>
      </c>
      <c r="D111" s="270"/>
      <c r="E111" s="255"/>
    </row>
    <row r="112" spans="1:5" s="345" customFormat="1" ht="11.25" hidden="1">
      <c r="A112" s="304" t="s">
        <v>1298</v>
      </c>
      <c r="B112" s="305" t="s">
        <v>1299</v>
      </c>
      <c r="C112" s="306">
        <v>0</v>
      </c>
      <c r="D112" s="307"/>
      <c r="E112" s="255"/>
    </row>
    <row r="113" spans="1:5" s="346" customFormat="1" ht="33.75" hidden="1">
      <c r="A113" s="308" t="s">
        <v>1300</v>
      </c>
      <c r="B113" s="309" t="s">
        <v>1301</v>
      </c>
      <c r="C113" s="310">
        <f>C114</f>
        <v>0</v>
      </c>
      <c r="D113" s="311"/>
      <c r="E113" s="255"/>
    </row>
    <row r="114" spans="1:5" s="345" customFormat="1" ht="36.75" customHeight="1" hidden="1">
      <c r="A114" s="304" t="s">
        <v>1302</v>
      </c>
      <c r="B114" s="305" t="s">
        <v>1301</v>
      </c>
      <c r="C114" s="306">
        <v>0</v>
      </c>
      <c r="D114" s="307"/>
      <c r="E114" s="255"/>
    </row>
    <row r="115" spans="1:5" s="346" customFormat="1" ht="17.25" customHeight="1" hidden="1">
      <c r="A115" s="308" t="s">
        <v>1303</v>
      </c>
      <c r="B115" s="309" t="s">
        <v>1304</v>
      </c>
      <c r="C115" s="310"/>
      <c r="D115" s="311">
        <f>SUM(D117:D119)</f>
        <v>139</v>
      </c>
      <c r="E115" s="255"/>
    </row>
    <row r="116" spans="1:5" s="346" customFormat="1" ht="17.25" customHeight="1" hidden="1">
      <c r="A116" s="280" t="s">
        <v>1290</v>
      </c>
      <c r="B116" s="301" t="s">
        <v>1291</v>
      </c>
      <c r="C116" s="310"/>
      <c r="D116" s="311"/>
      <c r="E116" s="255"/>
    </row>
    <row r="117" spans="1:5" s="345" customFormat="1" ht="17.25" customHeight="1" hidden="1">
      <c r="A117" s="304" t="s">
        <v>1305</v>
      </c>
      <c r="B117" s="257" t="s">
        <v>1293</v>
      </c>
      <c r="C117" s="306"/>
      <c r="D117" s="307"/>
      <c r="E117" s="255"/>
    </row>
    <row r="118" spans="1:5" s="346" customFormat="1" ht="17.25" customHeight="1" hidden="1">
      <c r="A118" s="304" t="s">
        <v>1306</v>
      </c>
      <c r="B118" s="257" t="s">
        <v>1297</v>
      </c>
      <c r="C118" s="310"/>
      <c r="D118" s="307"/>
      <c r="E118" s="255"/>
    </row>
    <row r="119" spans="1:5" s="345" customFormat="1" ht="15.75" customHeight="1">
      <c r="A119" s="304" t="s">
        <v>1307</v>
      </c>
      <c r="B119" s="305" t="s">
        <v>1299</v>
      </c>
      <c r="C119" s="306"/>
      <c r="D119" s="307">
        <v>139</v>
      </c>
      <c r="E119" s="255"/>
    </row>
    <row r="120" spans="1:5" s="266" customFormat="1" ht="18" customHeight="1" hidden="1">
      <c r="A120" s="389" t="s">
        <v>1308</v>
      </c>
      <c r="B120" s="389"/>
      <c r="C120" s="283">
        <f>C107+C77+C71+C66+C65+C53+C115</f>
        <v>129810.3</v>
      </c>
      <c r="D120" s="283">
        <f>D107+D77+D71+D66+D65+D53+D115+0.2</f>
        <v>166859.40000000002</v>
      </c>
      <c r="E120" s="284">
        <f>D120/C120</f>
        <v>1.2854095553280442</v>
      </c>
    </row>
    <row r="121" spans="1:5" s="266" customFormat="1" ht="26.25" customHeight="1" hidden="1">
      <c r="A121" s="390" t="s">
        <v>1309</v>
      </c>
      <c r="B121" s="391"/>
      <c r="C121" s="283">
        <f>C52+C120</f>
        <v>909384</v>
      </c>
      <c r="D121" s="283">
        <f>D120+D52</f>
        <v>907259.4</v>
      </c>
      <c r="E121" s="284">
        <f>D121/C121</f>
        <v>0.9976636932253042</v>
      </c>
    </row>
    <row r="122" spans="1:5" s="266" customFormat="1" ht="26.25" customHeight="1">
      <c r="A122" s="312" t="s">
        <v>1098</v>
      </c>
      <c r="B122" s="313" t="s">
        <v>1310</v>
      </c>
      <c r="C122" s="292"/>
      <c r="D122" s="275">
        <v>-286.1</v>
      </c>
      <c r="E122" s="314"/>
    </row>
    <row r="123" spans="1:5" s="266" customFormat="1" ht="26.25" customHeight="1">
      <c r="A123" s="312" t="s">
        <v>1099</v>
      </c>
      <c r="B123" s="313" t="s">
        <v>1310</v>
      </c>
      <c r="C123" s="292"/>
      <c r="D123" s="275">
        <v>-531.5</v>
      </c>
      <c r="E123" s="314"/>
    </row>
    <row r="124" spans="1:5" s="266" customFormat="1" ht="26.25" customHeight="1">
      <c r="A124" s="312" t="s">
        <v>1100</v>
      </c>
      <c r="B124" s="313" t="s">
        <v>1310</v>
      </c>
      <c r="C124" s="292"/>
      <c r="D124" s="275">
        <v>-7147.5</v>
      </c>
      <c r="E124" s="314"/>
    </row>
    <row r="125" spans="1:5" s="347" customFormat="1" ht="24.75" customHeight="1">
      <c r="A125" s="312" t="s">
        <v>1101</v>
      </c>
      <c r="B125" s="313" t="s">
        <v>1310</v>
      </c>
      <c r="C125" s="315"/>
      <c r="D125" s="275">
        <v>-1</v>
      </c>
      <c r="E125" s="255"/>
    </row>
    <row r="126" spans="1:5" s="266" customFormat="1" ht="18.75" customHeight="1" hidden="1">
      <c r="A126" s="389" t="s">
        <v>1311</v>
      </c>
      <c r="B126" s="389"/>
      <c r="C126" s="316">
        <f>SUM(C52+C120)</f>
        <v>909384</v>
      </c>
      <c r="D126" s="316">
        <f>SUM(D121:D125)</f>
        <v>899293.3</v>
      </c>
      <c r="E126" s="284">
        <f aca="true" t="shared" si="3" ref="E126:E139">D126/C126</f>
        <v>0.9889038074124903</v>
      </c>
    </row>
    <row r="127" spans="1:5" s="266" customFormat="1" ht="18.75" customHeight="1" hidden="1">
      <c r="A127" s="251" t="s">
        <v>1312</v>
      </c>
      <c r="B127" s="317" t="s">
        <v>1313</v>
      </c>
      <c r="C127" s="253">
        <f>C128+C132+C165+C194+C199</f>
        <v>1580751.4999999998</v>
      </c>
      <c r="D127" s="253">
        <f>D128+D132+D165+D194+D199+0.1</f>
        <v>1563767.8</v>
      </c>
      <c r="E127" s="255">
        <f t="shared" si="3"/>
        <v>0.9892559330166698</v>
      </c>
    </row>
    <row r="128" spans="1:5" s="266" customFormat="1" ht="18" customHeight="1" hidden="1">
      <c r="A128" s="318" t="s">
        <v>1314</v>
      </c>
      <c r="B128" s="317" t="s">
        <v>1315</v>
      </c>
      <c r="C128" s="253">
        <f>SUM(C129:C131)</f>
        <v>155184.7</v>
      </c>
      <c r="D128" s="254">
        <f>SUM(D129:D131)</f>
        <v>155184.7</v>
      </c>
      <c r="E128" s="255">
        <f t="shared" si="3"/>
        <v>1</v>
      </c>
    </row>
    <row r="129" spans="1:5" ht="21" customHeight="1">
      <c r="A129" s="245" t="s">
        <v>1316</v>
      </c>
      <c r="B129" s="319" t="s">
        <v>1317</v>
      </c>
      <c r="C129" s="269">
        <v>50854</v>
      </c>
      <c r="D129" s="320">
        <v>50854</v>
      </c>
      <c r="E129" s="260">
        <f t="shared" si="3"/>
        <v>1</v>
      </c>
    </row>
    <row r="130" spans="1:5" ht="20.25" customHeight="1">
      <c r="A130" s="245" t="s">
        <v>1316</v>
      </c>
      <c r="B130" s="319" t="s">
        <v>1319</v>
      </c>
      <c r="C130" s="269">
        <v>37305</v>
      </c>
      <c r="D130" s="320">
        <v>37305</v>
      </c>
      <c r="E130" s="260">
        <f t="shared" si="3"/>
        <v>1</v>
      </c>
    </row>
    <row r="131" spans="1:5" ht="24.75" customHeight="1">
      <c r="A131" s="245" t="s">
        <v>1320</v>
      </c>
      <c r="B131" s="319" t="s">
        <v>1321</v>
      </c>
      <c r="C131" s="269">
        <v>67025.7</v>
      </c>
      <c r="D131" s="320">
        <v>67025.7</v>
      </c>
      <c r="E131" s="260">
        <f t="shared" si="3"/>
        <v>1</v>
      </c>
    </row>
    <row r="132" spans="1:5" s="266" customFormat="1" ht="22.5" hidden="1">
      <c r="A132" s="308" t="s">
        <v>1322</v>
      </c>
      <c r="B132" s="321" t="s">
        <v>1323</v>
      </c>
      <c r="C132" s="278">
        <f>SUM(C133:C164)</f>
        <v>564543.1999999998</v>
      </c>
      <c r="D132" s="279">
        <f>SUM(D133:D164)</f>
        <v>566623.2999999998</v>
      </c>
      <c r="E132" s="255">
        <f t="shared" si="3"/>
        <v>1.003684571880416</v>
      </c>
    </row>
    <row r="133" spans="1:5" ht="31.5" customHeight="1">
      <c r="A133" s="322" t="s">
        <v>1324</v>
      </c>
      <c r="B133" s="323" t="s">
        <v>1325</v>
      </c>
      <c r="C133" s="272">
        <v>7073.6</v>
      </c>
      <c r="D133" s="273">
        <v>7073.6</v>
      </c>
      <c r="E133" s="260">
        <f t="shared" si="3"/>
        <v>1</v>
      </c>
    </row>
    <row r="134" spans="1:5" ht="31.5" customHeight="1">
      <c r="A134" s="322" t="s">
        <v>1326</v>
      </c>
      <c r="B134" s="324" t="s">
        <v>1327</v>
      </c>
      <c r="C134" s="272">
        <v>4730.8</v>
      </c>
      <c r="D134" s="273">
        <v>4730.8</v>
      </c>
      <c r="E134" s="260">
        <f t="shared" si="3"/>
        <v>1</v>
      </c>
    </row>
    <row r="135" spans="1:5" ht="31.5" customHeight="1">
      <c r="A135" s="297" t="s">
        <v>1328</v>
      </c>
      <c r="B135" s="325" t="s">
        <v>1329</v>
      </c>
      <c r="C135" s="272">
        <v>39308.4</v>
      </c>
      <c r="D135" s="273">
        <v>39120.4</v>
      </c>
      <c r="E135" s="260">
        <f t="shared" si="3"/>
        <v>0.9952173072422179</v>
      </c>
    </row>
    <row r="136" spans="1:5" ht="49.5" customHeight="1">
      <c r="A136" s="245" t="s">
        <v>1330</v>
      </c>
      <c r="B136" s="301" t="s">
        <v>1331</v>
      </c>
      <c r="C136" s="272">
        <v>299734.6</v>
      </c>
      <c r="D136" s="273">
        <v>299734.6</v>
      </c>
      <c r="E136" s="260">
        <f t="shared" si="3"/>
        <v>1</v>
      </c>
    </row>
    <row r="137" spans="1:5" ht="34.5" customHeight="1">
      <c r="A137" s="245" t="s">
        <v>1332</v>
      </c>
      <c r="B137" s="301" t="s">
        <v>1333</v>
      </c>
      <c r="C137" s="272">
        <v>24972.1</v>
      </c>
      <c r="D137" s="273">
        <f>12486+12486+0.1</f>
        <v>24972.1</v>
      </c>
      <c r="E137" s="260">
        <f t="shared" si="3"/>
        <v>1</v>
      </c>
    </row>
    <row r="138" spans="1:5" ht="34.5" customHeight="1">
      <c r="A138" s="245" t="s">
        <v>1334</v>
      </c>
      <c r="B138" s="326" t="s">
        <v>1335</v>
      </c>
      <c r="C138" s="272">
        <v>10552.1</v>
      </c>
      <c r="D138" s="273">
        <v>15065.8</v>
      </c>
      <c r="E138" s="260">
        <f t="shared" si="3"/>
        <v>1.427753717269548</v>
      </c>
    </row>
    <row r="139" spans="1:5" ht="34.5" customHeight="1">
      <c r="A139" s="245" t="s">
        <v>1336</v>
      </c>
      <c r="B139" s="324" t="s">
        <v>1337</v>
      </c>
      <c r="C139" s="272">
        <v>5888</v>
      </c>
      <c r="D139" s="273">
        <v>5888</v>
      </c>
      <c r="E139" s="260">
        <f t="shared" si="3"/>
        <v>1</v>
      </c>
    </row>
    <row r="140" spans="1:5" ht="36" customHeight="1" hidden="1">
      <c r="A140" s="245" t="s">
        <v>1338</v>
      </c>
      <c r="B140" s="301" t="s">
        <v>1339</v>
      </c>
      <c r="C140" s="272">
        <v>0</v>
      </c>
      <c r="D140" s="273"/>
      <c r="E140" s="260"/>
    </row>
    <row r="141" spans="1:5" ht="22.5">
      <c r="A141" s="245" t="s">
        <v>1338</v>
      </c>
      <c r="B141" s="301" t="s">
        <v>1340</v>
      </c>
      <c r="C141" s="272">
        <f>8606.7-2034.9</f>
        <v>6571.800000000001</v>
      </c>
      <c r="D141" s="273">
        <f>1700.3+507.7+280.3+84+414.3+283+521.4+292.9+510.3+2078.8</f>
        <v>6673.000000000001</v>
      </c>
      <c r="E141" s="260">
        <f aca="true" t="shared" si="4" ref="E141:E195">D141/C141</f>
        <v>1.0153991296144131</v>
      </c>
    </row>
    <row r="142" spans="1:5" ht="36" customHeight="1">
      <c r="A142" s="245" t="s">
        <v>1338</v>
      </c>
      <c r="B142" s="301" t="s">
        <v>1341</v>
      </c>
      <c r="C142" s="272">
        <v>1487.3</v>
      </c>
      <c r="D142" s="273">
        <f>442.1+237.3+37.5+19.8+16.8+69.9+193.2+369.4</f>
        <v>1386</v>
      </c>
      <c r="E142" s="260">
        <f t="shared" si="4"/>
        <v>0.931890002017078</v>
      </c>
    </row>
    <row r="143" spans="1:5" s="294" customFormat="1" ht="34.5" customHeight="1">
      <c r="A143" s="245" t="s">
        <v>1338</v>
      </c>
      <c r="B143" s="327" t="s">
        <v>1342</v>
      </c>
      <c r="C143" s="272">
        <v>2672.3</v>
      </c>
      <c r="D143" s="273">
        <f>385.4+326.1+351.4+470.9+233.9+226.8+677.7</f>
        <v>2672.2000000000003</v>
      </c>
      <c r="E143" s="260">
        <f t="shared" si="4"/>
        <v>0.9999625790517532</v>
      </c>
    </row>
    <row r="144" spans="1:5" s="294" customFormat="1" ht="34.5" customHeight="1">
      <c r="A144" s="245" t="s">
        <v>1338</v>
      </c>
      <c r="B144" s="328" t="s">
        <v>1343</v>
      </c>
      <c r="C144" s="272">
        <v>1057.5</v>
      </c>
      <c r="D144" s="273">
        <v>1057.5</v>
      </c>
      <c r="E144" s="260">
        <f t="shared" si="4"/>
        <v>1</v>
      </c>
    </row>
    <row r="145" spans="1:5" s="294" customFormat="1" ht="34.5" customHeight="1">
      <c r="A145" s="245" t="s">
        <v>1338</v>
      </c>
      <c r="B145" s="328" t="s">
        <v>1344</v>
      </c>
      <c r="C145" s="272">
        <v>10000</v>
      </c>
      <c r="D145" s="273">
        <v>10000</v>
      </c>
      <c r="E145" s="260">
        <f t="shared" si="4"/>
        <v>1</v>
      </c>
    </row>
    <row r="146" spans="1:5" ht="17.25" customHeight="1">
      <c r="A146" s="245" t="s">
        <v>1345</v>
      </c>
      <c r="B146" s="301" t="s">
        <v>1346</v>
      </c>
      <c r="C146" s="272">
        <f>13375.7+3.7</f>
        <v>13379.400000000001</v>
      </c>
      <c r="D146" s="273">
        <f>869.7+1114.6+1359.6+1087.7+1087.8+1087.7+1087.8+1088.7+1088.7+1088.4+1088.4+1088.4</f>
        <v>13137.5</v>
      </c>
      <c r="E146" s="260">
        <f t="shared" si="4"/>
        <v>0.9819199665156881</v>
      </c>
    </row>
    <row r="147" spans="1:5" ht="24" customHeight="1">
      <c r="A147" s="245" t="s">
        <v>1347</v>
      </c>
      <c r="B147" s="301" t="s">
        <v>1348</v>
      </c>
      <c r="C147" s="272">
        <f>14356.1+3.7</f>
        <v>14359.800000000001</v>
      </c>
      <c r="D147" s="273">
        <f>1196.6+2392.4+1164.4+1160.9+1160.9+1161.6+1161.5+1161.6+1161.6+1161.5+1161.6</f>
        <v>14044.6</v>
      </c>
      <c r="E147" s="260">
        <f t="shared" si="4"/>
        <v>0.9780498335631415</v>
      </c>
    </row>
    <row r="148" spans="1:5" ht="35.25" customHeight="1">
      <c r="A148" s="245" t="s">
        <v>1347</v>
      </c>
      <c r="B148" s="246" t="s">
        <v>1349</v>
      </c>
      <c r="C148" s="272">
        <v>19.7</v>
      </c>
      <c r="D148" s="273">
        <f>2.4+1.2+1.5+0.8+0.3-0.1+2.4+11.2</f>
        <v>19.7</v>
      </c>
      <c r="E148" s="260">
        <f t="shared" si="4"/>
        <v>1</v>
      </c>
    </row>
    <row r="149" spans="1:5" ht="50.25" customHeight="1">
      <c r="A149" s="245" t="s">
        <v>1347</v>
      </c>
      <c r="B149" s="246" t="s">
        <v>1350</v>
      </c>
      <c r="C149" s="272">
        <v>1784.3</v>
      </c>
      <c r="D149" s="273">
        <f>741.5+337.4+311.9+314.6+78.9</f>
        <v>1784.3000000000002</v>
      </c>
      <c r="E149" s="260">
        <f t="shared" si="4"/>
        <v>1.0000000000000002</v>
      </c>
    </row>
    <row r="150" spans="1:5" ht="36" customHeight="1">
      <c r="A150" s="245" t="s">
        <v>1351</v>
      </c>
      <c r="B150" s="301" t="s">
        <v>1352</v>
      </c>
      <c r="C150" s="272">
        <v>10510.3</v>
      </c>
      <c r="D150" s="273">
        <f>2100.2+1052.9+1051+1051+793.6+257.5+1051+1051+1051.1+1051</f>
        <v>10510.300000000001</v>
      </c>
      <c r="E150" s="260">
        <f t="shared" si="4"/>
        <v>1.0000000000000002</v>
      </c>
    </row>
    <row r="151" spans="1:5" ht="35.25" customHeight="1">
      <c r="A151" s="245" t="s">
        <v>1351</v>
      </c>
      <c r="B151" s="319" t="s">
        <v>1353</v>
      </c>
      <c r="C151" s="272">
        <v>23780</v>
      </c>
      <c r="D151" s="270">
        <f>11890+11890</f>
        <v>23780</v>
      </c>
      <c r="E151" s="260">
        <f t="shared" si="4"/>
        <v>1</v>
      </c>
    </row>
    <row r="152" spans="1:5" ht="24.75" customHeight="1">
      <c r="A152" s="245" t="s">
        <v>1351</v>
      </c>
      <c r="B152" s="319" t="s">
        <v>1354</v>
      </c>
      <c r="C152" s="272">
        <v>143.1</v>
      </c>
      <c r="D152" s="270"/>
      <c r="E152" s="260">
        <f t="shared" si="4"/>
        <v>0</v>
      </c>
    </row>
    <row r="153" spans="1:5" ht="34.5" customHeight="1">
      <c r="A153" s="245" t="s">
        <v>1351</v>
      </c>
      <c r="B153" s="246" t="s">
        <v>1341</v>
      </c>
      <c r="C153" s="272">
        <f>44333.4-454.7</f>
        <v>43878.700000000004</v>
      </c>
      <c r="D153" s="270">
        <f>11665.1+5886.4+2682.7+1735.7+1263.3+355.8+854.7+4207.9+2029.8+13197.3</f>
        <v>43878.7</v>
      </c>
      <c r="E153" s="260">
        <f t="shared" si="4"/>
        <v>0.9999999999999999</v>
      </c>
    </row>
    <row r="154" spans="1:5" ht="35.25" customHeight="1">
      <c r="A154" s="245" t="s">
        <v>1351</v>
      </c>
      <c r="B154" s="246" t="s">
        <v>1349</v>
      </c>
      <c r="C154" s="272">
        <v>778.8</v>
      </c>
      <c r="D154" s="270">
        <f>103.8+52+98.7+98.7+98.6+47.1+58.2+58.2+54.5+54.5+54.5</f>
        <v>778.8000000000001</v>
      </c>
      <c r="E154" s="260">
        <f t="shared" si="4"/>
        <v>1.0000000000000002</v>
      </c>
    </row>
    <row r="155" spans="1:5" ht="35.25" customHeight="1">
      <c r="A155" s="245" t="s">
        <v>1351</v>
      </c>
      <c r="B155" s="246" t="s">
        <v>1355</v>
      </c>
      <c r="C155" s="272">
        <v>1770.4</v>
      </c>
      <c r="D155" s="270">
        <f>295+147.6+147.5+147.5+147.6+147.5+147.5+147.6+147.5+147.6+147.5</f>
        <v>1770.3999999999999</v>
      </c>
      <c r="E155" s="260">
        <f t="shared" si="4"/>
        <v>0.9999999999999999</v>
      </c>
    </row>
    <row r="156" spans="1:5" ht="46.5" customHeight="1">
      <c r="A156" s="245" t="s">
        <v>1351</v>
      </c>
      <c r="B156" s="329" t="s">
        <v>1356</v>
      </c>
      <c r="C156" s="272">
        <v>14902</v>
      </c>
      <c r="D156" s="270">
        <f>3036.3+1931+1241.8+1241.9+1241.8+1241.8+1241.9+1241.8+1241.9+108.8</f>
        <v>13768.999999999996</v>
      </c>
      <c r="E156" s="260">
        <f t="shared" si="4"/>
        <v>0.9239699369212184</v>
      </c>
    </row>
    <row r="157" spans="1:5" ht="46.5" customHeight="1">
      <c r="A157" s="245" t="s">
        <v>1351</v>
      </c>
      <c r="B157" s="319" t="s">
        <v>1357</v>
      </c>
      <c r="C157" s="272">
        <v>346</v>
      </c>
      <c r="D157" s="270">
        <v>346</v>
      </c>
      <c r="E157" s="260">
        <f t="shared" si="4"/>
        <v>1</v>
      </c>
    </row>
    <row r="158" spans="1:5" ht="41.25" customHeight="1">
      <c r="A158" s="245" t="s">
        <v>1351</v>
      </c>
      <c r="B158" s="319" t="s">
        <v>1358</v>
      </c>
      <c r="C158" s="272">
        <v>931.6</v>
      </c>
      <c r="D158" s="270">
        <v>931.6</v>
      </c>
      <c r="E158" s="260">
        <f t="shared" si="4"/>
        <v>1</v>
      </c>
    </row>
    <row r="159" spans="1:5" ht="39.75" customHeight="1">
      <c r="A159" s="297" t="s">
        <v>1351</v>
      </c>
      <c r="B159" s="319" t="s">
        <v>1359</v>
      </c>
      <c r="C159" s="272">
        <v>71.5</v>
      </c>
      <c r="D159" s="270">
        <v>71.5</v>
      </c>
      <c r="E159" s="260">
        <f t="shared" si="4"/>
        <v>1</v>
      </c>
    </row>
    <row r="160" spans="1:5" ht="38.25" customHeight="1">
      <c r="A160" s="297" t="s">
        <v>1351</v>
      </c>
      <c r="B160" s="319" t="s">
        <v>1360</v>
      </c>
      <c r="C160" s="272">
        <v>441</v>
      </c>
      <c r="D160" s="270">
        <v>441</v>
      </c>
      <c r="E160" s="260">
        <f t="shared" si="4"/>
        <v>1</v>
      </c>
    </row>
    <row r="161" spans="1:5" ht="24" customHeight="1">
      <c r="A161" s="245" t="s">
        <v>1361</v>
      </c>
      <c r="B161" s="319" t="s">
        <v>1362</v>
      </c>
      <c r="C161" s="272">
        <v>514</v>
      </c>
      <c r="D161" s="270">
        <f>394</f>
        <v>394</v>
      </c>
      <c r="E161" s="260">
        <f t="shared" si="4"/>
        <v>0.7665369649805448</v>
      </c>
    </row>
    <row r="162" spans="1:5" ht="36" customHeight="1">
      <c r="A162" s="245" t="s">
        <v>1363</v>
      </c>
      <c r="B162" s="246" t="s">
        <v>1341</v>
      </c>
      <c r="C162" s="272">
        <f>3332.3+265.4</f>
        <v>3597.7000000000003</v>
      </c>
      <c r="D162" s="270">
        <f>956.5+482.6+195.6+168.9+21.3+35+194.6+1543.2</f>
        <v>3597.7</v>
      </c>
      <c r="E162" s="260">
        <f t="shared" si="4"/>
        <v>0.9999999999999999</v>
      </c>
    </row>
    <row r="163" spans="1:5" ht="36.75" customHeight="1">
      <c r="A163" s="245" t="s">
        <v>1363</v>
      </c>
      <c r="B163" s="246" t="s">
        <v>1349</v>
      </c>
      <c r="C163" s="272">
        <v>2051.3</v>
      </c>
      <c r="D163" s="270">
        <f>341.9+170.9+171+171+170.8+170.8+170.8+171.2+170.9+171-121.2</f>
        <v>1759.1</v>
      </c>
      <c r="E163" s="260">
        <f t="shared" si="4"/>
        <v>0.8575537464047188</v>
      </c>
    </row>
    <row r="164" spans="1:5" ht="36" customHeight="1">
      <c r="A164" s="245" t="s">
        <v>1364</v>
      </c>
      <c r="B164" s="246" t="s">
        <v>1341</v>
      </c>
      <c r="C164" s="272">
        <f>18179.7-944.6</f>
        <v>17235.100000000002</v>
      </c>
      <c r="D164" s="270">
        <f>4581.9+2312.2+616.5+1228.9+808.8+338.8+2041.8+768.4+4537.8</f>
        <v>17235.1</v>
      </c>
      <c r="E164" s="260">
        <f t="shared" si="4"/>
        <v>0.9999999999999998</v>
      </c>
    </row>
    <row r="165" spans="1:5" s="266" customFormat="1" ht="23.25" customHeight="1" hidden="1">
      <c r="A165" s="308" t="s">
        <v>1365</v>
      </c>
      <c r="B165" s="321" t="s">
        <v>1366</v>
      </c>
      <c r="C165" s="278">
        <f>SUM(C166:C193)</f>
        <v>850309.0999999999</v>
      </c>
      <c r="D165" s="279">
        <f>SUM(D166:D193)+0.2</f>
        <v>830895.2000000002</v>
      </c>
      <c r="E165" s="255">
        <f t="shared" si="4"/>
        <v>0.9771684202838713</v>
      </c>
    </row>
    <row r="166" spans="1:5" ht="23.25" customHeight="1">
      <c r="A166" s="304" t="s">
        <v>1367</v>
      </c>
      <c r="B166" s="301" t="s">
        <v>1368</v>
      </c>
      <c r="C166" s="273">
        <f>3352.2+1151.7</f>
        <v>4503.9</v>
      </c>
      <c r="D166" s="270">
        <f>838.1+838.1+1151.7+838+838.1-0.1</f>
        <v>4503.9</v>
      </c>
      <c r="E166" s="260">
        <f t="shared" si="4"/>
        <v>1</v>
      </c>
    </row>
    <row r="167" spans="1:5" ht="23.25" customHeight="1">
      <c r="A167" s="304" t="s">
        <v>1369</v>
      </c>
      <c r="B167" s="301" t="s">
        <v>1370</v>
      </c>
      <c r="C167" s="273">
        <v>732.6</v>
      </c>
      <c r="D167" s="270">
        <f>153.8+91.6+79+100+79+20.3+67+70+71.9</f>
        <v>732.5999999999999</v>
      </c>
      <c r="E167" s="260">
        <f t="shared" si="4"/>
        <v>0.9999999999999999</v>
      </c>
    </row>
    <row r="168" spans="1:5" ht="23.25" customHeight="1">
      <c r="A168" s="304" t="s">
        <v>1369</v>
      </c>
      <c r="B168" s="301" t="s">
        <v>1371</v>
      </c>
      <c r="C168" s="273">
        <v>523.6</v>
      </c>
      <c r="D168" s="270">
        <f>39.6+43.6+47.6+130.9+130.9+0.1+43.6+87.3</f>
        <v>523.6</v>
      </c>
      <c r="E168" s="260">
        <f t="shared" si="4"/>
        <v>1</v>
      </c>
    </row>
    <row r="169" spans="1:5" ht="36" customHeight="1">
      <c r="A169" s="304" t="s">
        <v>1369</v>
      </c>
      <c r="B169" s="301" t="s">
        <v>1372</v>
      </c>
      <c r="C169" s="273">
        <v>44.6</v>
      </c>
      <c r="D169" s="270">
        <f>22.3+22.3</f>
        <v>44.6</v>
      </c>
      <c r="E169" s="260">
        <f t="shared" si="4"/>
        <v>1</v>
      </c>
    </row>
    <row r="170" spans="1:5" ht="45.75" customHeight="1">
      <c r="A170" s="304" t="s">
        <v>1373</v>
      </c>
      <c r="B170" s="301" t="s">
        <v>1374</v>
      </c>
      <c r="C170" s="273">
        <f>5621.2+2976.9</f>
        <v>8598.1</v>
      </c>
      <c r="D170" s="270">
        <f>2976.9+5621.2</f>
        <v>8598.1</v>
      </c>
      <c r="E170" s="260">
        <f t="shared" si="4"/>
        <v>1</v>
      </c>
    </row>
    <row r="171" spans="1:5" ht="22.5" customHeight="1">
      <c r="A171" s="304" t="s">
        <v>1375</v>
      </c>
      <c r="B171" s="301" t="s">
        <v>1376</v>
      </c>
      <c r="C171" s="273">
        <v>68046.6</v>
      </c>
      <c r="D171" s="270">
        <f>7381.8+7709.3+7931.7+7184+3411+2989.4+2862.1+2751.8+3120.7+7228.8+11869.7</f>
        <v>64440.3</v>
      </c>
      <c r="E171" s="260">
        <f t="shared" si="4"/>
        <v>0.9470024953487757</v>
      </c>
    </row>
    <row r="172" spans="1:5" ht="34.5" customHeight="1">
      <c r="A172" s="304" t="s">
        <v>1377</v>
      </c>
      <c r="B172" s="301" t="s">
        <v>1378</v>
      </c>
      <c r="C172" s="273">
        <f>7290.3+288-62.3</f>
        <v>7516</v>
      </c>
      <c r="D172" s="270">
        <f>538.7+1180.3+411+1598.2+750+1500+607+930.8+851.6</f>
        <v>8367.6</v>
      </c>
      <c r="E172" s="260">
        <f t="shared" si="4"/>
        <v>1.1133049494411922</v>
      </c>
    </row>
    <row r="173" spans="1:5" ht="24" customHeight="1">
      <c r="A173" s="330" t="s">
        <v>1379</v>
      </c>
      <c r="B173" s="301" t="s">
        <v>1380</v>
      </c>
      <c r="C173" s="273">
        <v>136739</v>
      </c>
      <c r="D173" s="270">
        <f>73.1+11479.9+11583.3+19324.2+10189+13946.6+8004.1+10977.2-0.1+10113+1254.9+0.1+15066.7+0.1+24082.9</f>
        <v>136095</v>
      </c>
      <c r="E173" s="260">
        <f t="shared" si="4"/>
        <v>0.9952902975742107</v>
      </c>
    </row>
    <row r="174" spans="1:5" ht="24" customHeight="1">
      <c r="A174" s="304" t="s">
        <v>1381</v>
      </c>
      <c r="B174" s="301" t="s">
        <v>1382</v>
      </c>
      <c r="C174" s="273">
        <v>48170.4</v>
      </c>
      <c r="D174" s="270">
        <f>3642.4+3830.4+3754.8+3855.3+3845.8+3660.4+3836.8+7019.1+291.9+4155.2+3468.5+180+3842.7</f>
        <v>45383.299999999996</v>
      </c>
      <c r="E174" s="260">
        <f t="shared" si="4"/>
        <v>0.9421408167671432</v>
      </c>
    </row>
    <row r="175" spans="1:5" ht="45">
      <c r="A175" s="304" t="s">
        <v>1383</v>
      </c>
      <c r="B175" s="323" t="s">
        <v>1384</v>
      </c>
      <c r="C175" s="273">
        <v>22</v>
      </c>
      <c r="D175" s="270">
        <f>10.1+6.6</f>
        <v>16.7</v>
      </c>
      <c r="E175" s="260">
        <f t="shared" si="4"/>
        <v>0.759090909090909</v>
      </c>
    </row>
    <row r="176" spans="1:5" ht="36" customHeight="1">
      <c r="A176" s="304" t="s">
        <v>1385</v>
      </c>
      <c r="B176" s="301" t="s">
        <v>1386</v>
      </c>
      <c r="C176" s="273">
        <v>7044.2</v>
      </c>
      <c r="D176" s="270">
        <f>152.5-0.1+795.8+846.7+889.2+256.3+282.7+452.1+462.4+788.8+1327</f>
        <v>6253.400000000001</v>
      </c>
      <c r="E176" s="260">
        <f t="shared" si="4"/>
        <v>0.8877374293745209</v>
      </c>
    </row>
    <row r="177" spans="1:5" ht="25.5" customHeight="1">
      <c r="A177" s="330" t="s">
        <v>1387</v>
      </c>
      <c r="B177" s="301" t="s">
        <v>1388</v>
      </c>
      <c r="C177" s="273">
        <f>36796.9+2484+5324.1+7298.1</f>
        <v>51903.1</v>
      </c>
      <c r="D177" s="270">
        <v>53526.4</v>
      </c>
      <c r="E177" s="260">
        <f t="shared" si="4"/>
        <v>1.0312755885486609</v>
      </c>
    </row>
    <row r="178" spans="1:5" ht="36.75" customHeight="1">
      <c r="A178" s="304" t="s">
        <v>1389</v>
      </c>
      <c r="B178" s="301" t="s">
        <v>1390</v>
      </c>
      <c r="C178" s="273">
        <v>7098.4</v>
      </c>
      <c r="D178" s="270">
        <f>981.4+173.5+450+984.4+819.8+600+89.4+643.2+648.5</f>
        <v>5390.2</v>
      </c>
      <c r="E178" s="260">
        <f t="shared" si="4"/>
        <v>0.7593542206694467</v>
      </c>
    </row>
    <row r="179" spans="1:5" ht="24.75" customHeight="1">
      <c r="A179" s="304" t="s">
        <v>1389</v>
      </c>
      <c r="B179" s="301" t="s">
        <v>1391</v>
      </c>
      <c r="C179" s="273">
        <v>1562</v>
      </c>
      <c r="D179" s="270">
        <f>33.6+123.4+126.6+172.8+129.7+90.3+77.1+0.2+80.6+71.9+31.3+0.3+128.8+251.1</f>
        <v>1317.6999999999998</v>
      </c>
      <c r="E179" s="260">
        <f t="shared" si="4"/>
        <v>0.84359795134443</v>
      </c>
    </row>
    <row r="180" spans="1:5" ht="25.5" customHeight="1">
      <c r="A180" s="304" t="s">
        <v>1389</v>
      </c>
      <c r="B180" s="301" t="s">
        <v>1392</v>
      </c>
      <c r="C180" s="273">
        <v>6200.8</v>
      </c>
      <c r="D180" s="270">
        <f>37.5+862.4+619.4+406+359.3+195.9+530.9+0.1+714.5+472.9+555.2+390.7+355.2</f>
        <v>5499.999999999999</v>
      </c>
      <c r="E180" s="260">
        <f t="shared" si="4"/>
        <v>0.886982324861308</v>
      </c>
    </row>
    <row r="181" spans="1:5" ht="24" customHeight="1">
      <c r="A181" s="304" t="s">
        <v>1389</v>
      </c>
      <c r="B181" s="301" t="s">
        <v>1393</v>
      </c>
      <c r="C181" s="273">
        <v>2953.2</v>
      </c>
      <c r="D181" s="270">
        <f>246.1+492.2+241.4+240.8+240.9+240.8+240.8+240.8+240.8+240.8+240.8</f>
        <v>2906.2000000000007</v>
      </c>
      <c r="E181" s="260">
        <f t="shared" si="4"/>
        <v>0.9840850602736019</v>
      </c>
    </row>
    <row r="182" spans="1:5" ht="39.75" customHeight="1">
      <c r="A182" s="304" t="s">
        <v>1389</v>
      </c>
      <c r="B182" s="301" t="s">
        <v>1394</v>
      </c>
      <c r="C182" s="273">
        <f>35473.9+3878.1</f>
        <v>39352</v>
      </c>
      <c r="D182" s="270">
        <f>2950.5+2951.4+2950.5+0.1+3356.9+3003.2+3213.8+3060.2+3060.2+5585.8+3072.8+3073.1+3073.5</f>
        <v>39352</v>
      </c>
      <c r="E182" s="260">
        <f t="shared" si="4"/>
        <v>1</v>
      </c>
    </row>
    <row r="183" spans="1:5" ht="24" customHeight="1">
      <c r="A183" s="304" t="s">
        <v>1389</v>
      </c>
      <c r="B183" s="301" t="s">
        <v>1395</v>
      </c>
      <c r="C183" s="273">
        <v>23825.9</v>
      </c>
      <c r="D183" s="270">
        <f>1679.4+3671.2-313.4+0.2+2075.9+1723.9+2177.4+1885.9+1852.1+2296.4+1687.8+3161.6+1927.7</f>
        <v>23826.1</v>
      </c>
      <c r="E183" s="260">
        <f t="shared" si="4"/>
        <v>1.0000083942264508</v>
      </c>
    </row>
    <row r="184" spans="1:5" s="294" customFormat="1" ht="24" customHeight="1">
      <c r="A184" s="304" t="s">
        <v>1389</v>
      </c>
      <c r="B184" s="301" t="s">
        <v>1396</v>
      </c>
      <c r="C184" s="273">
        <v>64383.1</v>
      </c>
      <c r="D184" s="270">
        <f>609+5751.6+8115.5+5439.5+6850.8+4742.3+2299.7+4803.3+4801.3+942.5+6896.4+13130.1</f>
        <v>64382</v>
      </c>
      <c r="E184" s="260">
        <f t="shared" si="4"/>
        <v>0.9999829147711123</v>
      </c>
    </row>
    <row r="185" spans="1:5" ht="34.5" customHeight="1">
      <c r="A185" s="304" t="s">
        <v>1397</v>
      </c>
      <c r="B185" s="301" t="s">
        <v>1398</v>
      </c>
      <c r="C185" s="273">
        <f>27631.6-1074</f>
        <v>26557.6</v>
      </c>
      <c r="D185" s="270">
        <f>275.8+1917.7+3457.3+623.8+1861.3+2000.7+2006.3+0.1+1986.2+1869.7+1972.7+2015.5</f>
        <v>19987.100000000002</v>
      </c>
      <c r="E185" s="260">
        <f t="shared" si="4"/>
        <v>0.7525943609362293</v>
      </c>
    </row>
    <row r="186" spans="1:5" ht="27" customHeight="1">
      <c r="A186" s="304" t="s">
        <v>1389</v>
      </c>
      <c r="B186" s="301" t="s">
        <v>1399</v>
      </c>
      <c r="C186" s="273">
        <f>296+1074</f>
        <v>1370</v>
      </c>
      <c r="D186" s="270">
        <f>24.7+24.7+157.9+23.3+55.1+10.3+495+110+119+165+100+0.9+85</f>
        <v>1370.9</v>
      </c>
      <c r="E186" s="260">
        <f t="shared" si="4"/>
        <v>1.0006569343065694</v>
      </c>
    </row>
    <row r="187" spans="1:5" ht="24.75" customHeight="1">
      <c r="A187" s="304" t="s">
        <v>1400</v>
      </c>
      <c r="B187" s="301" t="s">
        <v>1401</v>
      </c>
      <c r="C187" s="273">
        <f>11907.2-243.7</f>
        <v>11663.5</v>
      </c>
      <c r="D187" s="270">
        <f>1973.1+986.6+3288.6+1644.2+337.6+337.6+533.4+903.5+829.4+829.5</f>
        <v>11663.499999999998</v>
      </c>
      <c r="E187" s="260">
        <f t="shared" si="4"/>
        <v>0.9999999999999999</v>
      </c>
    </row>
    <row r="188" spans="1:5" ht="24.75" customHeight="1">
      <c r="A188" s="304" t="s">
        <v>1402</v>
      </c>
      <c r="B188" s="301" t="s">
        <v>1403</v>
      </c>
      <c r="C188" s="273">
        <v>4282.9</v>
      </c>
      <c r="D188" s="270">
        <f>401+802+401+401+401.1+401+401+401+401.5+136.2+136.2</f>
        <v>4283</v>
      </c>
      <c r="E188" s="260">
        <f t="shared" si="4"/>
        <v>1.0000233486656238</v>
      </c>
    </row>
    <row r="189" spans="1:5" ht="24.75" customHeight="1">
      <c r="A189" s="304" t="s">
        <v>1402</v>
      </c>
      <c r="B189" s="301" t="s">
        <v>1404</v>
      </c>
      <c r="C189" s="273">
        <v>2615</v>
      </c>
      <c r="D189" s="270">
        <f>186.7+373.3+311.7+311.7+311.6+112+112+112+261.3+261.4+261.3</f>
        <v>2615.0000000000005</v>
      </c>
      <c r="E189" s="260">
        <f t="shared" si="4"/>
        <v>1.0000000000000002</v>
      </c>
    </row>
    <row r="190" spans="1:5" ht="50.25" customHeight="1">
      <c r="A190" s="304" t="s">
        <v>1402</v>
      </c>
      <c r="B190" s="301" t="s">
        <v>1405</v>
      </c>
      <c r="C190" s="273">
        <f>20466.4+991.2</f>
        <v>21457.600000000002</v>
      </c>
      <c r="D190" s="270">
        <f>1706.7+1706.7+1706.6+2390+2390+2360.7+2086.5+859.8+859.7+1784.7+1778.6+1778.6</f>
        <v>21408.6</v>
      </c>
      <c r="E190" s="260">
        <f t="shared" si="4"/>
        <v>0.9977164268138093</v>
      </c>
    </row>
    <row r="191" spans="1:5" ht="25.5" customHeight="1">
      <c r="A191" s="304" t="s">
        <v>1402</v>
      </c>
      <c r="B191" s="319" t="s">
        <v>1406</v>
      </c>
      <c r="C191" s="273">
        <f>250114+24429.6</f>
        <v>274543.6</v>
      </c>
      <c r="D191" s="270">
        <f>17369+17369+16931.3+31702+31264.3+31264.4+24671.9+12457.1+12457.2+26352.5+26352.5+26352.4</f>
        <v>274543.60000000003</v>
      </c>
      <c r="E191" s="260">
        <f t="shared" si="4"/>
        <v>1.0000000000000002</v>
      </c>
    </row>
    <row r="192" spans="1:5" ht="47.25" customHeight="1">
      <c r="A192" s="304" t="s">
        <v>1407</v>
      </c>
      <c r="B192" s="319" t="s">
        <v>1408</v>
      </c>
      <c r="C192" s="273">
        <f>5836.6+13888.6</f>
        <v>19725.2</v>
      </c>
      <c r="D192" s="270">
        <f>4202.1+4147+2555.8+4079.3+0.1</f>
        <v>14984.300000000001</v>
      </c>
      <c r="E192" s="260">
        <f t="shared" si="4"/>
        <v>0.7596526270963032</v>
      </c>
    </row>
    <row r="193" spans="1:5" s="294" customFormat="1" ht="35.25" customHeight="1">
      <c r="A193" s="304" t="s">
        <v>1409</v>
      </c>
      <c r="B193" s="301" t="s">
        <v>1410</v>
      </c>
      <c r="C193" s="273">
        <f>10651-1479.4-297.4</f>
        <v>8874.2</v>
      </c>
      <c r="D193" s="270">
        <f>2662.8+887.6+659.3+668.6+694.4+694.4+694.4+500-0.2+913.2+504.8</f>
        <v>8879.3</v>
      </c>
      <c r="E193" s="260">
        <f t="shared" si="4"/>
        <v>1.0005746996912397</v>
      </c>
    </row>
    <row r="194" spans="1:5" s="266" customFormat="1" ht="20.25" customHeight="1" hidden="1">
      <c r="A194" s="308" t="s">
        <v>1411</v>
      </c>
      <c r="B194" s="331" t="s">
        <v>1412</v>
      </c>
      <c r="C194" s="278">
        <f>SUM(C195:C198)</f>
        <v>10564.5</v>
      </c>
      <c r="D194" s="278">
        <f>SUM(D195:D198)</f>
        <v>10564.5</v>
      </c>
      <c r="E194" s="255">
        <f t="shared" si="4"/>
        <v>1</v>
      </c>
    </row>
    <row r="195" spans="1:5" s="344" customFormat="1" ht="45.75" customHeight="1">
      <c r="A195" s="304" t="s">
        <v>1413</v>
      </c>
      <c r="B195" s="319" t="s">
        <v>1414</v>
      </c>
      <c r="C195" s="272">
        <v>10426.6</v>
      </c>
      <c r="D195" s="270">
        <f>2604+2523+2661+2638.6</f>
        <v>10426.6</v>
      </c>
      <c r="E195" s="260">
        <f t="shared" si="4"/>
        <v>1</v>
      </c>
    </row>
    <row r="196" spans="1:5" s="344" customFormat="1" ht="27" customHeight="1" hidden="1">
      <c r="A196" s="304" t="s">
        <v>1415</v>
      </c>
      <c r="B196" s="319" t="s">
        <v>1416</v>
      </c>
      <c r="C196" s="272">
        <v>0</v>
      </c>
      <c r="D196" s="270"/>
      <c r="E196" s="260"/>
    </row>
    <row r="197" spans="1:5" s="344" customFormat="1" ht="20.25" customHeight="1" hidden="1">
      <c r="A197" s="304" t="s">
        <v>1417</v>
      </c>
      <c r="B197" s="319" t="s">
        <v>1418</v>
      </c>
      <c r="C197" s="272"/>
      <c r="D197" s="273">
        <v>0</v>
      </c>
      <c r="E197" s="260"/>
    </row>
    <row r="198" spans="1:5" s="344" customFormat="1" ht="27" customHeight="1">
      <c r="A198" s="304" t="s">
        <v>1419</v>
      </c>
      <c r="B198" s="319" t="s">
        <v>1420</v>
      </c>
      <c r="C198" s="272">
        <v>137.9</v>
      </c>
      <c r="D198" s="270">
        <v>137.9</v>
      </c>
      <c r="E198" s="260">
        <f>D198/C198</f>
        <v>1</v>
      </c>
    </row>
    <row r="199" spans="1:5" s="266" customFormat="1" ht="18.75" customHeight="1" hidden="1">
      <c r="A199" s="308" t="s">
        <v>1421</v>
      </c>
      <c r="B199" s="331" t="s">
        <v>1422</v>
      </c>
      <c r="C199" s="278">
        <f>C200+C201</f>
        <v>150</v>
      </c>
      <c r="D199" s="279">
        <f>D200+D201</f>
        <v>500</v>
      </c>
      <c r="E199" s="255" t="s">
        <v>1423</v>
      </c>
    </row>
    <row r="200" spans="1:5" s="344" customFormat="1" ht="18.75" customHeight="1">
      <c r="A200" s="304" t="s">
        <v>1424</v>
      </c>
      <c r="B200" s="319" t="s">
        <v>1425</v>
      </c>
      <c r="C200" s="272">
        <f>130+20</f>
        <v>150</v>
      </c>
      <c r="D200" s="270">
        <f>50+50+30+20+350</f>
        <v>500</v>
      </c>
      <c r="E200" s="260" t="s">
        <v>1423</v>
      </c>
    </row>
    <row r="201" spans="1:5" s="344" customFormat="1" ht="18.75" customHeight="1" hidden="1">
      <c r="A201" s="304" t="s">
        <v>1426</v>
      </c>
      <c r="B201" s="319" t="s">
        <v>1425</v>
      </c>
      <c r="C201" s="272">
        <v>0</v>
      </c>
      <c r="D201" s="270"/>
      <c r="E201" s="260"/>
    </row>
    <row r="202" spans="1:5" s="344" customFormat="1" ht="25.5" customHeight="1" hidden="1">
      <c r="A202" s="392" t="s">
        <v>1427</v>
      </c>
      <c r="B202" s="392"/>
      <c r="C202" s="332">
        <f>C194+C132+C128+C126+C199</f>
        <v>1639826.4</v>
      </c>
      <c r="D202" s="332">
        <f>D194+D132+D128+D126+D199</f>
        <v>1632165.7999999998</v>
      </c>
      <c r="E202" s="333">
        <f>D202/C202</f>
        <v>0.995328407933913</v>
      </c>
    </row>
    <row r="203" spans="1:5" s="348" customFormat="1" ht="22.5" customHeight="1">
      <c r="A203" s="393" t="s">
        <v>1428</v>
      </c>
      <c r="B203" s="394"/>
      <c r="C203" s="254">
        <f>C126+C127</f>
        <v>2490135.5</v>
      </c>
      <c r="D203" s="254">
        <f>D126+D127</f>
        <v>2463061.1</v>
      </c>
      <c r="E203" s="314">
        <f>D203/C203</f>
        <v>0.9891273386528565</v>
      </c>
    </row>
    <row r="204" spans="3:5" ht="12.75">
      <c r="C204" s="334" t="s">
        <v>1429</v>
      </c>
      <c r="D204" s="334" t="s">
        <v>1429</v>
      </c>
      <c r="E204" s="335"/>
    </row>
    <row r="205" spans="3:5" ht="12.75">
      <c r="C205" s="349"/>
      <c r="D205" s="350"/>
      <c r="E205" s="335"/>
    </row>
    <row r="206" spans="4:5" ht="12.75">
      <c r="D206" s="351"/>
      <c r="E206" s="335"/>
    </row>
    <row r="207" spans="4:5" ht="12.75">
      <c r="D207" s="351"/>
      <c r="E207" s="335"/>
    </row>
    <row r="208" spans="4:5" ht="12.75">
      <c r="D208" s="351"/>
      <c r="E208" s="335"/>
    </row>
    <row r="209" spans="4:5" ht="12.75">
      <c r="D209" s="351"/>
      <c r="E209" s="335"/>
    </row>
    <row r="210" spans="4:5" ht="12.75">
      <c r="D210" s="351"/>
      <c r="E210" s="335"/>
    </row>
    <row r="211" spans="4:5" ht="12.75">
      <c r="D211" s="351"/>
      <c r="E211" s="335"/>
    </row>
    <row r="212" spans="4:5" ht="12.75">
      <c r="D212" s="351"/>
      <c r="E212" s="335"/>
    </row>
    <row r="213" spans="4:5" ht="12.75">
      <c r="D213" s="351"/>
      <c r="E213" s="335"/>
    </row>
    <row r="214" spans="4:5" ht="12.75">
      <c r="D214" s="351"/>
      <c r="E214" s="335"/>
    </row>
    <row r="215" spans="4:5" ht="12.75">
      <c r="D215" s="351"/>
      <c r="E215" s="335"/>
    </row>
    <row r="216" spans="4:5" ht="12.75">
      <c r="D216" s="351"/>
      <c r="E216" s="335"/>
    </row>
    <row r="217" spans="4:5" ht="12.75">
      <c r="D217" s="351"/>
      <c r="E217" s="335"/>
    </row>
    <row r="218" spans="4:5" ht="12.75">
      <c r="D218" s="351"/>
      <c r="E218" s="335"/>
    </row>
    <row r="219" spans="4:5" ht="12.75">
      <c r="D219" s="351"/>
      <c r="E219" s="335"/>
    </row>
    <row r="220" spans="4:5" ht="12.75">
      <c r="D220" s="351"/>
      <c r="E220" s="335"/>
    </row>
    <row r="221" spans="4:5" ht="12.75">
      <c r="D221" s="351"/>
      <c r="E221" s="335"/>
    </row>
    <row r="222" spans="4:5" ht="12.75">
      <c r="D222" s="351"/>
      <c r="E222" s="335"/>
    </row>
    <row r="223" spans="4:5" ht="12.75">
      <c r="D223" s="351"/>
      <c r="E223" s="335"/>
    </row>
    <row r="224" spans="4:5" ht="12.75">
      <c r="D224" s="351"/>
      <c r="E224" s="335"/>
    </row>
    <row r="225" spans="4:5" ht="12.75">
      <c r="D225" s="351"/>
      <c r="E225" s="335"/>
    </row>
    <row r="226" spans="4:5" ht="12.75">
      <c r="D226" s="351"/>
      <c r="E226" s="335"/>
    </row>
    <row r="227" spans="4:5" ht="12.75">
      <c r="D227" s="351"/>
      <c r="E227" s="335"/>
    </row>
    <row r="228" spans="4:5" ht="12.75">
      <c r="D228" s="351"/>
      <c r="E228" s="335"/>
    </row>
    <row r="229" spans="4:5" ht="12.75">
      <c r="D229" s="351"/>
      <c r="E229" s="335"/>
    </row>
    <row r="230" spans="4:5" ht="12.75">
      <c r="D230" s="351"/>
      <c r="E230" s="335"/>
    </row>
    <row r="231" spans="4:5" ht="12.75">
      <c r="D231" s="351"/>
      <c r="E231" s="335"/>
    </row>
    <row r="232" spans="4:5" ht="12.75">
      <c r="D232" s="351"/>
      <c r="E232" s="335"/>
    </row>
    <row r="233" spans="4:5" ht="12.75">
      <c r="D233" s="351"/>
      <c r="E233" s="335"/>
    </row>
    <row r="234" spans="4:5" ht="12.75">
      <c r="D234" s="351"/>
      <c r="E234" s="335"/>
    </row>
    <row r="235" spans="4:5" ht="12.75">
      <c r="D235" s="351"/>
      <c r="E235" s="335"/>
    </row>
    <row r="236" spans="4:5" ht="12.75">
      <c r="D236" s="351"/>
      <c r="E236" s="335"/>
    </row>
    <row r="237" spans="4:5" ht="12.75">
      <c r="D237" s="351"/>
      <c r="E237" s="335"/>
    </row>
    <row r="238" spans="4:5" ht="12.75">
      <c r="D238" s="351"/>
      <c r="E238" s="335"/>
    </row>
    <row r="239" spans="4:5" ht="12.75">
      <c r="D239" s="351"/>
      <c r="E239" s="335"/>
    </row>
    <row r="240" spans="4:5" ht="12.75">
      <c r="D240" s="351"/>
      <c r="E240" s="335"/>
    </row>
    <row r="241" spans="4:5" ht="12.75">
      <c r="D241" s="351"/>
      <c r="E241" s="335"/>
    </row>
    <row r="242" spans="4:5" ht="12.75">
      <c r="D242" s="351"/>
      <c r="E242" s="335"/>
    </row>
    <row r="243" spans="4:5" ht="12.75">
      <c r="D243" s="351"/>
      <c r="E243" s="335"/>
    </row>
    <row r="244" spans="4:5" ht="12.75">
      <c r="D244" s="351"/>
      <c r="E244" s="335"/>
    </row>
    <row r="245" spans="4:5" ht="12.75">
      <c r="D245" s="351"/>
      <c r="E245" s="335"/>
    </row>
    <row r="246" spans="4:5" ht="12.75">
      <c r="D246" s="351"/>
      <c r="E246" s="335"/>
    </row>
    <row r="247" spans="4:5" ht="12.75">
      <c r="D247" s="351"/>
      <c r="E247" s="335"/>
    </row>
    <row r="248" spans="4:5" ht="12.75">
      <c r="D248" s="351"/>
      <c r="E248" s="335"/>
    </row>
    <row r="249" spans="4:5" ht="12.75">
      <c r="D249" s="351"/>
      <c r="E249" s="335"/>
    </row>
    <row r="250" spans="4:5" ht="12.75">
      <c r="D250" s="351"/>
      <c r="E250" s="335"/>
    </row>
    <row r="251" spans="4:5" ht="12.75">
      <c r="D251" s="351"/>
      <c r="E251" s="335"/>
    </row>
    <row r="252" spans="4:5" ht="12.75">
      <c r="D252" s="351"/>
      <c r="E252" s="335"/>
    </row>
    <row r="253" spans="4:5" ht="12.75">
      <c r="D253" s="351"/>
      <c r="E253" s="335"/>
    </row>
    <row r="254" spans="4:5" ht="12.75">
      <c r="D254" s="351"/>
      <c r="E254" s="335"/>
    </row>
    <row r="255" spans="4:5" ht="12.75">
      <c r="D255" s="351"/>
      <c r="E255" s="335"/>
    </row>
    <row r="256" spans="4:5" ht="12.75">
      <c r="D256" s="351"/>
      <c r="E256" s="335"/>
    </row>
    <row r="257" spans="4:5" ht="12.75">
      <c r="D257" s="351"/>
      <c r="E257" s="335"/>
    </row>
  </sheetData>
  <mergeCells count="12">
    <mergeCell ref="A121:B121"/>
    <mergeCell ref="A126:B126"/>
    <mergeCell ref="A202:B202"/>
    <mergeCell ref="A203:B203"/>
    <mergeCell ref="D8:D9"/>
    <mergeCell ref="E8:E9"/>
    <mergeCell ref="A52:B52"/>
    <mergeCell ref="A120:B120"/>
    <mergeCell ref="A5:C5"/>
    <mergeCell ref="A8:A9"/>
    <mergeCell ref="B8:B9"/>
    <mergeCell ref="C8:C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1"/>
  <sheetViews>
    <sheetView workbookViewId="0" topLeftCell="A184">
      <selection activeCell="F5" sqref="F5"/>
    </sheetView>
  </sheetViews>
  <sheetFormatPr defaultColWidth="9.00390625" defaultRowHeight="12.75"/>
  <cols>
    <col min="1" max="1" width="29.25390625" style="0" customWidth="1"/>
    <col min="2" max="2" width="45.875" style="0" customWidth="1"/>
    <col min="3" max="3" width="13.00390625" style="0" customWidth="1"/>
    <col min="4" max="4" width="15.25390625" style="0" customWidth="1"/>
    <col min="5" max="5" width="14.25390625" style="0" customWidth="1"/>
  </cols>
  <sheetData>
    <row r="1" spans="1:5" s="235" customFormat="1" ht="12.75">
      <c r="A1" s="233"/>
      <c r="B1" s="234"/>
      <c r="D1" s="236"/>
      <c r="E1" s="237" t="s">
        <v>1432</v>
      </c>
    </row>
    <row r="2" spans="1:5" s="235" customFormat="1" ht="12.75">
      <c r="A2" s="233"/>
      <c r="B2" s="234"/>
      <c r="D2" s="236"/>
      <c r="E2" s="238" t="s">
        <v>597</v>
      </c>
    </row>
    <row r="3" spans="1:5" s="235" customFormat="1" ht="12.75">
      <c r="A3" s="233"/>
      <c r="B3" s="234"/>
      <c r="D3" s="236"/>
      <c r="E3" s="238" t="s">
        <v>598</v>
      </c>
    </row>
    <row r="4" spans="1:5" s="235" customFormat="1" ht="12.75">
      <c r="A4" s="233"/>
      <c r="B4" s="234"/>
      <c r="D4" s="236"/>
      <c r="E4" s="237" t="s">
        <v>16</v>
      </c>
    </row>
    <row r="5" spans="1:4" s="235" customFormat="1" ht="63" customHeight="1">
      <c r="A5" s="382" t="s">
        <v>596</v>
      </c>
      <c r="B5" s="382"/>
      <c r="C5" s="382"/>
      <c r="D5" s="236"/>
    </row>
    <row r="6" spans="1:4" s="235" customFormat="1" ht="15.75">
      <c r="A6" s="239"/>
      <c r="B6" s="240"/>
      <c r="C6" s="240"/>
      <c r="D6" s="236"/>
    </row>
    <row r="7" spans="1:5" s="235" customFormat="1" ht="15.75">
      <c r="A7" s="241"/>
      <c r="B7" s="242"/>
      <c r="D7" s="236"/>
      <c r="E7" s="243" t="s">
        <v>1154</v>
      </c>
    </row>
    <row r="8" spans="1:5" ht="12.75">
      <c r="A8" s="396" t="s">
        <v>1155</v>
      </c>
      <c r="B8" s="380" t="s">
        <v>1156</v>
      </c>
      <c r="C8" s="380" t="s">
        <v>1157</v>
      </c>
      <c r="D8" s="395" t="s">
        <v>1434</v>
      </c>
      <c r="E8" s="395" t="s">
        <v>1435</v>
      </c>
    </row>
    <row r="9" spans="1:5" ht="31.5" customHeight="1">
      <c r="A9" s="396"/>
      <c r="B9" s="380"/>
      <c r="C9" s="380"/>
      <c r="D9" s="395"/>
      <c r="E9" s="395"/>
    </row>
    <row r="10" spans="1:5" ht="20.25" customHeight="1">
      <c r="A10" s="251" t="s">
        <v>1443</v>
      </c>
      <c r="B10" s="317" t="s">
        <v>1444</v>
      </c>
      <c r="C10" s="253">
        <v>909384</v>
      </c>
      <c r="D10" s="253">
        <v>899293.4</v>
      </c>
      <c r="E10" s="255">
        <f>D10/C10</f>
        <v>0.9889039173770376</v>
      </c>
    </row>
    <row r="11" spans="1:5" ht="16.5" customHeight="1">
      <c r="A11" s="251" t="s">
        <v>1445</v>
      </c>
      <c r="B11" s="252" t="s">
        <v>1161</v>
      </c>
      <c r="C11" s="253">
        <f>SUM(D12:D19)</f>
        <v>535181.8799999999</v>
      </c>
      <c r="D11" s="254">
        <v>541258.4</v>
      </c>
      <c r="E11" s="255">
        <f>D11/C11</f>
        <v>1.011354121331612</v>
      </c>
    </row>
    <row r="12" spans="1:5" ht="31.5">
      <c r="A12" s="336" t="s">
        <v>1103</v>
      </c>
      <c r="B12" s="327" t="s">
        <v>1104</v>
      </c>
      <c r="C12" s="327"/>
      <c r="D12" s="337">
        <v>6722.18</v>
      </c>
      <c r="E12" s="260"/>
    </row>
    <row r="13" spans="1:5" ht="31.5">
      <c r="A13" s="336" t="s">
        <v>1105</v>
      </c>
      <c r="B13" s="327" t="s">
        <v>1106</v>
      </c>
      <c r="C13" s="327"/>
      <c r="D13" s="337">
        <v>0.07</v>
      </c>
      <c r="E13" s="260"/>
    </row>
    <row r="14" spans="1:5" ht="31.5">
      <c r="A14" s="336" t="s">
        <v>1107</v>
      </c>
      <c r="B14" s="327" t="s">
        <v>1108</v>
      </c>
      <c r="C14" s="327"/>
      <c r="D14" s="337">
        <v>-0.07</v>
      </c>
      <c r="E14" s="260"/>
    </row>
    <row r="15" spans="1:5" ht="31.5">
      <c r="A15" s="336" t="s">
        <v>1109</v>
      </c>
      <c r="B15" s="327" t="s">
        <v>1110</v>
      </c>
      <c r="C15" s="327"/>
      <c r="D15" s="337">
        <v>0</v>
      </c>
      <c r="E15" s="260"/>
    </row>
    <row r="16" spans="1:5" ht="52.5">
      <c r="A16" s="336" t="s">
        <v>1111</v>
      </c>
      <c r="B16" s="327" t="s">
        <v>767</v>
      </c>
      <c r="C16" s="327"/>
      <c r="D16" s="337">
        <v>1.41</v>
      </c>
      <c r="E16" s="260"/>
    </row>
    <row r="17" spans="1:5" ht="73.5">
      <c r="A17" s="336" t="s">
        <v>768</v>
      </c>
      <c r="B17" s="338" t="s">
        <v>610</v>
      </c>
      <c r="C17" s="338"/>
      <c r="D17" s="337">
        <v>525990.95</v>
      </c>
      <c r="E17" s="260"/>
    </row>
    <row r="18" spans="1:5" ht="73.5">
      <c r="A18" s="336" t="s">
        <v>769</v>
      </c>
      <c r="B18" s="338" t="s">
        <v>611</v>
      </c>
      <c r="C18" s="338"/>
      <c r="D18" s="337">
        <v>1422.24</v>
      </c>
      <c r="E18" s="260"/>
    </row>
    <row r="19" spans="1:5" ht="73.5">
      <c r="A19" s="336" t="s">
        <v>770</v>
      </c>
      <c r="B19" s="338" t="s">
        <v>612</v>
      </c>
      <c r="C19" s="338"/>
      <c r="D19" s="337">
        <v>1045.1</v>
      </c>
      <c r="E19" s="260"/>
    </row>
    <row r="20" spans="1:5" ht="73.5">
      <c r="A20" s="336" t="s">
        <v>771</v>
      </c>
      <c r="B20" s="338" t="s">
        <v>613</v>
      </c>
      <c r="C20" s="338"/>
      <c r="D20" s="337">
        <v>-92.36</v>
      </c>
      <c r="E20" s="260"/>
    </row>
    <row r="21" spans="1:5" ht="73.5">
      <c r="A21" s="336" t="s">
        <v>772</v>
      </c>
      <c r="B21" s="338" t="s">
        <v>614</v>
      </c>
      <c r="C21" s="338"/>
      <c r="D21" s="337">
        <v>5629.7</v>
      </c>
      <c r="E21" s="260"/>
    </row>
    <row r="22" spans="1:5" ht="73.5">
      <c r="A22" s="336" t="s">
        <v>773</v>
      </c>
      <c r="B22" s="338" t="s">
        <v>615</v>
      </c>
      <c r="C22" s="338"/>
      <c r="D22" s="337">
        <v>24.35</v>
      </c>
      <c r="E22" s="260"/>
    </row>
    <row r="23" spans="1:5" ht="63">
      <c r="A23" s="336" t="s">
        <v>774</v>
      </c>
      <c r="B23" s="338" t="s">
        <v>616</v>
      </c>
      <c r="C23" s="338"/>
      <c r="D23" s="337">
        <v>37</v>
      </c>
      <c r="E23" s="260"/>
    </row>
    <row r="24" spans="1:5" ht="73.5">
      <c r="A24" s="336" t="s">
        <v>775</v>
      </c>
      <c r="B24" s="338" t="s">
        <v>617</v>
      </c>
      <c r="C24" s="338"/>
      <c r="D24" s="337">
        <v>0</v>
      </c>
      <c r="E24" s="260"/>
    </row>
    <row r="25" spans="1:5" ht="31.5">
      <c r="A25" s="336" t="s">
        <v>776</v>
      </c>
      <c r="B25" s="327" t="s">
        <v>777</v>
      </c>
      <c r="C25" s="327"/>
      <c r="D25" s="337">
        <v>136.66</v>
      </c>
      <c r="E25" s="260"/>
    </row>
    <row r="26" spans="1:5" ht="31.5">
      <c r="A26" s="336" t="s">
        <v>778</v>
      </c>
      <c r="B26" s="327" t="s">
        <v>779</v>
      </c>
      <c r="C26" s="327"/>
      <c r="D26" s="337">
        <v>0.01</v>
      </c>
      <c r="E26" s="260"/>
    </row>
    <row r="27" spans="1:5" ht="31.5">
      <c r="A27" s="336" t="s">
        <v>780</v>
      </c>
      <c r="B27" s="327" t="s">
        <v>781</v>
      </c>
      <c r="C27" s="327"/>
      <c r="D27" s="337">
        <v>0</v>
      </c>
      <c r="E27" s="260"/>
    </row>
    <row r="28" spans="1:5" ht="168">
      <c r="A28" s="336" t="s">
        <v>782</v>
      </c>
      <c r="B28" s="338" t="s">
        <v>33</v>
      </c>
      <c r="C28" s="338"/>
      <c r="D28" s="337">
        <v>337.13</v>
      </c>
      <c r="E28" s="260"/>
    </row>
    <row r="29" spans="1:5" ht="168">
      <c r="A29" s="336" t="s">
        <v>783</v>
      </c>
      <c r="B29" s="338" t="s">
        <v>34</v>
      </c>
      <c r="C29" s="338"/>
      <c r="D29" s="337">
        <v>0.19</v>
      </c>
      <c r="E29" s="260"/>
    </row>
    <row r="30" spans="1:5" ht="84">
      <c r="A30" s="336" t="s">
        <v>784</v>
      </c>
      <c r="B30" s="338" t="s">
        <v>35</v>
      </c>
      <c r="C30" s="338"/>
      <c r="D30" s="337">
        <v>0</v>
      </c>
      <c r="E30" s="260"/>
    </row>
    <row r="31" spans="1:5" ht="63">
      <c r="A31" s="336" t="s">
        <v>785</v>
      </c>
      <c r="B31" s="338" t="s">
        <v>36</v>
      </c>
      <c r="C31" s="338"/>
      <c r="D31" s="337">
        <v>3.87</v>
      </c>
      <c r="E31" s="260"/>
    </row>
    <row r="32" spans="1:5" ht="17.25" customHeight="1">
      <c r="A32" s="251" t="s">
        <v>1170</v>
      </c>
      <c r="B32" s="265" t="s">
        <v>1171</v>
      </c>
      <c r="C32" s="253">
        <v>120049</v>
      </c>
      <c r="D32" s="254">
        <v>100686.9</v>
      </c>
      <c r="E32" s="255">
        <f>D32/C32</f>
        <v>0.8387150246982482</v>
      </c>
    </row>
    <row r="33" spans="1:5" ht="31.5">
      <c r="A33" s="336" t="s">
        <v>786</v>
      </c>
      <c r="B33" s="327" t="s">
        <v>787</v>
      </c>
      <c r="C33" s="327"/>
      <c r="D33" s="337">
        <v>33504.57</v>
      </c>
      <c r="E33" s="260"/>
    </row>
    <row r="34" spans="1:5" ht="31.5">
      <c r="A34" s="336" t="s">
        <v>788</v>
      </c>
      <c r="B34" s="327" t="s">
        <v>789</v>
      </c>
      <c r="C34" s="327"/>
      <c r="D34" s="337">
        <v>46.15</v>
      </c>
      <c r="E34" s="260"/>
    </row>
    <row r="35" spans="1:5" ht="21">
      <c r="A35" s="336" t="s">
        <v>790</v>
      </c>
      <c r="B35" s="327" t="s">
        <v>791</v>
      </c>
      <c r="C35" s="327"/>
      <c r="D35" s="337">
        <v>43.74</v>
      </c>
      <c r="E35" s="260"/>
    </row>
    <row r="36" spans="1:5" ht="31.5">
      <c r="A36" s="336" t="s">
        <v>792</v>
      </c>
      <c r="B36" s="327" t="s">
        <v>793</v>
      </c>
      <c r="C36" s="327"/>
      <c r="D36" s="337">
        <v>-0.03</v>
      </c>
      <c r="E36" s="260"/>
    </row>
    <row r="37" spans="1:5" ht="31.5">
      <c r="A37" s="336" t="s">
        <v>794</v>
      </c>
      <c r="B37" s="327" t="s">
        <v>795</v>
      </c>
      <c r="C37" s="327"/>
      <c r="D37" s="337">
        <v>6834.02</v>
      </c>
      <c r="E37" s="260"/>
    </row>
    <row r="38" spans="1:5" ht="31.5">
      <c r="A38" s="336" t="s">
        <v>796</v>
      </c>
      <c r="B38" s="327" t="s">
        <v>797</v>
      </c>
      <c r="C38" s="327"/>
      <c r="D38" s="337">
        <v>-12.38</v>
      </c>
      <c r="E38" s="260"/>
    </row>
    <row r="39" spans="1:5" ht="31.5">
      <c r="A39" s="336" t="s">
        <v>798</v>
      </c>
      <c r="B39" s="327" t="s">
        <v>799</v>
      </c>
      <c r="C39" s="327"/>
      <c r="D39" s="337">
        <v>40.3</v>
      </c>
      <c r="E39" s="260"/>
    </row>
    <row r="40" spans="1:5" ht="31.5">
      <c r="A40" s="336" t="s">
        <v>800</v>
      </c>
      <c r="B40" s="327" t="s">
        <v>801</v>
      </c>
      <c r="C40" s="327"/>
      <c r="D40" s="337">
        <v>0</v>
      </c>
      <c r="E40" s="260"/>
    </row>
    <row r="41" spans="1:5" ht="21">
      <c r="A41" s="336" t="s">
        <v>802</v>
      </c>
      <c r="B41" s="327" t="s">
        <v>803</v>
      </c>
      <c r="C41" s="327"/>
      <c r="D41" s="337">
        <v>59592.1</v>
      </c>
      <c r="E41" s="260"/>
    </row>
    <row r="42" spans="1:5" ht="21">
      <c r="A42" s="336" t="s">
        <v>804</v>
      </c>
      <c r="B42" s="327" t="s">
        <v>805</v>
      </c>
      <c r="C42" s="327"/>
      <c r="D42" s="337">
        <v>262.26</v>
      </c>
      <c r="E42" s="260"/>
    </row>
    <row r="43" spans="1:5" ht="21">
      <c r="A43" s="336" t="s">
        <v>806</v>
      </c>
      <c r="B43" s="327" t="s">
        <v>807</v>
      </c>
      <c r="C43" s="327"/>
      <c r="D43" s="337">
        <v>301.39</v>
      </c>
      <c r="E43" s="260"/>
    </row>
    <row r="44" spans="1:5" ht="21">
      <c r="A44" s="336" t="s">
        <v>808</v>
      </c>
      <c r="B44" s="327" t="s">
        <v>809</v>
      </c>
      <c r="C44" s="327"/>
      <c r="D44" s="337">
        <v>0</v>
      </c>
      <c r="E44" s="260"/>
    </row>
    <row r="45" spans="1:5" ht="12.75">
      <c r="A45" s="336" t="s">
        <v>810</v>
      </c>
      <c r="B45" s="327" t="s">
        <v>811</v>
      </c>
      <c r="C45" s="327"/>
      <c r="D45" s="337">
        <v>73.94</v>
      </c>
      <c r="E45" s="260"/>
    </row>
    <row r="46" spans="1:5" ht="12.75">
      <c r="A46" s="336" t="s">
        <v>812</v>
      </c>
      <c r="B46" s="327" t="s">
        <v>813</v>
      </c>
      <c r="C46" s="327"/>
      <c r="D46" s="337">
        <v>0.41</v>
      </c>
      <c r="E46" s="260"/>
    </row>
    <row r="47" spans="1:5" ht="12.75">
      <c r="A47" s="336" t="s">
        <v>814</v>
      </c>
      <c r="B47" s="327" t="s">
        <v>815</v>
      </c>
      <c r="C47" s="327"/>
      <c r="D47" s="337">
        <v>0.45</v>
      </c>
      <c r="E47" s="260"/>
    </row>
    <row r="48" spans="1:5" s="266" customFormat="1" ht="21" customHeight="1">
      <c r="A48" s="251" t="s">
        <v>1181</v>
      </c>
      <c r="B48" s="265" t="s">
        <v>1182</v>
      </c>
      <c r="C48" s="253">
        <v>45902.5</v>
      </c>
      <c r="D48" s="254">
        <v>78894.8</v>
      </c>
      <c r="E48" s="255">
        <f>D48/C48</f>
        <v>1.7187473449158543</v>
      </c>
    </row>
    <row r="49" spans="1:5" ht="42">
      <c r="A49" s="336" t="s">
        <v>816</v>
      </c>
      <c r="B49" s="327" t="s">
        <v>817</v>
      </c>
      <c r="C49" s="327"/>
      <c r="D49" s="337">
        <v>18990.51</v>
      </c>
      <c r="E49" s="260"/>
    </row>
    <row r="50" spans="1:5" ht="42">
      <c r="A50" s="336" t="s">
        <v>818</v>
      </c>
      <c r="B50" s="327" t="s">
        <v>819</v>
      </c>
      <c r="C50" s="327"/>
      <c r="D50" s="337">
        <v>148.29</v>
      </c>
      <c r="E50" s="260"/>
    </row>
    <row r="51" spans="1:5" ht="31.5">
      <c r="A51" s="336" t="s">
        <v>820</v>
      </c>
      <c r="B51" s="327" t="s">
        <v>821</v>
      </c>
      <c r="C51" s="327"/>
      <c r="D51" s="337">
        <v>3.53</v>
      </c>
      <c r="E51" s="260"/>
    </row>
    <row r="52" spans="1:5" ht="42">
      <c r="A52" s="336" t="s">
        <v>822</v>
      </c>
      <c r="B52" s="327" t="s">
        <v>823</v>
      </c>
      <c r="C52" s="327"/>
      <c r="D52" s="337">
        <v>-0.16</v>
      </c>
      <c r="E52" s="260"/>
    </row>
    <row r="53" spans="1:5" ht="12.75">
      <c r="A53" s="336" t="s">
        <v>824</v>
      </c>
      <c r="B53" s="327" t="s">
        <v>825</v>
      </c>
      <c r="C53" s="327"/>
      <c r="D53" s="337">
        <v>5923.04</v>
      </c>
      <c r="E53" s="260"/>
    </row>
    <row r="54" spans="1:5" ht="12.75">
      <c r="A54" s="336" t="s">
        <v>826</v>
      </c>
      <c r="B54" s="327" t="s">
        <v>827</v>
      </c>
      <c r="C54" s="327"/>
      <c r="D54" s="337">
        <v>34.9</v>
      </c>
      <c r="E54" s="260"/>
    </row>
    <row r="55" spans="1:5" ht="12.75">
      <c r="A55" s="336" t="s">
        <v>828</v>
      </c>
      <c r="B55" s="327" t="s">
        <v>829</v>
      </c>
      <c r="C55" s="327"/>
      <c r="D55" s="337">
        <v>19.16</v>
      </c>
      <c r="E55" s="260"/>
    </row>
    <row r="56" spans="1:5" ht="12.75">
      <c r="A56" s="336" t="s">
        <v>830</v>
      </c>
      <c r="B56" s="327" t="s">
        <v>831</v>
      </c>
      <c r="C56" s="327"/>
      <c r="D56" s="337">
        <v>0</v>
      </c>
      <c r="E56" s="260"/>
    </row>
    <row r="57" spans="1:5" ht="12.75">
      <c r="A57" s="336" t="s">
        <v>832</v>
      </c>
      <c r="B57" s="327" t="s">
        <v>833</v>
      </c>
      <c r="C57" s="327"/>
      <c r="D57" s="337">
        <v>12680.49</v>
      </c>
      <c r="E57" s="260"/>
    </row>
    <row r="58" spans="1:5" ht="12.75">
      <c r="A58" s="336" t="s">
        <v>834</v>
      </c>
      <c r="B58" s="327" t="s">
        <v>835</v>
      </c>
      <c r="C58" s="327"/>
      <c r="D58" s="337">
        <v>243.04</v>
      </c>
      <c r="E58" s="260"/>
    </row>
    <row r="59" spans="1:5" ht="12.75">
      <c r="A59" s="336" t="s">
        <v>836</v>
      </c>
      <c r="B59" s="327" t="s">
        <v>837</v>
      </c>
      <c r="C59" s="327"/>
      <c r="D59" s="337">
        <v>0.89</v>
      </c>
      <c r="E59" s="260"/>
    </row>
    <row r="60" spans="1:5" ht="21">
      <c r="A60" s="336" t="s">
        <v>838</v>
      </c>
      <c r="B60" s="327" t="s">
        <v>839</v>
      </c>
      <c r="C60" s="327"/>
      <c r="D60" s="337">
        <v>0</v>
      </c>
      <c r="E60" s="260"/>
    </row>
    <row r="61" spans="1:5" ht="12.75">
      <c r="A61" s="336" t="s">
        <v>840</v>
      </c>
      <c r="B61" s="327" t="s">
        <v>841</v>
      </c>
      <c r="C61" s="327"/>
      <c r="D61" s="337">
        <v>1617.78</v>
      </c>
      <c r="E61" s="260"/>
    </row>
    <row r="62" spans="1:5" ht="12.75">
      <c r="A62" s="336" t="s">
        <v>842</v>
      </c>
      <c r="B62" s="327" t="s">
        <v>843</v>
      </c>
      <c r="C62" s="327"/>
      <c r="D62" s="337">
        <v>20.22</v>
      </c>
      <c r="E62" s="260"/>
    </row>
    <row r="63" spans="1:5" ht="63">
      <c r="A63" s="336" t="s">
        <v>844</v>
      </c>
      <c r="B63" s="327" t="s">
        <v>845</v>
      </c>
      <c r="C63" s="327"/>
      <c r="D63" s="337">
        <v>3987.28</v>
      </c>
      <c r="E63" s="260"/>
    </row>
    <row r="64" spans="1:5" ht="63">
      <c r="A64" s="336" t="s">
        <v>846</v>
      </c>
      <c r="B64" s="327" t="s">
        <v>847</v>
      </c>
      <c r="C64" s="327"/>
      <c r="D64" s="337">
        <v>75.2</v>
      </c>
      <c r="E64" s="260"/>
    </row>
    <row r="65" spans="1:5" ht="52.5">
      <c r="A65" s="336" t="s">
        <v>848</v>
      </c>
      <c r="B65" s="327" t="s">
        <v>849</v>
      </c>
      <c r="C65" s="327"/>
      <c r="D65" s="337">
        <v>8.76</v>
      </c>
      <c r="E65" s="260"/>
    </row>
    <row r="66" spans="1:5" ht="63">
      <c r="A66" s="336" t="s">
        <v>850</v>
      </c>
      <c r="B66" s="327" t="s">
        <v>851</v>
      </c>
      <c r="C66" s="327"/>
      <c r="D66" s="337">
        <v>1.53</v>
      </c>
      <c r="E66" s="260"/>
    </row>
    <row r="67" spans="1:5" ht="63">
      <c r="A67" s="336" t="s">
        <v>852</v>
      </c>
      <c r="B67" s="327" t="s">
        <v>853</v>
      </c>
      <c r="C67" s="327"/>
      <c r="D67" s="337">
        <v>34679.58</v>
      </c>
      <c r="E67" s="260"/>
    </row>
    <row r="68" spans="1:5" ht="63">
      <c r="A68" s="336" t="s">
        <v>854</v>
      </c>
      <c r="B68" s="327" t="s">
        <v>855</v>
      </c>
      <c r="C68" s="327"/>
      <c r="D68" s="337">
        <v>375.18</v>
      </c>
      <c r="E68" s="260"/>
    </row>
    <row r="69" spans="1:5" ht="52.5">
      <c r="A69" s="336" t="s">
        <v>856</v>
      </c>
      <c r="B69" s="327" t="s">
        <v>857</v>
      </c>
      <c r="C69" s="327"/>
      <c r="D69" s="337">
        <v>85.62</v>
      </c>
      <c r="E69" s="260"/>
    </row>
    <row r="70" spans="1:5" ht="63">
      <c r="A70" s="336" t="s">
        <v>858</v>
      </c>
      <c r="B70" s="327" t="s">
        <v>859</v>
      </c>
      <c r="C70" s="327"/>
      <c r="D70" s="337">
        <v>0</v>
      </c>
      <c r="E70" s="260"/>
    </row>
    <row r="71" spans="1:5" s="266" customFormat="1" ht="28.5" customHeight="1">
      <c r="A71" s="276" t="s">
        <v>1196</v>
      </c>
      <c r="B71" s="277" t="s">
        <v>1197</v>
      </c>
      <c r="C71" s="278">
        <v>5110</v>
      </c>
      <c r="D71" s="279">
        <v>3403</v>
      </c>
      <c r="E71" s="255">
        <f>D71/C71</f>
        <v>0.6659491193737769</v>
      </c>
    </row>
    <row r="72" spans="1:5" ht="21">
      <c r="A72" s="336" t="s">
        <v>860</v>
      </c>
      <c r="B72" s="327" t="s">
        <v>861</v>
      </c>
      <c r="C72" s="327"/>
      <c r="D72" s="337">
        <v>2925.81</v>
      </c>
      <c r="E72" s="260"/>
    </row>
    <row r="73" spans="1:5" ht="21">
      <c r="A73" s="336" t="s">
        <v>862</v>
      </c>
      <c r="B73" s="327" t="s">
        <v>863</v>
      </c>
      <c r="C73" s="327"/>
      <c r="D73" s="337">
        <v>4.22</v>
      </c>
      <c r="E73" s="260"/>
    </row>
    <row r="74" spans="1:5" ht="21">
      <c r="A74" s="336" t="s">
        <v>864</v>
      </c>
      <c r="B74" s="327" t="s">
        <v>865</v>
      </c>
      <c r="C74" s="327"/>
      <c r="D74" s="337">
        <v>2.69</v>
      </c>
      <c r="E74" s="260"/>
    </row>
    <row r="75" spans="1:5" ht="31.5">
      <c r="A75" s="336" t="s">
        <v>866</v>
      </c>
      <c r="B75" s="327" t="s">
        <v>867</v>
      </c>
      <c r="C75" s="327"/>
      <c r="D75" s="337">
        <v>461.01</v>
      </c>
      <c r="E75" s="260"/>
    </row>
    <row r="76" spans="1:5" ht="31.5">
      <c r="A76" s="336" t="s">
        <v>868</v>
      </c>
      <c r="B76" s="327" t="s">
        <v>869</v>
      </c>
      <c r="C76" s="327"/>
      <c r="D76" s="337">
        <v>9.28</v>
      </c>
      <c r="E76" s="260"/>
    </row>
    <row r="77" spans="1:5" s="266" customFormat="1" ht="19.5" customHeight="1">
      <c r="A77" s="251" t="s">
        <v>1202</v>
      </c>
      <c r="B77" s="252" t="s">
        <v>1203</v>
      </c>
      <c r="C77" s="253">
        <v>18710.5</v>
      </c>
      <c r="D77" s="254">
        <v>14968</v>
      </c>
      <c r="E77" s="255">
        <f>D77/C77</f>
        <v>0.7999786216295662</v>
      </c>
    </row>
    <row r="78" spans="1:5" ht="52.5">
      <c r="A78" s="336" t="s">
        <v>870</v>
      </c>
      <c r="B78" s="327" t="s">
        <v>871</v>
      </c>
      <c r="C78" s="327"/>
      <c r="D78" s="337">
        <v>5218.03</v>
      </c>
      <c r="E78" s="260"/>
    </row>
    <row r="79" spans="1:5" ht="52.5">
      <c r="A79" s="336" t="s">
        <v>872</v>
      </c>
      <c r="B79" s="327" t="s">
        <v>873</v>
      </c>
      <c r="C79" s="327"/>
      <c r="D79" s="337">
        <v>0</v>
      </c>
      <c r="E79" s="260"/>
    </row>
    <row r="80" spans="1:5" ht="73.5">
      <c r="A80" s="336" t="s">
        <v>874</v>
      </c>
      <c r="B80" s="338" t="s">
        <v>37</v>
      </c>
      <c r="C80" s="338"/>
      <c r="D80" s="337">
        <v>9695.63</v>
      </c>
      <c r="E80" s="260"/>
    </row>
    <row r="81" spans="1:5" ht="73.5">
      <c r="A81" s="336" t="s">
        <v>875</v>
      </c>
      <c r="B81" s="338" t="s">
        <v>38</v>
      </c>
      <c r="C81" s="338"/>
      <c r="D81" s="337">
        <v>0</v>
      </c>
      <c r="E81" s="260"/>
    </row>
    <row r="82" spans="1:5" ht="21">
      <c r="A82" s="336" t="s">
        <v>876</v>
      </c>
      <c r="B82" s="327" t="s">
        <v>877</v>
      </c>
      <c r="C82" s="327"/>
      <c r="D82" s="337">
        <v>6</v>
      </c>
      <c r="E82" s="260"/>
    </row>
    <row r="83" spans="1:5" ht="73.5">
      <c r="A83" s="336" t="s">
        <v>878</v>
      </c>
      <c r="B83" s="338" t="s">
        <v>39</v>
      </c>
      <c r="C83" s="338"/>
      <c r="D83" s="337">
        <v>48.37</v>
      </c>
      <c r="E83" s="260"/>
    </row>
    <row r="84" spans="1:5" ht="73.5">
      <c r="A84" s="336" t="s">
        <v>879</v>
      </c>
      <c r="B84" s="338" t="s">
        <v>40</v>
      </c>
      <c r="C84" s="338"/>
      <c r="D84" s="337">
        <v>0</v>
      </c>
      <c r="E84" s="260"/>
    </row>
    <row r="85" spans="1:5" s="266" customFormat="1" ht="22.5">
      <c r="A85" s="251" t="s">
        <v>1209</v>
      </c>
      <c r="B85" s="252" t="s">
        <v>1210</v>
      </c>
      <c r="C85" s="253"/>
      <c r="D85" s="281">
        <v>1188.9</v>
      </c>
      <c r="E85" s="260"/>
    </row>
    <row r="86" spans="1:5" ht="31.5">
      <c r="A86" s="336" t="s">
        <v>880</v>
      </c>
      <c r="B86" s="327" t="s">
        <v>881</v>
      </c>
      <c r="C86" s="327"/>
      <c r="D86" s="337">
        <v>38.2</v>
      </c>
      <c r="E86" s="260"/>
    </row>
    <row r="87" spans="1:5" ht="31.5">
      <c r="A87" s="336" t="s">
        <v>882</v>
      </c>
      <c r="B87" s="327" t="s">
        <v>883</v>
      </c>
      <c r="C87" s="327"/>
      <c r="D87" s="337">
        <v>-3.71</v>
      </c>
      <c r="E87" s="260"/>
    </row>
    <row r="88" spans="1:5" ht="31.5">
      <c r="A88" s="336" t="s">
        <v>884</v>
      </c>
      <c r="B88" s="327" t="s">
        <v>885</v>
      </c>
      <c r="C88" s="327"/>
      <c r="D88" s="337">
        <v>-8.75</v>
      </c>
      <c r="E88" s="260"/>
    </row>
    <row r="89" spans="1:5" ht="31.5">
      <c r="A89" s="336" t="s">
        <v>886</v>
      </c>
      <c r="B89" s="327" t="s">
        <v>887</v>
      </c>
      <c r="C89" s="327"/>
      <c r="D89" s="337">
        <v>0</v>
      </c>
      <c r="E89" s="260"/>
    </row>
    <row r="90" spans="1:5" ht="12.75">
      <c r="A90" s="336" t="s">
        <v>888</v>
      </c>
      <c r="B90" s="327" t="s">
        <v>889</v>
      </c>
      <c r="C90" s="327"/>
      <c r="D90" s="337">
        <v>0.06</v>
      </c>
      <c r="E90" s="260"/>
    </row>
    <row r="91" spans="1:5" ht="12.75">
      <c r="A91" s="336" t="s">
        <v>890</v>
      </c>
      <c r="B91" s="327" t="s">
        <v>891</v>
      </c>
      <c r="C91" s="327"/>
      <c r="D91" s="337">
        <v>0</v>
      </c>
      <c r="E91" s="260"/>
    </row>
    <row r="92" spans="1:5" ht="31.5">
      <c r="A92" s="336" t="s">
        <v>892</v>
      </c>
      <c r="B92" s="327" t="s">
        <v>893</v>
      </c>
      <c r="C92" s="327"/>
      <c r="D92" s="337">
        <v>0.02</v>
      </c>
      <c r="E92" s="260"/>
    </row>
    <row r="93" spans="1:5" ht="31.5">
      <c r="A93" s="336" t="s">
        <v>894</v>
      </c>
      <c r="B93" s="327" t="s">
        <v>895</v>
      </c>
      <c r="C93" s="327"/>
      <c r="D93" s="337">
        <v>1086.47</v>
      </c>
      <c r="E93" s="260"/>
    </row>
    <row r="94" spans="1:5" ht="31.5">
      <c r="A94" s="336" t="s">
        <v>896</v>
      </c>
      <c r="B94" s="327" t="s">
        <v>897</v>
      </c>
      <c r="C94" s="327"/>
      <c r="D94" s="337">
        <v>70.39</v>
      </c>
      <c r="E94" s="260"/>
    </row>
    <row r="95" spans="1:5" ht="31.5">
      <c r="A95" s="336" t="s">
        <v>898</v>
      </c>
      <c r="B95" s="327" t="s">
        <v>899</v>
      </c>
      <c r="C95" s="327"/>
      <c r="D95" s="337">
        <v>0</v>
      </c>
      <c r="E95" s="260"/>
    </row>
    <row r="96" spans="1:5" ht="12.75">
      <c r="A96" s="336" t="s">
        <v>900</v>
      </c>
      <c r="B96" s="327" t="s">
        <v>901</v>
      </c>
      <c r="C96" s="327"/>
      <c r="D96" s="337">
        <v>-19.74</v>
      </c>
      <c r="E96" s="260"/>
    </row>
    <row r="97" spans="1:5" ht="12.75">
      <c r="A97" s="336" t="s">
        <v>902</v>
      </c>
      <c r="B97" s="327" t="s">
        <v>903</v>
      </c>
      <c r="C97" s="327"/>
      <c r="D97" s="337">
        <v>13.09</v>
      </c>
      <c r="E97" s="260"/>
    </row>
    <row r="98" spans="1:5" ht="12.75">
      <c r="A98" s="336" t="s">
        <v>904</v>
      </c>
      <c r="B98" s="327" t="s">
        <v>905</v>
      </c>
      <c r="C98" s="327"/>
      <c r="D98" s="337">
        <v>0.06</v>
      </c>
      <c r="E98" s="260"/>
    </row>
    <row r="99" spans="1:5" ht="21">
      <c r="A99" s="336" t="s">
        <v>906</v>
      </c>
      <c r="B99" s="327" t="s">
        <v>907</v>
      </c>
      <c r="C99" s="327"/>
      <c r="D99" s="337">
        <v>-0.2</v>
      </c>
      <c r="E99" s="260"/>
    </row>
    <row r="100" spans="1:5" ht="21">
      <c r="A100" s="336" t="s">
        <v>908</v>
      </c>
      <c r="B100" s="327" t="s">
        <v>909</v>
      </c>
      <c r="C100" s="327"/>
      <c r="D100" s="337">
        <v>0.24</v>
      </c>
      <c r="E100" s="260"/>
    </row>
    <row r="101" spans="1:5" ht="21">
      <c r="A101" s="336" t="s">
        <v>910</v>
      </c>
      <c r="B101" s="327" t="s">
        <v>911</v>
      </c>
      <c r="C101" s="327"/>
      <c r="D101" s="337">
        <v>0.43</v>
      </c>
      <c r="E101" s="260"/>
    </row>
    <row r="102" spans="1:5" ht="21">
      <c r="A102" s="336" t="s">
        <v>912</v>
      </c>
      <c r="B102" s="327" t="s">
        <v>913</v>
      </c>
      <c r="C102" s="327"/>
      <c r="D102" s="337">
        <v>10.02</v>
      </c>
      <c r="E102" s="260"/>
    </row>
    <row r="103" spans="1:5" ht="21">
      <c r="A103" s="336" t="s">
        <v>914</v>
      </c>
      <c r="B103" s="327" t="s">
        <v>915</v>
      </c>
      <c r="C103" s="327"/>
      <c r="D103" s="337">
        <v>0</v>
      </c>
      <c r="E103" s="260"/>
    </row>
    <row r="104" spans="1:5" ht="21">
      <c r="A104" s="336" t="s">
        <v>916</v>
      </c>
      <c r="B104" s="327" t="s">
        <v>917</v>
      </c>
      <c r="C104" s="327"/>
      <c r="D104" s="337">
        <v>0</v>
      </c>
      <c r="E104" s="260"/>
    </row>
    <row r="105" spans="1:5" ht="52.5">
      <c r="A105" s="336" t="s">
        <v>918</v>
      </c>
      <c r="B105" s="327" t="s">
        <v>919</v>
      </c>
      <c r="C105" s="327"/>
      <c r="D105" s="337">
        <v>-2.57</v>
      </c>
      <c r="E105" s="260"/>
    </row>
    <row r="106" spans="1:5" ht="52.5">
      <c r="A106" s="336" t="s">
        <v>920</v>
      </c>
      <c r="B106" s="327" t="s">
        <v>921</v>
      </c>
      <c r="C106" s="327"/>
      <c r="D106" s="337">
        <v>0.72</v>
      </c>
      <c r="E106" s="260"/>
    </row>
    <row r="107" spans="1:5" ht="52.5">
      <c r="A107" s="336" t="s">
        <v>922</v>
      </c>
      <c r="B107" s="327" t="s">
        <v>923</v>
      </c>
      <c r="C107" s="327"/>
      <c r="D107" s="337">
        <v>1.3</v>
      </c>
      <c r="E107" s="260"/>
    </row>
    <row r="108" spans="1:5" ht="52.5">
      <c r="A108" s="336" t="s">
        <v>924</v>
      </c>
      <c r="B108" s="327" t="s">
        <v>925</v>
      </c>
      <c r="C108" s="327"/>
      <c r="D108" s="337">
        <v>0</v>
      </c>
      <c r="E108" s="260"/>
    </row>
    <row r="109" spans="1:5" ht="21">
      <c r="A109" s="336" t="s">
        <v>926</v>
      </c>
      <c r="B109" s="327" t="s">
        <v>927</v>
      </c>
      <c r="C109" s="327"/>
      <c r="D109" s="337">
        <v>-0.83</v>
      </c>
      <c r="E109" s="260"/>
    </row>
    <row r="110" spans="1:5" ht="21">
      <c r="A110" s="336" t="s">
        <v>928</v>
      </c>
      <c r="B110" s="327" t="s">
        <v>929</v>
      </c>
      <c r="C110" s="327"/>
      <c r="D110" s="337">
        <v>3.7</v>
      </c>
      <c r="E110" s="260"/>
    </row>
    <row r="111" spans="1:5" s="266" customFormat="1" ht="22.5">
      <c r="A111" s="251" t="s">
        <v>1224</v>
      </c>
      <c r="B111" s="285" t="s">
        <v>1225</v>
      </c>
      <c r="C111" s="253">
        <v>81462.8</v>
      </c>
      <c r="D111" s="254">
        <v>102687.4</v>
      </c>
      <c r="E111" s="255">
        <f>D111/C111</f>
        <v>1.2605434627830125</v>
      </c>
    </row>
    <row r="112" spans="1:5" ht="31.5">
      <c r="A112" s="336" t="s">
        <v>930</v>
      </c>
      <c r="B112" s="327" t="s">
        <v>1227</v>
      </c>
      <c r="C112" s="327"/>
      <c r="D112" s="337">
        <v>2075.26</v>
      </c>
      <c r="E112" s="260"/>
    </row>
    <row r="113" spans="1:5" ht="63">
      <c r="A113" s="336" t="s">
        <v>931</v>
      </c>
      <c r="B113" s="338" t="s">
        <v>41</v>
      </c>
      <c r="C113" s="338"/>
      <c r="D113" s="337">
        <v>73363.26</v>
      </c>
      <c r="E113" s="260"/>
    </row>
    <row r="114" spans="1:5" ht="52.5">
      <c r="A114" s="336" t="s">
        <v>932</v>
      </c>
      <c r="B114" s="327" t="s">
        <v>933</v>
      </c>
      <c r="C114" s="327"/>
      <c r="D114" s="337">
        <v>4603.19</v>
      </c>
      <c r="E114" s="260"/>
    </row>
    <row r="115" spans="1:5" ht="42">
      <c r="A115" s="336" t="s">
        <v>934</v>
      </c>
      <c r="B115" s="327" t="s">
        <v>935</v>
      </c>
      <c r="C115" s="327"/>
      <c r="D115" s="337">
        <v>40.9</v>
      </c>
      <c r="E115" s="260"/>
    </row>
    <row r="116" spans="1:5" ht="31.5">
      <c r="A116" s="336" t="s">
        <v>936</v>
      </c>
      <c r="B116" s="327" t="s">
        <v>1237</v>
      </c>
      <c r="C116" s="327"/>
      <c r="D116" s="337">
        <v>188.32</v>
      </c>
      <c r="E116" s="260"/>
    </row>
    <row r="117" spans="1:5" ht="52.5">
      <c r="A117" s="336" t="s">
        <v>937</v>
      </c>
      <c r="B117" s="327" t="s">
        <v>938</v>
      </c>
      <c r="C117" s="327"/>
      <c r="D117" s="337">
        <v>22416.5</v>
      </c>
      <c r="E117" s="260"/>
    </row>
    <row r="118" spans="1:5" s="29" customFormat="1" ht="21">
      <c r="A118" s="251" t="s">
        <v>1453</v>
      </c>
      <c r="B118" s="339" t="s">
        <v>939</v>
      </c>
      <c r="C118" s="340">
        <v>5600</v>
      </c>
      <c r="D118" s="337">
        <v>5781.2</v>
      </c>
      <c r="E118" s="255">
        <f>D118/C118</f>
        <v>1.0323571428571428</v>
      </c>
    </row>
    <row r="119" spans="1:5" s="352" customFormat="1" ht="12.75">
      <c r="A119" s="245" t="s">
        <v>1454</v>
      </c>
      <c r="B119" s="327" t="s">
        <v>939</v>
      </c>
      <c r="C119" s="327"/>
      <c r="D119" s="337">
        <v>5781.2</v>
      </c>
      <c r="E119" s="260"/>
    </row>
    <row r="120" spans="1:5" s="29" customFormat="1" ht="31.5">
      <c r="A120" s="251" t="s">
        <v>1243</v>
      </c>
      <c r="B120" s="339" t="s">
        <v>1456</v>
      </c>
      <c r="C120" s="341" t="s">
        <v>1446</v>
      </c>
      <c r="D120" s="340">
        <v>1184.41</v>
      </c>
      <c r="E120" s="255" t="s">
        <v>1318</v>
      </c>
    </row>
    <row r="121" spans="1:5" s="29" customFormat="1" ht="31.5">
      <c r="A121" s="245" t="s">
        <v>1455</v>
      </c>
      <c r="B121" s="327" t="s">
        <v>940</v>
      </c>
      <c r="C121" s="341"/>
      <c r="D121" s="337">
        <v>1184.41</v>
      </c>
      <c r="E121" s="260"/>
    </row>
    <row r="122" spans="1:5" s="266" customFormat="1" ht="25.5" customHeight="1">
      <c r="A122" s="251" t="s">
        <v>1250</v>
      </c>
      <c r="B122" s="252" t="s">
        <v>1251</v>
      </c>
      <c r="C122" s="253">
        <v>27350</v>
      </c>
      <c r="D122" s="254">
        <v>41949</v>
      </c>
      <c r="E122" s="255">
        <f>D122/C122</f>
        <v>1.5337842778793418</v>
      </c>
    </row>
    <row r="123" spans="1:5" ht="52.5">
      <c r="A123" s="336" t="s">
        <v>941</v>
      </c>
      <c r="B123" s="327" t="s">
        <v>1254</v>
      </c>
      <c r="C123" s="327"/>
      <c r="D123" s="337">
        <v>22917.48</v>
      </c>
      <c r="E123" s="260"/>
    </row>
    <row r="124" spans="1:5" ht="52.5">
      <c r="A124" s="336" t="s">
        <v>942</v>
      </c>
      <c r="B124" s="327" t="s">
        <v>1254</v>
      </c>
      <c r="C124" s="327"/>
      <c r="D124" s="337">
        <v>165.16</v>
      </c>
      <c r="E124" s="260"/>
    </row>
    <row r="125" spans="1:5" ht="31.5">
      <c r="A125" s="336" t="s">
        <v>943</v>
      </c>
      <c r="B125" s="327" t="s">
        <v>944</v>
      </c>
      <c r="C125" s="327"/>
      <c r="D125" s="337">
        <v>13330.27</v>
      </c>
      <c r="E125" s="260"/>
    </row>
    <row r="126" spans="1:5" ht="42">
      <c r="A126" s="336" t="s">
        <v>945</v>
      </c>
      <c r="B126" s="327" t="s">
        <v>946</v>
      </c>
      <c r="C126" s="327"/>
      <c r="D126" s="337">
        <v>5536.14</v>
      </c>
      <c r="E126" s="260"/>
    </row>
    <row r="127" spans="1:5" s="266" customFormat="1" ht="15.75" customHeight="1">
      <c r="A127" s="251" t="s">
        <v>1260</v>
      </c>
      <c r="B127" s="252" t="s">
        <v>1261</v>
      </c>
      <c r="C127" s="253">
        <v>15024.3</v>
      </c>
      <c r="D127" s="254">
        <v>15170.8</v>
      </c>
      <c r="E127" s="255">
        <f>D127/C127</f>
        <v>1.0097508702568505</v>
      </c>
    </row>
    <row r="128" spans="1:5" ht="52.5">
      <c r="A128" s="336" t="s">
        <v>947</v>
      </c>
      <c r="B128" s="327" t="s">
        <v>948</v>
      </c>
      <c r="C128" s="327"/>
      <c r="D128" s="337">
        <v>132.67</v>
      </c>
      <c r="E128" s="260"/>
    </row>
    <row r="129" spans="1:5" ht="42">
      <c r="A129" s="336" t="s">
        <v>949</v>
      </c>
      <c r="B129" s="327" t="s">
        <v>950</v>
      </c>
      <c r="C129" s="327"/>
      <c r="D129" s="337">
        <v>141.02</v>
      </c>
      <c r="E129" s="260"/>
    </row>
    <row r="130" spans="1:5" ht="42">
      <c r="A130" s="336" t="s">
        <v>951</v>
      </c>
      <c r="B130" s="327" t="s">
        <v>952</v>
      </c>
      <c r="C130" s="327"/>
      <c r="D130" s="337">
        <v>290.23</v>
      </c>
      <c r="E130" s="260"/>
    </row>
    <row r="131" spans="1:5" ht="42">
      <c r="A131" s="336" t="s">
        <v>953</v>
      </c>
      <c r="B131" s="327" t="s">
        <v>1267</v>
      </c>
      <c r="C131" s="327"/>
      <c r="D131" s="337">
        <v>39.5</v>
      </c>
      <c r="E131" s="260"/>
    </row>
    <row r="132" spans="1:5" ht="42">
      <c r="A132" s="336" t="s">
        <v>954</v>
      </c>
      <c r="B132" s="327" t="s">
        <v>1271</v>
      </c>
      <c r="C132" s="327"/>
      <c r="D132" s="337">
        <v>38</v>
      </c>
      <c r="E132" s="260"/>
    </row>
    <row r="133" spans="1:5" ht="42">
      <c r="A133" s="336" t="s">
        <v>955</v>
      </c>
      <c r="B133" s="327" t="s">
        <v>1273</v>
      </c>
      <c r="C133" s="327"/>
      <c r="D133" s="337">
        <v>24.3</v>
      </c>
      <c r="E133" s="260"/>
    </row>
    <row r="134" spans="1:5" ht="21">
      <c r="A134" s="336" t="s">
        <v>956</v>
      </c>
      <c r="B134" s="327" t="s">
        <v>1275</v>
      </c>
      <c r="C134" s="327"/>
      <c r="D134" s="337">
        <v>4</v>
      </c>
      <c r="E134" s="260"/>
    </row>
    <row r="135" spans="1:5" ht="31.5">
      <c r="A135" s="336" t="s">
        <v>957</v>
      </c>
      <c r="B135" s="327" t="s">
        <v>1277</v>
      </c>
      <c r="C135" s="327"/>
      <c r="D135" s="337">
        <v>3</v>
      </c>
      <c r="E135" s="260"/>
    </row>
    <row r="136" spans="1:5" ht="31.5">
      <c r="A136" s="336" t="s">
        <v>958</v>
      </c>
      <c r="B136" s="327" t="s">
        <v>1278</v>
      </c>
      <c r="C136" s="327"/>
      <c r="D136" s="337">
        <v>6.5</v>
      </c>
      <c r="E136" s="260"/>
    </row>
    <row r="137" spans="1:5" ht="21">
      <c r="A137" s="336" t="s">
        <v>959</v>
      </c>
      <c r="B137" s="327" t="s">
        <v>1279</v>
      </c>
      <c r="C137" s="327"/>
      <c r="D137" s="337">
        <v>120</v>
      </c>
      <c r="E137" s="260"/>
    </row>
    <row r="138" spans="1:5" ht="21">
      <c r="A138" s="336" t="s">
        <v>960</v>
      </c>
      <c r="B138" s="327" t="s">
        <v>1281</v>
      </c>
      <c r="C138" s="327"/>
      <c r="D138" s="337">
        <v>28.6</v>
      </c>
      <c r="E138" s="260"/>
    </row>
    <row r="139" spans="1:5" ht="42">
      <c r="A139" s="336" t="s">
        <v>961</v>
      </c>
      <c r="B139" s="327" t="s">
        <v>1115</v>
      </c>
      <c r="C139" s="327"/>
      <c r="D139" s="337">
        <v>452.22</v>
      </c>
      <c r="E139" s="260"/>
    </row>
    <row r="140" spans="1:5" ht="21">
      <c r="A140" s="336" t="s">
        <v>1116</v>
      </c>
      <c r="B140" s="327" t="s">
        <v>1284</v>
      </c>
      <c r="C140" s="327"/>
      <c r="D140" s="337">
        <v>9093.96</v>
      </c>
      <c r="E140" s="260"/>
    </row>
    <row r="141" spans="1:5" ht="31.5">
      <c r="A141" s="336" t="s">
        <v>1117</v>
      </c>
      <c r="B141" s="327" t="s">
        <v>1118</v>
      </c>
      <c r="C141" s="327"/>
      <c r="D141" s="337">
        <v>4796.8</v>
      </c>
      <c r="E141" s="260"/>
    </row>
    <row r="142" spans="1:5" s="266" customFormat="1" ht="12.75">
      <c r="A142" s="298" t="s">
        <v>1457</v>
      </c>
      <c r="B142" s="252" t="s">
        <v>1458</v>
      </c>
      <c r="C142" s="299"/>
      <c r="D142" s="300">
        <v>86.4</v>
      </c>
      <c r="E142" s="260"/>
    </row>
    <row r="143" spans="1:5" ht="21">
      <c r="A143" s="336" t="s">
        <v>1119</v>
      </c>
      <c r="B143" s="327" t="s">
        <v>1289</v>
      </c>
      <c r="C143" s="327"/>
      <c r="D143" s="337">
        <v>-52.64</v>
      </c>
      <c r="E143" s="260"/>
    </row>
    <row r="144" spans="1:5" ht="12.75">
      <c r="A144" s="336" t="s">
        <v>1120</v>
      </c>
      <c r="B144" s="327" t="s">
        <v>1121</v>
      </c>
      <c r="C144" s="327"/>
      <c r="D144" s="337">
        <v>139.04</v>
      </c>
      <c r="E144" s="260"/>
    </row>
    <row r="145" spans="1:5" s="29" customFormat="1" ht="31.5">
      <c r="A145" s="298" t="s">
        <v>1447</v>
      </c>
      <c r="B145" s="339" t="s">
        <v>1442</v>
      </c>
      <c r="C145" s="339"/>
      <c r="D145" s="340">
        <v>-7966.1</v>
      </c>
      <c r="E145" s="260"/>
    </row>
    <row r="146" spans="1:5" ht="31.5">
      <c r="A146" s="336" t="s">
        <v>1122</v>
      </c>
      <c r="B146" s="327" t="s">
        <v>1123</v>
      </c>
      <c r="C146" s="327"/>
      <c r="D146" s="337">
        <v>-7966.08</v>
      </c>
      <c r="E146" s="260"/>
    </row>
    <row r="147" spans="1:5" ht="12.75">
      <c r="A147" s="318" t="s">
        <v>1448</v>
      </c>
      <c r="B147" s="339" t="s">
        <v>1313</v>
      </c>
      <c r="C147" s="340">
        <v>1580751.5</v>
      </c>
      <c r="D147" s="340">
        <v>1563767.7</v>
      </c>
      <c r="E147" s="255">
        <f aca="true" t="shared" si="0" ref="E147:E181">D147/C147</f>
        <v>0.9892558697556194</v>
      </c>
    </row>
    <row r="148" spans="1:5" s="266" customFormat="1" ht="18" customHeight="1">
      <c r="A148" s="318" t="s">
        <v>1314</v>
      </c>
      <c r="B148" s="317" t="s">
        <v>1449</v>
      </c>
      <c r="C148" s="253">
        <v>155184.7</v>
      </c>
      <c r="D148" s="254">
        <v>155184.7</v>
      </c>
      <c r="E148" s="255">
        <f t="shared" si="0"/>
        <v>1</v>
      </c>
    </row>
    <row r="149" spans="1:5" ht="21">
      <c r="A149" s="336" t="s">
        <v>1124</v>
      </c>
      <c r="B149" s="327" t="s">
        <v>1125</v>
      </c>
      <c r="C149" s="337">
        <v>88159</v>
      </c>
      <c r="D149" s="337">
        <v>88159</v>
      </c>
      <c r="E149" s="260">
        <f t="shared" si="0"/>
        <v>1</v>
      </c>
    </row>
    <row r="150" spans="1:5" ht="21">
      <c r="A150" s="336" t="s">
        <v>1126</v>
      </c>
      <c r="B150" s="327" t="s">
        <v>1321</v>
      </c>
      <c r="C150" s="337">
        <v>67025.73</v>
      </c>
      <c r="D150" s="337">
        <v>67025.73</v>
      </c>
      <c r="E150" s="260">
        <f t="shared" si="0"/>
        <v>1</v>
      </c>
    </row>
    <row r="151" spans="1:5" s="266" customFormat="1" ht="22.5">
      <c r="A151" s="308" t="s">
        <v>1322</v>
      </c>
      <c r="B151" s="321" t="s">
        <v>1450</v>
      </c>
      <c r="C151" s="278">
        <v>569454.3</v>
      </c>
      <c r="D151" s="279">
        <v>566623.4</v>
      </c>
      <c r="E151" s="255">
        <f t="shared" si="0"/>
        <v>0.9950287494536436</v>
      </c>
    </row>
    <row r="152" spans="1:5" ht="31.5">
      <c r="A152" s="336" t="s">
        <v>1127</v>
      </c>
      <c r="B152" s="327" t="s">
        <v>1325</v>
      </c>
      <c r="C152" s="337">
        <v>7073.64</v>
      </c>
      <c r="D152" s="337">
        <v>7073.64</v>
      </c>
      <c r="E152" s="260">
        <f t="shared" si="0"/>
        <v>1</v>
      </c>
    </row>
    <row r="153" spans="1:5" ht="21">
      <c r="A153" s="336" t="s">
        <v>1128</v>
      </c>
      <c r="B153" s="327" t="s">
        <v>1327</v>
      </c>
      <c r="C153" s="337">
        <v>4730.76</v>
      </c>
      <c r="D153" s="337">
        <v>4730.76</v>
      </c>
      <c r="E153" s="260">
        <f t="shared" si="0"/>
        <v>1</v>
      </c>
    </row>
    <row r="154" spans="1:5" ht="21">
      <c r="A154" s="336" t="s">
        <v>1129</v>
      </c>
      <c r="B154" s="327" t="s">
        <v>1362</v>
      </c>
      <c r="C154" s="337">
        <v>514</v>
      </c>
      <c r="D154" s="337">
        <v>394</v>
      </c>
      <c r="E154" s="260">
        <f t="shared" si="0"/>
        <v>0.7665369649805448</v>
      </c>
    </row>
    <row r="155" spans="1:5" ht="31.5">
      <c r="A155" s="336" t="s">
        <v>1130</v>
      </c>
      <c r="B155" s="327" t="s">
        <v>1329</v>
      </c>
      <c r="C155" s="337">
        <v>39705.8</v>
      </c>
      <c r="D155" s="337">
        <v>39120.4</v>
      </c>
      <c r="E155" s="260">
        <f t="shared" si="0"/>
        <v>0.9852565620136101</v>
      </c>
    </row>
    <row r="156" spans="1:5" ht="52.5">
      <c r="A156" s="336" t="s">
        <v>1131</v>
      </c>
      <c r="B156" s="327" t="s">
        <v>1132</v>
      </c>
      <c r="C156" s="337">
        <v>299734.57</v>
      </c>
      <c r="D156" s="337">
        <v>299734.57</v>
      </c>
      <c r="E156" s="260">
        <f t="shared" si="0"/>
        <v>1</v>
      </c>
    </row>
    <row r="157" spans="1:5" ht="31.5">
      <c r="A157" s="336" t="s">
        <v>1133</v>
      </c>
      <c r="B157" s="327" t="s">
        <v>1333</v>
      </c>
      <c r="C157" s="337">
        <v>24972.09</v>
      </c>
      <c r="D157" s="337">
        <v>24972.09</v>
      </c>
      <c r="E157" s="260">
        <f t="shared" si="0"/>
        <v>1</v>
      </c>
    </row>
    <row r="158" spans="1:5" ht="21">
      <c r="A158" s="336" t="s">
        <v>1134</v>
      </c>
      <c r="B158" s="327" t="s">
        <v>1335</v>
      </c>
      <c r="C158" s="337">
        <v>15065.82</v>
      </c>
      <c r="D158" s="337">
        <v>15065.82</v>
      </c>
      <c r="E158" s="260">
        <f t="shared" si="0"/>
        <v>1</v>
      </c>
    </row>
    <row r="159" spans="1:5" ht="42">
      <c r="A159" s="336" t="s">
        <v>1135</v>
      </c>
      <c r="B159" s="327" t="s">
        <v>1337</v>
      </c>
      <c r="C159" s="337">
        <v>5888</v>
      </c>
      <c r="D159" s="337">
        <v>5888</v>
      </c>
      <c r="E159" s="260">
        <f t="shared" si="0"/>
        <v>1</v>
      </c>
    </row>
    <row r="160" spans="1:5" ht="12.75">
      <c r="A160" s="336" t="s">
        <v>1136</v>
      </c>
      <c r="B160" s="327" t="s">
        <v>1137</v>
      </c>
      <c r="C160" s="337">
        <v>171769.6</v>
      </c>
      <c r="D160" s="337">
        <v>169644.1</v>
      </c>
      <c r="E160" s="260">
        <f t="shared" si="0"/>
        <v>0.9876258662766869</v>
      </c>
    </row>
    <row r="161" spans="1:5" s="266" customFormat="1" ht="23.25" customHeight="1">
      <c r="A161" s="308" t="s">
        <v>1365</v>
      </c>
      <c r="B161" s="321" t="s">
        <v>1451</v>
      </c>
      <c r="C161" s="278">
        <v>854663.1</v>
      </c>
      <c r="D161" s="279">
        <v>830895.1</v>
      </c>
      <c r="E161" s="255">
        <f>D161/C161</f>
        <v>0.9721902115582152</v>
      </c>
    </row>
    <row r="162" spans="1:5" ht="31.5">
      <c r="A162" s="336" t="s">
        <v>1138</v>
      </c>
      <c r="B162" s="327" t="s">
        <v>1376</v>
      </c>
      <c r="C162" s="337">
        <v>68046.6</v>
      </c>
      <c r="D162" s="337">
        <v>64440.3</v>
      </c>
      <c r="E162" s="260">
        <f t="shared" si="0"/>
        <v>0.9470024953487757</v>
      </c>
    </row>
    <row r="163" spans="1:5" ht="31.5">
      <c r="A163" s="336" t="s">
        <v>1139</v>
      </c>
      <c r="B163" s="327" t="s">
        <v>1368</v>
      </c>
      <c r="C163" s="337">
        <v>4503.9</v>
      </c>
      <c r="D163" s="337">
        <v>4503.9</v>
      </c>
      <c r="E163" s="260">
        <f t="shared" si="0"/>
        <v>1</v>
      </c>
    </row>
    <row r="164" spans="1:5" ht="31.5">
      <c r="A164" s="336" t="s">
        <v>1140</v>
      </c>
      <c r="B164" s="327" t="s">
        <v>1378</v>
      </c>
      <c r="C164" s="337">
        <v>8367.61</v>
      </c>
      <c r="D164" s="337">
        <v>8367.61</v>
      </c>
      <c r="E164" s="260">
        <f t="shared" si="0"/>
        <v>1</v>
      </c>
    </row>
    <row r="165" spans="1:5" ht="31.5">
      <c r="A165" s="336" t="s">
        <v>1141</v>
      </c>
      <c r="B165" s="327" t="s">
        <v>1142</v>
      </c>
      <c r="C165" s="337">
        <v>136739</v>
      </c>
      <c r="D165" s="337">
        <v>136095</v>
      </c>
      <c r="E165" s="260">
        <f t="shared" si="0"/>
        <v>0.9952902975742107</v>
      </c>
    </row>
    <row r="166" spans="1:5" ht="21">
      <c r="A166" s="336" t="s">
        <v>1143</v>
      </c>
      <c r="B166" s="327" t="s">
        <v>1382</v>
      </c>
      <c r="C166" s="337">
        <v>48170.4</v>
      </c>
      <c r="D166" s="337">
        <v>45383.3</v>
      </c>
      <c r="E166" s="260">
        <f t="shared" si="0"/>
        <v>0.9421408167671433</v>
      </c>
    </row>
    <row r="167" spans="1:5" ht="42">
      <c r="A167" s="336" t="s">
        <v>1144</v>
      </c>
      <c r="B167" s="327" t="s">
        <v>1384</v>
      </c>
      <c r="C167" s="337">
        <v>22</v>
      </c>
      <c r="D167" s="337">
        <v>16.75</v>
      </c>
      <c r="E167" s="260">
        <f t="shared" si="0"/>
        <v>0.7613636363636364</v>
      </c>
    </row>
    <row r="168" spans="1:5" ht="31.5">
      <c r="A168" s="336" t="s">
        <v>1145</v>
      </c>
      <c r="B168" s="327" t="s">
        <v>1386</v>
      </c>
      <c r="C168" s="337">
        <v>7044.2</v>
      </c>
      <c r="D168" s="337">
        <v>6253.5</v>
      </c>
      <c r="E168" s="260">
        <f t="shared" si="0"/>
        <v>0.8877516254507254</v>
      </c>
    </row>
    <row r="169" spans="1:5" ht="21">
      <c r="A169" s="336" t="s">
        <v>1146</v>
      </c>
      <c r="B169" s="327" t="s">
        <v>1147</v>
      </c>
      <c r="C169" s="337">
        <v>11663.5</v>
      </c>
      <c r="D169" s="337">
        <v>11663.5</v>
      </c>
      <c r="E169" s="260">
        <f t="shared" si="0"/>
        <v>1</v>
      </c>
    </row>
    <row r="170" spans="1:5" ht="31.5">
      <c r="A170" s="336" t="s">
        <v>1148</v>
      </c>
      <c r="B170" s="327" t="s">
        <v>1388</v>
      </c>
      <c r="C170" s="337">
        <v>55400.4</v>
      </c>
      <c r="D170" s="337">
        <v>53526.4</v>
      </c>
      <c r="E170" s="260">
        <f t="shared" si="0"/>
        <v>0.9661735294330005</v>
      </c>
    </row>
    <row r="171" spans="1:5" ht="31.5">
      <c r="A171" s="336" t="s">
        <v>1149</v>
      </c>
      <c r="B171" s="327" t="s">
        <v>1150</v>
      </c>
      <c r="C171" s="337">
        <v>450945.3</v>
      </c>
      <c r="D171" s="337">
        <v>448196.2</v>
      </c>
      <c r="E171" s="260">
        <f t="shared" si="0"/>
        <v>0.9939036951931864</v>
      </c>
    </row>
    <row r="172" spans="1:5" ht="52.5">
      <c r="A172" s="336" t="s">
        <v>1151</v>
      </c>
      <c r="B172" s="327" t="s">
        <v>1374</v>
      </c>
      <c r="C172" s="337">
        <v>8598.1</v>
      </c>
      <c r="D172" s="337">
        <v>8598.1</v>
      </c>
      <c r="E172" s="260">
        <f t="shared" si="0"/>
        <v>1</v>
      </c>
    </row>
    <row r="173" spans="1:5" ht="31.5">
      <c r="A173" s="336" t="s">
        <v>1152</v>
      </c>
      <c r="B173" s="327" t="s">
        <v>1398</v>
      </c>
      <c r="C173" s="337">
        <v>26557.6</v>
      </c>
      <c r="D173" s="337">
        <v>19987.09</v>
      </c>
      <c r="E173" s="260">
        <f t="shared" si="0"/>
        <v>0.7525939843961804</v>
      </c>
    </row>
    <row r="174" spans="1:5" ht="52.5">
      <c r="A174" s="336" t="s">
        <v>1153</v>
      </c>
      <c r="B174" s="327" t="s">
        <v>1436</v>
      </c>
      <c r="C174" s="337">
        <v>19725.2</v>
      </c>
      <c r="D174" s="337">
        <v>14984.2</v>
      </c>
      <c r="E174" s="260">
        <f t="shared" si="0"/>
        <v>0.7596475574392149</v>
      </c>
    </row>
    <row r="175" spans="1:5" ht="42">
      <c r="A175" s="336" t="s">
        <v>1437</v>
      </c>
      <c r="B175" s="327" t="s">
        <v>1410</v>
      </c>
      <c r="C175" s="337">
        <v>8879.3</v>
      </c>
      <c r="D175" s="337">
        <v>8879.3</v>
      </c>
      <c r="E175" s="260">
        <f t="shared" si="0"/>
        <v>1</v>
      </c>
    </row>
    <row r="176" spans="1:5" s="266" customFormat="1" ht="20.25" customHeight="1">
      <c r="A176" s="308" t="s">
        <v>1411</v>
      </c>
      <c r="B176" s="331" t="s">
        <v>1452</v>
      </c>
      <c r="C176" s="278">
        <v>10564.5</v>
      </c>
      <c r="D176" s="278">
        <v>10564.5</v>
      </c>
      <c r="E176" s="255">
        <f t="shared" si="0"/>
        <v>1</v>
      </c>
    </row>
    <row r="177" spans="1:5" ht="63">
      <c r="A177" s="336" t="s">
        <v>1438</v>
      </c>
      <c r="B177" s="338" t="s">
        <v>42</v>
      </c>
      <c r="C177" s="337">
        <v>10426.6</v>
      </c>
      <c r="D177" s="337">
        <v>10426.6</v>
      </c>
      <c r="E177" s="260">
        <f t="shared" si="0"/>
        <v>1</v>
      </c>
    </row>
    <row r="178" spans="1:5" ht="21">
      <c r="A178" s="336" t="s">
        <v>1439</v>
      </c>
      <c r="B178" s="327" t="s">
        <v>1440</v>
      </c>
      <c r="C178" s="337">
        <v>137.93</v>
      </c>
      <c r="D178" s="337">
        <v>137.93</v>
      </c>
      <c r="E178" s="260">
        <f t="shared" si="0"/>
        <v>1</v>
      </c>
    </row>
    <row r="179" spans="1:5" s="266" customFormat="1" ht="18.75" customHeight="1">
      <c r="A179" s="308" t="s">
        <v>1421</v>
      </c>
      <c r="B179" s="331" t="s">
        <v>1422</v>
      </c>
      <c r="C179" s="278">
        <v>150</v>
      </c>
      <c r="D179" s="279">
        <v>500</v>
      </c>
      <c r="E179" s="255" t="s">
        <v>1423</v>
      </c>
    </row>
    <row r="180" spans="1:5" ht="21">
      <c r="A180" s="336" t="s">
        <v>1441</v>
      </c>
      <c r="B180" s="327" t="s">
        <v>1425</v>
      </c>
      <c r="C180" s="337">
        <v>150</v>
      </c>
      <c r="D180" s="337">
        <v>500</v>
      </c>
      <c r="E180" s="260" t="s">
        <v>1423</v>
      </c>
    </row>
    <row r="181" spans="1:5" s="348" customFormat="1" ht="22.5" customHeight="1">
      <c r="A181" s="393" t="s">
        <v>1428</v>
      </c>
      <c r="B181" s="394"/>
      <c r="C181" s="254">
        <f>C10+C147</f>
        <v>2490135.5</v>
      </c>
      <c r="D181" s="254">
        <f>D10+D147</f>
        <v>2463061.1</v>
      </c>
      <c r="E181" s="255">
        <f t="shared" si="0"/>
        <v>0.9891273386528565</v>
      </c>
    </row>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s="353" customFormat="1" ht="12.75" customHeight="1"/>
    <row r="215" s="353" customFormat="1" ht="12.75" customHeight="1"/>
    <row r="216" s="353" customFormat="1" ht="12.75" customHeight="1"/>
    <row r="217" s="353" customFormat="1"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sheetData>
  <mergeCells count="7">
    <mergeCell ref="D8:D9"/>
    <mergeCell ref="E8:E9"/>
    <mergeCell ref="A181:B181"/>
    <mergeCell ref="A5:C5"/>
    <mergeCell ref="A8:A9"/>
    <mergeCell ref="B8:B9"/>
    <mergeCell ref="C8:C9"/>
  </mergeCells>
  <printOptions/>
  <pageMargins left="1.1811023622047245" right="0.1968503937007874" top="0.1968503937007874" bottom="0.1968503937007874" header="0.5118110236220472" footer="0.5118110236220472"/>
  <pageSetup fitToHeight="17" fitToWidth="1"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764"/>
  <sheetViews>
    <sheetView workbookViewId="0" topLeftCell="A1">
      <selection activeCell="I10" sqref="I10"/>
    </sheetView>
  </sheetViews>
  <sheetFormatPr defaultColWidth="9.00390625" defaultRowHeight="12.75"/>
  <cols>
    <col min="1" max="1" width="60.625" style="0" customWidth="1"/>
    <col min="2" max="2" width="6.125" style="1" customWidth="1"/>
    <col min="3" max="3" width="7.75390625" style="0" customWidth="1"/>
    <col min="4" max="4" width="6.875" style="0" customWidth="1"/>
    <col min="5" max="5" width="12.25390625" style="0" customWidth="1"/>
    <col min="6" max="6" width="8.125" style="0" customWidth="1"/>
    <col min="7" max="7" width="14.375" style="3" customWidth="1"/>
    <col min="8" max="8" width="13.875" style="0" customWidth="1"/>
    <col min="9" max="9" width="13.125" style="0" customWidth="1"/>
  </cols>
  <sheetData>
    <row r="1" ht="12" customHeight="1">
      <c r="F1" s="2" t="s">
        <v>145</v>
      </c>
    </row>
    <row r="2" ht="12.75">
      <c r="F2" s="4" t="s">
        <v>146</v>
      </c>
    </row>
    <row r="3" ht="12.75">
      <c r="F3" s="4" t="s">
        <v>147</v>
      </c>
    </row>
    <row r="4" ht="12.75">
      <c r="F4" s="4" t="s">
        <v>148</v>
      </c>
    </row>
    <row r="5" spans="6:8" ht="12.75" customHeight="1">
      <c r="F5" s="381" t="s">
        <v>16</v>
      </c>
      <c r="G5" s="397"/>
      <c r="H5" s="397"/>
    </row>
    <row r="6" spans="6:8" ht="12.75" customHeight="1">
      <c r="F6" s="381"/>
      <c r="G6" s="397"/>
      <c r="H6" s="6"/>
    </row>
    <row r="7" spans="6:8" ht="12.75" customHeight="1">
      <c r="F7" s="7"/>
      <c r="G7" s="6"/>
      <c r="H7" s="6"/>
    </row>
    <row r="8" spans="6:8" ht="12.75" customHeight="1">
      <c r="F8" s="5"/>
      <c r="G8" s="6"/>
      <c r="H8" s="6"/>
    </row>
    <row r="9" spans="2:6" ht="12.75">
      <c r="B9" s="8" t="s">
        <v>149</v>
      </c>
      <c r="F9" s="4"/>
    </row>
    <row r="10" spans="2:6" ht="12.75">
      <c r="B10" s="8" t="s">
        <v>150</v>
      </c>
      <c r="F10" s="9"/>
    </row>
    <row r="11" spans="2:6" ht="12.75">
      <c r="B11" s="8" t="s">
        <v>151</v>
      </c>
      <c r="F11" s="9"/>
    </row>
    <row r="12" ht="12.75">
      <c r="B12" s="10" t="s">
        <v>152</v>
      </c>
    </row>
    <row r="13" spans="2:7" ht="15.75" customHeight="1" thickBot="1">
      <c r="B13" s="11"/>
      <c r="G13" s="12"/>
    </row>
    <row r="14" spans="1:9" ht="15" thickBot="1">
      <c r="A14" s="13" t="s">
        <v>153</v>
      </c>
      <c r="B14" s="14" t="s">
        <v>154</v>
      </c>
      <c r="C14" s="15"/>
      <c r="D14" s="16"/>
      <c r="E14" s="16"/>
      <c r="F14" s="16"/>
      <c r="G14" s="17" t="s">
        <v>155</v>
      </c>
      <c r="H14" s="17" t="s">
        <v>156</v>
      </c>
      <c r="I14" s="17" t="s">
        <v>157</v>
      </c>
    </row>
    <row r="15" spans="1:9" ht="25.5" customHeight="1" thickBot="1">
      <c r="A15" s="18"/>
      <c r="B15" s="19" t="s">
        <v>158</v>
      </c>
      <c r="C15" s="20" t="s">
        <v>159</v>
      </c>
      <c r="D15" s="20" t="s">
        <v>160</v>
      </c>
      <c r="E15" s="20" t="s">
        <v>161</v>
      </c>
      <c r="F15" s="21" t="s">
        <v>162</v>
      </c>
      <c r="G15" s="22" t="s">
        <v>163</v>
      </c>
      <c r="H15" s="22" t="s">
        <v>164</v>
      </c>
      <c r="I15" s="23" t="s">
        <v>165</v>
      </c>
    </row>
    <row r="16" spans="1:9" s="29" customFormat="1" ht="15.75">
      <c r="A16" s="24" t="s">
        <v>166</v>
      </c>
      <c r="B16" s="25"/>
      <c r="C16" s="26" t="s">
        <v>167</v>
      </c>
      <c r="D16" s="26"/>
      <c r="E16" s="26"/>
      <c r="F16" s="27"/>
      <c r="G16" s="28">
        <f>SUM(G17+G21+G54+G65+G68+G84+G88+G80+G76)</f>
        <v>132784.20000000004</v>
      </c>
      <c r="H16" s="28">
        <f>SUM(H17+H21+H54+H65+H68+H84+H88+H80+H76)</f>
        <v>128319.30000000003</v>
      </c>
      <c r="I16" s="28">
        <f>SUM(H16/G16*100)</f>
        <v>96.63747644674592</v>
      </c>
    </row>
    <row r="17" spans="1:9" ht="28.5">
      <c r="A17" s="30" t="s">
        <v>168</v>
      </c>
      <c r="B17" s="31"/>
      <c r="C17" s="32" t="s">
        <v>167</v>
      </c>
      <c r="D17" s="32" t="s">
        <v>169</v>
      </c>
      <c r="E17" s="32"/>
      <c r="F17" s="33"/>
      <c r="G17" s="34">
        <f>SUM(G18)</f>
        <v>1038.4</v>
      </c>
      <c r="H17" s="34">
        <f>SUM(H18)</f>
        <v>1038.4</v>
      </c>
      <c r="I17" s="34">
        <f>SUM(H17/G17*100)</f>
        <v>100</v>
      </c>
    </row>
    <row r="18" spans="1:9" ht="41.25" customHeight="1">
      <c r="A18" s="35" t="s">
        <v>170</v>
      </c>
      <c r="B18" s="31"/>
      <c r="C18" s="32" t="s">
        <v>167</v>
      </c>
      <c r="D18" s="32" t="s">
        <v>169</v>
      </c>
      <c r="E18" s="32" t="s">
        <v>171</v>
      </c>
      <c r="F18" s="33"/>
      <c r="G18" s="34">
        <f>SUM(G20:G20)</f>
        <v>1038.4</v>
      </c>
      <c r="H18" s="34">
        <f>SUM(H20:H20)</f>
        <v>1038.4</v>
      </c>
      <c r="I18" s="34">
        <f aca="true" t="shared" si="0" ref="I18:I81">SUM(H18/G18*100)</f>
        <v>100</v>
      </c>
    </row>
    <row r="19" spans="1:9" ht="16.5" customHeight="1">
      <c r="A19" s="35" t="s">
        <v>172</v>
      </c>
      <c r="B19" s="31"/>
      <c r="C19" s="32" t="s">
        <v>167</v>
      </c>
      <c r="D19" s="32" t="s">
        <v>169</v>
      </c>
      <c r="E19" s="32" t="s">
        <v>173</v>
      </c>
      <c r="F19" s="33"/>
      <c r="G19" s="34">
        <f>SUM(G20)</f>
        <v>1038.4</v>
      </c>
      <c r="H19" s="34">
        <f>SUM(H20)</f>
        <v>1038.4</v>
      </c>
      <c r="I19" s="34">
        <f t="shared" si="0"/>
        <v>100</v>
      </c>
    </row>
    <row r="20" spans="1:9" ht="19.5" customHeight="1">
      <c r="A20" s="35" t="s">
        <v>174</v>
      </c>
      <c r="B20" s="31"/>
      <c r="C20" s="32" t="s">
        <v>167</v>
      </c>
      <c r="D20" s="32" t="s">
        <v>169</v>
      </c>
      <c r="E20" s="32" t="s">
        <v>173</v>
      </c>
      <c r="F20" s="33" t="s">
        <v>175</v>
      </c>
      <c r="G20" s="34">
        <v>1038.4</v>
      </c>
      <c r="H20" s="34">
        <v>1038.4</v>
      </c>
      <c r="I20" s="34">
        <f t="shared" si="0"/>
        <v>100</v>
      </c>
    </row>
    <row r="21" spans="1:9" ht="44.25" customHeight="1">
      <c r="A21" s="35" t="s">
        <v>176</v>
      </c>
      <c r="B21" s="31"/>
      <c r="C21" s="32" t="s">
        <v>167</v>
      </c>
      <c r="D21" s="32" t="s">
        <v>177</v>
      </c>
      <c r="E21" s="32"/>
      <c r="F21" s="33"/>
      <c r="G21" s="34">
        <f>SUM(G22)</f>
        <v>12623.9</v>
      </c>
      <c r="H21" s="34">
        <f>SUM(H22)</f>
        <v>12422.7</v>
      </c>
      <c r="I21" s="34">
        <f t="shared" si="0"/>
        <v>98.4061977677263</v>
      </c>
    </row>
    <row r="22" spans="1:9" ht="42.75" customHeight="1">
      <c r="A22" s="35" t="s">
        <v>170</v>
      </c>
      <c r="B22" s="31"/>
      <c r="C22" s="32" t="s">
        <v>167</v>
      </c>
      <c r="D22" s="32" t="s">
        <v>177</v>
      </c>
      <c r="E22" s="32" t="s">
        <v>171</v>
      </c>
      <c r="F22" s="36"/>
      <c r="G22" s="34">
        <f>SUM(G23+G25)</f>
        <v>12623.9</v>
      </c>
      <c r="H22" s="34">
        <f>SUM(H23+H25)</f>
        <v>12422.7</v>
      </c>
      <c r="I22" s="34">
        <f t="shared" si="0"/>
        <v>98.4061977677263</v>
      </c>
    </row>
    <row r="23" spans="1:9" ht="15">
      <c r="A23" s="35" t="s">
        <v>178</v>
      </c>
      <c r="B23" s="31"/>
      <c r="C23" s="32" t="s">
        <v>179</v>
      </c>
      <c r="D23" s="32" t="s">
        <v>177</v>
      </c>
      <c r="E23" s="32" t="s">
        <v>180</v>
      </c>
      <c r="F23" s="36"/>
      <c r="G23" s="34">
        <f>SUM(G24)</f>
        <v>11738.6</v>
      </c>
      <c r="H23" s="34">
        <f>SUM(H24)</f>
        <v>11542.7</v>
      </c>
      <c r="I23" s="34">
        <f t="shared" si="0"/>
        <v>98.331146814782</v>
      </c>
    </row>
    <row r="24" spans="1:9" ht="19.5" customHeight="1">
      <c r="A24" s="35" t="s">
        <v>174</v>
      </c>
      <c r="B24" s="31"/>
      <c r="C24" s="32" t="s">
        <v>167</v>
      </c>
      <c r="D24" s="32" t="s">
        <v>177</v>
      </c>
      <c r="E24" s="32" t="s">
        <v>180</v>
      </c>
      <c r="F24" s="33" t="s">
        <v>175</v>
      </c>
      <c r="G24" s="34">
        <v>11738.6</v>
      </c>
      <c r="H24" s="34">
        <v>11542.7</v>
      </c>
      <c r="I24" s="34">
        <f t="shared" si="0"/>
        <v>98.331146814782</v>
      </c>
    </row>
    <row r="25" spans="1:9" ht="28.5" customHeight="1">
      <c r="A25" s="35" t="s">
        <v>181</v>
      </c>
      <c r="B25" s="31"/>
      <c r="C25" s="32" t="s">
        <v>179</v>
      </c>
      <c r="D25" s="32" t="s">
        <v>177</v>
      </c>
      <c r="E25" s="32" t="s">
        <v>182</v>
      </c>
      <c r="F25" s="33"/>
      <c r="G25" s="34">
        <f>SUM(G26)</f>
        <v>885.3</v>
      </c>
      <c r="H25" s="34">
        <f>SUM(H26)</f>
        <v>880</v>
      </c>
      <c r="I25" s="34">
        <f t="shared" si="0"/>
        <v>99.40133288150909</v>
      </c>
    </row>
    <row r="26" spans="1:9" ht="21.75" customHeight="1">
      <c r="A26" s="35" t="s">
        <v>174</v>
      </c>
      <c r="B26" s="31"/>
      <c r="C26" s="32" t="s">
        <v>179</v>
      </c>
      <c r="D26" s="32" t="s">
        <v>177</v>
      </c>
      <c r="E26" s="32" t="s">
        <v>182</v>
      </c>
      <c r="F26" s="33" t="s">
        <v>175</v>
      </c>
      <c r="G26" s="34">
        <v>885.3</v>
      </c>
      <c r="H26" s="34">
        <v>880</v>
      </c>
      <c r="I26" s="34">
        <f t="shared" si="0"/>
        <v>99.40133288150909</v>
      </c>
    </row>
    <row r="27" spans="1:9" ht="15" hidden="1">
      <c r="A27" s="35" t="s">
        <v>183</v>
      </c>
      <c r="B27" s="31"/>
      <c r="C27" s="32" t="s">
        <v>167</v>
      </c>
      <c r="D27" s="32" t="s">
        <v>184</v>
      </c>
      <c r="E27" s="32"/>
      <c r="F27" s="36"/>
      <c r="G27" s="34">
        <f>SUM(G28)</f>
        <v>0</v>
      </c>
      <c r="H27" s="34">
        <f>SUM(H28)</f>
        <v>0</v>
      </c>
      <c r="I27" s="34" t="e">
        <f t="shared" si="0"/>
        <v>#DIV/0!</v>
      </c>
    </row>
    <row r="28" spans="1:9" ht="28.5" hidden="1">
      <c r="A28" s="35" t="s">
        <v>185</v>
      </c>
      <c r="B28" s="31"/>
      <c r="C28" s="32" t="s">
        <v>167</v>
      </c>
      <c r="D28" s="32" t="s">
        <v>184</v>
      </c>
      <c r="E28" s="32" t="s">
        <v>186</v>
      </c>
      <c r="F28" s="37"/>
      <c r="G28" s="34">
        <f>SUM(G29)</f>
        <v>0</v>
      </c>
      <c r="H28" s="34">
        <f>SUM(H29)</f>
        <v>0</v>
      </c>
      <c r="I28" s="34" t="e">
        <f t="shared" si="0"/>
        <v>#DIV/0!</v>
      </c>
    </row>
    <row r="29" spans="1:9" ht="15" hidden="1">
      <c r="A29" s="35" t="s">
        <v>187</v>
      </c>
      <c r="B29" s="31"/>
      <c r="C29" s="32" t="s">
        <v>167</v>
      </c>
      <c r="D29" s="32" t="s">
        <v>184</v>
      </c>
      <c r="E29" s="32" t="s">
        <v>186</v>
      </c>
      <c r="F29" s="37" t="s">
        <v>188</v>
      </c>
      <c r="G29" s="34"/>
      <c r="H29" s="34"/>
      <c r="I29" s="34" t="e">
        <f t="shared" si="0"/>
        <v>#DIV/0!</v>
      </c>
    </row>
    <row r="30" spans="1:9" s="40" customFormat="1" ht="15" hidden="1">
      <c r="A30" s="38" t="s">
        <v>189</v>
      </c>
      <c r="B30" s="39"/>
      <c r="C30" s="32" t="s">
        <v>190</v>
      </c>
      <c r="D30" s="32"/>
      <c r="E30" s="32"/>
      <c r="F30" s="33"/>
      <c r="G30" s="34">
        <f aca="true" t="shared" si="1" ref="G30:H32">SUM(G31)</f>
        <v>0</v>
      </c>
      <c r="H30" s="34">
        <f t="shared" si="1"/>
        <v>0</v>
      </c>
      <c r="I30" s="34" t="e">
        <f t="shared" si="0"/>
        <v>#DIV/0!</v>
      </c>
    </row>
    <row r="31" spans="1:9" s="40" customFormat="1" ht="15" hidden="1">
      <c r="A31" s="35" t="s">
        <v>191</v>
      </c>
      <c r="B31" s="39"/>
      <c r="C31" s="32" t="s">
        <v>190</v>
      </c>
      <c r="D31" s="32" t="s">
        <v>190</v>
      </c>
      <c r="E31" s="32"/>
      <c r="F31" s="33"/>
      <c r="G31" s="34">
        <f t="shared" si="1"/>
        <v>0</v>
      </c>
      <c r="H31" s="34">
        <f t="shared" si="1"/>
        <v>0</v>
      </c>
      <c r="I31" s="34" t="e">
        <f t="shared" si="0"/>
        <v>#DIV/0!</v>
      </c>
    </row>
    <row r="32" spans="1:9" s="40" customFormat="1" ht="28.5" hidden="1">
      <c r="A32" s="35" t="s">
        <v>192</v>
      </c>
      <c r="B32" s="39"/>
      <c r="C32" s="32" t="s">
        <v>190</v>
      </c>
      <c r="D32" s="32" t="s">
        <v>190</v>
      </c>
      <c r="E32" s="32" t="s">
        <v>193</v>
      </c>
      <c r="F32" s="33"/>
      <c r="G32" s="34">
        <f t="shared" si="1"/>
        <v>0</v>
      </c>
      <c r="H32" s="34">
        <f t="shared" si="1"/>
        <v>0</v>
      </c>
      <c r="I32" s="34" t="e">
        <f t="shared" si="0"/>
        <v>#DIV/0!</v>
      </c>
    </row>
    <row r="33" spans="1:9" s="40" customFormat="1" ht="15" hidden="1">
      <c r="A33" s="35" t="s">
        <v>194</v>
      </c>
      <c r="B33" s="39"/>
      <c r="C33" s="32" t="s">
        <v>190</v>
      </c>
      <c r="D33" s="32" t="s">
        <v>190</v>
      </c>
      <c r="E33" s="32" t="s">
        <v>193</v>
      </c>
      <c r="F33" s="33" t="s">
        <v>195</v>
      </c>
      <c r="G33" s="34"/>
      <c r="H33" s="34"/>
      <c r="I33" s="34" t="e">
        <f t="shared" si="0"/>
        <v>#DIV/0!</v>
      </c>
    </row>
    <row r="34" spans="1:9" s="40" customFormat="1" ht="15" hidden="1">
      <c r="A34" s="41" t="s">
        <v>189</v>
      </c>
      <c r="B34" s="42"/>
      <c r="C34" s="43" t="s">
        <v>190</v>
      </c>
      <c r="D34" s="32"/>
      <c r="E34" s="32"/>
      <c r="F34" s="33"/>
      <c r="G34" s="34">
        <f aca="true" t="shared" si="2" ref="G34:H36">SUM(G35)</f>
        <v>0</v>
      </c>
      <c r="H34" s="34">
        <f t="shared" si="2"/>
        <v>0</v>
      </c>
      <c r="I34" s="34" t="e">
        <f t="shared" si="0"/>
        <v>#DIV/0!</v>
      </c>
    </row>
    <row r="35" spans="1:9" s="40" customFormat="1" ht="15" hidden="1">
      <c r="A35" s="35" t="s">
        <v>191</v>
      </c>
      <c r="B35" s="39"/>
      <c r="C35" s="32" t="s">
        <v>190</v>
      </c>
      <c r="D35" s="32" t="s">
        <v>190</v>
      </c>
      <c r="E35" s="32"/>
      <c r="F35" s="33"/>
      <c r="G35" s="34">
        <f t="shared" si="2"/>
        <v>0</v>
      </c>
      <c r="H35" s="34">
        <f t="shared" si="2"/>
        <v>0</v>
      </c>
      <c r="I35" s="34" t="e">
        <f t="shared" si="0"/>
        <v>#DIV/0!</v>
      </c>
    </row>
    <row r="36" spans="1:9" s="40" customFormat="1" ht="28.5" hidden="1">
      <c r="A36" s="35" t="s">
        <v>192</v>
      </c>
      <c r="B36" s="39"/>
      <c r="C36" s="32" t="s">
        <v>190</v>
      </c>
      <c r="D36" s="32" t="s">
        <v>190</v>
      </c>
      <c r="E36" s="32" t="s">
        <v>193</v>
      </c>
      <c r="F36" s="33"/>
      <c r="G36" s="34">
        <f t="shared" si="2"/>
        <v>0</v>
      </c>
      <c r="H36" s="34">
        <f t="shared" si="2"/>
        <v>0</v>
      </c>
      <c r="I36" s="34" t="e">
        <f t="shared" si="0"/>
        <v>#DIV/0!</v>
      </c>
    </row>
    <row r="37" spans="1:9" s="40" customFormat="1" ht="15" hidden="1">
      <c r="A37" s="35" t="s">
        <v>194</v>
      </c>
      <c r="B37" s="39"/>
      <c r="C37" s="32" t="s">
        <v>190</v>
      </c>
      <c r="D37" s="32" t="s">
        <v>190</v>
      </c>
      <c r="E37" s="32" t="s">
        <v>193</v>
      </c>
      <c r="F37" s="33" t="s">
        <v>195</v>
      </c>
      <c r="G37" s="34"/>
      <c r="H37" s="34"/>
      <c r="I37" s="34" t="e">
        <f t="shared" si="0"/>
        <v>#DIV/0!</v>
      </c>
    </row>
    <row r="38" spans="1:9" s="44" customFormat="1" ht="15" hidden="1">
      <c r="A38" s="35"/>
      <c r="B38" s="39"/>
      <c r="C38" s="32"/>
      <c r="D38" s="32"/>
      <c r="E38" s="32"/>
      <c r="F38" s="33"/>
      <c r="G38" s="34"/>
      <c r="H38" s="34"/>
      <c r="I38" s="34" t="e">
        <f t="shared" si="0"/>
        <v>#DIV/0!</v>
      </c>
    </row>
    <row r="39" spans="1:9" ht="42.75" hidden="1">
      <c r="A39" s="35" t="s">
        <v>196</v>
      </c>
      <c r="B39" s="31"/>
      <c r="C39" s="32" t="s">
        <v>167</v>
      </c>
      <c r="D39" s="32" t="s">
        <v>184</v>
      </c>
      <c r="E39" s="32" t="s">
        <v>197</v>
      </c>
      <c r="F39" s="33"/>
      <c r="G39" s="34">
        <f>SUM(G40)</f>
        <v>0</v>
      </c>
      <c r="H39" s="34">
        <f>SUM(H40)</f>
        <v>0</v>
      </c>
      <c r="I39" s="34" t="e">
        <f t="shared" si="0"/>
        <v>#DIV/0!</v>
      </c>
    </row>
    <row r="40" spans="1:9" ht="42.75" hidden="1">
      <c r="A40" s="35" t="s">
        <v>198</v>
      </c>
      <c r="B40" s="31"/>
      <c r="C40" s="32" t="s">
        <v>167</v>
      </c>
      <c r="D40" s="32" t="s">
        <v>184</v>
      </c>
      <c r="E40" s="32" t="s">
        <v>197</v>
      </c>
      <c r="F40" s="33" t="s">
        <v>199</v>
      </c>
      <c r="G40" s="34"/>
      <c r="H40" s="34"/>
      <c r="I40" s="34" t="e">
        <f t="shared" si="0"/>
        <v>#DIV/0!</v>
      </c>
    </row>
    <row r="41" spans="1:9" ht="14.25" customHeight="1" hidden="1">
      <c r="A41" s="45" t="s">
        <v>200</v>
      </c>
      <c r="B41" s="31"/>
      <c r="C41" s="32" t="s">
        <v>201</v>
      </c>
      <c r="D41" s="32"/>
      <c r="E41" s="32"/>
      <c r="F41" s="36"/>
      <c r="G41" s="34">
        <f>SUM(G45+G42)</f>
        <v>0</v>
      </c>
      <c r="H41" s="34">
        <f>SUM(H45+H42)</f>
        <v>0</v>
      </c>
      <c r="I41" s="34" t="e">
        <f t="shared" si="0"/>
        <v>#DIV/0!</v>
      </c>
    </row>
    <row r="42" spans="1:9" ht="15" hidden="1">
      <c r="A42" s="45" t="s">
        <v>202</v>
      </c>
      <c r="B42" s="31"/>
      <c r="C42" s="32" t="s">
        <v>201</v>
      </c>
      <c r="D42" s="32" t="s">
        <v>203</v>
      </c>
      <c r="E42" s="32"/>
      <c r="F42" s="36"/>
      <c r="G42" s="34">
        <f>SUM(G43)</f>
        <v>0</v>
      </c>
      <c r="H42" s="34">
        <f>SUM(H43)</f>
        <v>0</v>
      </c>
      <c r="I42" s="34" t="e">
        <f t="shared" si="0"/>
        <v>#DIV/0!</v>
      </c>
    </row>
    <row r="43" spans="1:9" ht="15" hidden="1">
      <c r="A43" s="30" t="s">
        <v>204</v>
      </c>
      <c r="B43" s="31"/>
      <c r="C43" s="32" t="s">
        <v>201</v>
      </c>
      <c r="D43" s="32" t="s">
        <v>203</v>
      </c>
      <c r="E43" s="32" t="s">
        <v>205</v>
      </c>
      <c r="F43" s="33"/>
      <c r="G43" s="34">
        <f>SUM(G44)</f>
        <v>0</v>
      </c>
      <c r="H43" s="34">
        <f>SUM(H44)</f>
        <v>0</v>
      </c>
      <c r="I43" s="34" t="e">
        <f t="shared" si="0"/>
        <v>#DIV/0!</v>
      </c>
    </row>
    <row r="44" spans="1:9" ht="15" hidden="1">
      <c r="A44" s="30" t="s">
        <v>206</v>
      </c>
      <c r="B44" s="31"/>
      <c r="C44" s="32" t="s">
        <v>201</v>
      </c>
      <c r="D44" s="32" t="s">
        <v>203</v>
      </c>
      <c r="E44" s="32" t="s">
        <v>205</v>
      </c>
      <c r="F44" s="33" t="s">
        <v>207</v>
      </c>
      <c r="G44" s="34"/>
      <c r="H44" s="34"/>
      <c r="I44" s="34" t="e">
        <f t="shared" si="0"/>
        <v>#DIV/0!</v>
      </c>
    </row>
    <row r="45" spans="1:9" ht="14.25" customHeight="1" hidden="1">
      <c r="A45" s="46" t="s">
        <v>208</v>
      </c>
      <c r="B45" s="47"/>
      <c r="C45" s="48" t="s">
        <v>201</v>
      </c>
      <c r="D45" s="48" t="s">
        <v>209</v>
      </c>
      <c r="E45" s="48"/>
      <c r="F45" s="36"/>
      <c r="G45" s="34">
        <f>SUM(G46+G48)</f>
        <v>0</v>
      </c>
      <c r="H45" s="34">
        <f>SUM(H46+H48)</f>
        <v>0</v>
      </c>
      <c r="I45" s="34" t="e">
        <f t="shared" si="0"/>
        <v>#DIV/0!</v>
      </c>
    </row>
    <row r="46" spans="1:9" ht="28.5" hidden="1">
      <c r="A46" s="45" t="s">
        <v>210</v>
      </c>
      <c r="B46" s="31"/>
      <c r="C46" s="32" t="s">
        <v>201</v>
      </c>
      <c r="D46" s="32" t="s">
        <v>209</v>
      </c>
      <c r="E46" s="32" t="s">
        <v>211</v>
      </c>
      <c r="F46" s="36"/>
      <c r="G46" s="34">
        <f>SUM(G47)</f>
        <v>0</v>
      </c>
      <c r="H46" s="34">
        <f>SUM(H47)</f>
        <v>0</v>
      </c>
      <c r="I46" s="34" t="e">
        <f t="shared" si="0"/>
        <v>#DIV/0!</v>
      </c>
    </row>
    <row r="47" spans="1:9" ht="15" hidden="1">
      <c r="A47" s="45" t="s">
        <v>212</v>
      </c>
      <c r="B47" s="31"/>
      <c r="C47" s="32" t="s">
        <v>201</v>
      </c>
      <c r="D47" s="32" t="s">
        <v>209</v>
      </c>
      <c r="E47" s="32" t="s">
        <v>211</v>
      </c>
      <c r="F47" s="36" t="s">
        <v>213</v>
      </c>
      <c r="G47" s="34"/>
      <c r="H47" s="34"/>
      <c r="I47" s="34" t="e">
        <f t="shared" si="0"/>
        <v>#DIV/0!</v>
      </c>
    </row>
    <row r="48" spans="1:9" ht="15" hidden="1">
      <c r="A48" s="46" t="s">
        <v>214</v>
      </c>
      <c r="B48" s="47"/>
      <c r="C48" s="48" t="s">
        <v>201</v>
      </c>
      <c r="D48" s="48" t="s">
        <v>209</v>
      </c>
      <c r="E48" s="48" t="s">
        <v>215</v>
      </c>
      <c r="F48" s="36"/>
      <c r="G48" s="34">
        <f>SUM(G49)</f>
        <v>0</v>
      </c>
      <c r="H48" s="34">
        <f>SUM(H49)</f>
        <v>0</v>
      </c>
      <c r="I48" s="34" t="e">
        <f t="shared" si="0"/>
        <v>#DIV/0!</v>
      </c>
    </row>
    <row r="49" spans="1:9" ht="15" hidden="1">
      <c r="A49" s="46" t="s">
        <v>216</v>
      </c>
      <c r="B49" s="47"/>
      <c r="C49" s="48" t="s">
        <v>201</v>
      </c>
      <c r="D49" s="48" t="s">
        <v>209</v>
      </c>
      <c r="E49" s="48" t="s">
        <v>215</v>
      </c>
      <c r="F49" s="36" t="s">
        <v>217</v>
      </c>
      <c r="G49" s="34"/>
      <c r="H49" s="34"/>
      <c r="I49" s="34" t="e">
        <f t="shared" si="0"/>
        <v>#DIV/0!</v>
      </c>
    </row>
    <row r="50" spans="1:9" ht="15" hidden="1">
      <c r="A50" s="41" t="s">
        <v>189</v>
      </c>
      <c r="B50" s="42"/>
      <c r="C50" s="43" t="s">
        <v>190</v>
      </c>
      <c r="D50" s="32"/>
      <c r="E50" s="32"/>
      <c r="F50" s="33"/>
      <c r="G50" s="34">
        <f aca="true" t="shared" si="3" ref="G50:H52">SUM(G51)</f>
        <v>0</v>
      </c>
      <c r="H50" s="34">
        <f t="shared" si="3"/>
        <v>0</v>
      </c>
      <c r="I50" s="34" t="e">
        <f t="shared" si="0"/>
        <v>#DIV/0!</v>
      </c>
    </row>
    <row r="51" spans="1:9" ht="15" hidden="1">
      <c r="A51" s="35" t="s">
        <v>191</v>
      </c>
      <c r="B51" s="39"/>
      <c r="C51" s="32" t="s">
        <v>190</v>
      </c>
      <c r="D51" s="32" t="s">
        <v>190</v>
      </c>
      <c r="E51" s="32"/>
      <c r="F51" s="33"/>
      <c r="G51" s="34">
        <f t="shared" si="3"/>
        <v>0</v>
      </c>
      <c r="H51" s="34">
        <f t="shared" si="3"/>
        <v>0</v>
      </c>
      <c r="I51" s="34" t="e">
        <f t="shared" si="0"/>
        <v>#DIV/0!</v>
      </c>
    </row>
    <row r="52" spans="1:9" ht="28.5" hidden="1">
      <c r="A52" s="35" t="s">
        <v>192</v>
      </c>
      <c r="B52" s="39"/>
      <c r="C52" s="32" t="s">
        <v>190</v>
      </c>
      <c r="D52" s="32" t="s">
        <v>190</v>
      </c>
      <c r="E52" s="32" t="s">
        <v>193</v>
      </c>
      <c r="F52" s="33"/>
      <c r="G52" s="34">
        <f t="shared" si="3"/>
        <v>0</v>
      </c>
      <c r="H52" s="34">
        <f t="shared" si="3"/>
        <v>0</v>
      </c>
      <c r="I52" s="34" t="e">
        <f t="shared" si="0"/>
        <v>#DIV/0!</v>
      </c>
    </row>
    <row r="53" spans="1:9" ht="14.25" customHeight="1" hidden="1">
      <c r="A53" s="35" t="s">
        <v>194</v>
      </c>
      <c r="B53" s="39"/>
      <c r="C53" s="32" t="s">
        <v>190</v>
      </c>
      <c r="D53" s="32" t="s">
        <v>190</v>
      </c>
      <c r="E53" s="32" t="s">
        <v>193</v>
      </c>
      <c r="F53" s="33" t="s">
        <v>195</v>
      </c>
      <c r="G53" s="34"/>
      <c r="H53" s="34"/>
      <c r="I53" s="34" t="e">
        <f t="shared" si="0"/>
        <v>#DIV/0!</v>
      </c>
    </row>
    <row r="54" spans="1:9" ht="44.25" customHeight="1">
      <c r="A54" s="35" t="s">
        <v>218</v>
      </c>
      <c r="B54" s="31"/>
      <c r="C54" s="32" t="s">
        <v>167</v>
      </c>
      <c r="D54" s="32" t="s">
        <v>201</v>
      </c>
      <c r="E54" s="32"/>
      <c r="F54" s="33"/>
      <c r="G54" s="34">
        <f>SUM(G55)</f>
        <v>77866.80000000002</v>
      </c>
      <c r="H54" s="34">
        <f>SUM(H55)</f>
        <v>77067.80000000002</v>
      </c>
      <c r="I54" s="34">
        <f t="shared" si="0"/>
        <v>98.97388874334119</v>
      </c>
    </row>
    <row r="55" spans="1:9" ht="45.75" customHeight="1">
      <c r="A55" s="35" t="s">
        <v>170</v>
      </c>
      <c r="B55" s="31"/>
      <c r="C55" s="32" t="s">
        <v>167</v>
      </c>
      <c r="D55" s="32" t="s">
        <v>201</v>
      </c>
      <c r="E55" s="32" t="s">
        <v>171</v>
      </c>
      <c r="F55" s="36"/>
      <c r="G55" s="34">
        <f>SUM(G56+G62)</f>
        <v>77866.80000000002</v>
      </c>
      <c r="H55" s="34">
        <f>SUM(H56+H62)</f>
        <v>77067.80000000002</v>
      </c>
      <c r="I55" s="34">
        <f t="shared" si="0"/>
        <v>98.97388874334119</v>
      </c>
    </row>
    <row r="56" spans="1:9" ht="15">
      <c r="A56" s="35" t="s">
        <v>178</v>
      </c>
      <c r="B56" s="31"/>
      <c r="C56" s="32" t="s">
        <v>167</v>
      </c>
      <c r="D56" s="32" t="s">
        <v>201</v>
      </c>
      <c r="E56" s="32" t="s">
        <v>180</v>
      </c>
      <c r="F56" s="36"/>
      <c r="G56" s="34">
        <f>SUM(G57:G57+G58+G60+G61)+G59</f>
        <v>76971.00000000001</v>
      </c>
      <c r="H56" s="34">
        <f>SUM(H57:H57+H58+H60+H61)+H59</f>
        <v>76172.20000000001</v>
      </c>
      <c r="I56" s="34">
        <f t="shared" si="0"/>
        <v>98.96220654532226</v>
      </c>
    </row>
    <row r="57" spans="1:9" ht="15">
      <c r="A57" s="35" t="s">
        <v>174</v>
      </c>
      <c r="B57" s="31"/>
      <c r="C57" s="32" t="s">
        <v>167</v>
      </c>
      <c r="D57" s="32" t="s">
        <v>201</v>
      </c>
      <c r="E57" s="32" t="s">
        <v>180</v>
      </c>
      <c r="F57" s="33" t="s">
        <v>175</v>
      </c>
      <c r="G57" s="34">
        <v>74705</v>
      </c>
      <c r="H57" s="34">
        <v>74007.4</v>
      </c>
      <c r="I57" s="34">
        <f t="shared" si="0"/>
        <v>99.06619369520112</v>
      </c>
    </row>
    <row r="58" spans="1:9" ht="42.75">
      <c r="A58" s="35" t="s">
        <v>219</v>
      </c>
      <c r="B58" s="31"/>
      <c r="C58" s="32" t="s">
        <v>167</v>
      </c>
      <c r="D58" s="32" t="s">
        <v>201</v>
      </c>
      <c r="E58" s="32" t="s">
        <v>220</v>
      </c>
      <c r="F58" s="33" t="s">
        <v>175</v>
      </c>
      <c r="G58" s="34">
        <v>734.1</v>
      </c>
      <c r="H58" s="34">
        <v>734.1</v>
      </c>
      <c r="I58" s="34">
        <f t="shared" si="0"/>
        <v>100</v>
      </c>
    </row>
    <row r="59" spans="1:9" ht="57">
      <c r="A59" s="35" t="s">
        <v>221</v>
      </c>
      <c r="B59" s="31"/>
      <c r="C59" s="32" t="s">
        <v>167</v>
      </c>
      <c r="D59" s="32" t="s">
        <v>201</v>
      </c>
      <c r="E59" s="32" t="s">
        <v>222</v>
      </c>
      <c r="F59" s="33" t="s">
        <v>175</v>
      </c>
      <c r="G59" s="34">
        <v>1487.3</v>
      </c>
      <c r="H59" s="34">
        <v>1386.1</v>
      </c>
      <c r="I59" s="34">
        <f t="shared" si="0"/>
        <v>93.19572379479594</v>
      </c>
    </row>
    <row r="60" spans="1:9" ht="56.25" customHeight="1">
      <c r="A60" s="35" t="s">
        <v>223</v>
      </c>
      <c r="B60" s="31"/>
      <c r="C60" s="32" t="s">
        <v>167</v>
      </c>
      <c r="D60" s="32" t="s">
        <v>201</v>
      </c>
      <c r="E60" s="32" t="s">
        <v>224</v>
      </c>
      <c r="F60" s="33" t="s">
        <v>175</v>
      </c>
      <c r="G60" s="34">
        <v>44.6</v>
      </c>
      <c r="H60" s="34">
        <v>44.6</v>
      </c>
      <c r="I60" s="34">
        <f t="shared" si="0"/>
        <v>100</v>
      </c>
    </row>
    <row r="61" spans="1:9" ht="42.75" hidden="1">
      <c r="A61" s="35" t="s">
        <v>225</v>
      </c>
      <c r="B61" s="31"/>
      <c r="C61" s="32" t="s">
        <v>167</v>
      </c>
      <c r="D61" s="32" t="s">
        <v>201</v>
      </c>
      <c r="E61" s="32" t="s">
        <v>226</v>
      </c>
      <c r="F61" s="33" t="s">
        <v>175</v>
      </c>
      <c r="G61" s="34">
        <v>0</v>
      </c>
      <c r="H61" s="34">
        <v>0</v>
      </c>
      <c r="I61" s="34" t="e">
        <f t="shared" si="0"/>
        <v>#DIV/0!</v>
      </c>
    </row>
    <row r="62" spans="1:9" ht="28.5">
      <c r="A62" s="35" t="s">
        <v>227</v>
      </c>
      <c r="B62" s="31"/>
      <c r="C62" s="32" t="s">
        <v>179</v>
      </c>
      <c r="D62" s="32" t="s">
        <v>201</v>
      </c>
      <c r="E62" s="32" t="s">
        <v>228</v>
      </c>
      <c r="F62" s="36"/>
      <c r="G62" s="34">
        <f>SUM(G63)</f>
        <v>895.8</v>
      </c>
      <c r="H62" s="34">
        <f>SUM(H63)</f>
        <v>895.6</v>
      </c>
      <c r="I62" s="34">
        <f t="shared" si="0"/>
        <v>99.97767358785444</v>
      </c>
    </row>
    <row r="63" spans="1:9" ht="16.5" customHeight="1">
      <c r="A63" s="35" t="s">
        <v>174</v>
      </c>
      <c r="B63" s="31"/>
      <c r="C63" s="32" t="s">
        <v>167</v>
      </c>
      <c r="D63" s="32" t="s">
        <v>201</v>
      </c>
      <c r="E63" s="32" t="s">
        <v>228</v>
      </c>
      <c r="F63" s="33" t="s">
        <v>175</v>
      </c>
      <c r="G63" s="34">
        <v>895.8</v>
      </c>
      <c r="H63" s="34">
        <v>895.6</v>
      </c>
      <c r="I63" s="34">
        <f t="shared" si="0"/>
        <v>99.97767358785444</v>
      </c>
    </row>
    <row r="64" spans="1:9" ht="0.75" customHeight="1" hidden="1">
      <c r="A64" s="30" t="s">
        <v>229</v>
      </c>
      <c r="B64" s="31"/>
      <c r="C64" s="32" t="s">
        <v>179</v>
      </c>
      <c r="D64" s="32" t="s">
        <v>201</v>
      </c>
      <c r="E64" s="32" t="s">
        <v>230</v>
      </c>
      <c r="F64" s="33" t="s">
        <v>231</v>
      </c>
      <c r="G64" s="34"/>
      <c r="H64" s="34"/>
      <c r="I64" s="34" t="e">
        <f t="shared" si="0"/>
        <v>#DIV/0!</v>
      </c>
    </row>
    <row r="65" spans="1:9" ht="0.75" customHeight="1" hidden="1">
      <c r="A65" s="35" t="s">
        <v>232</v>
      </c>
      <c r="B65" s="31"/>
      <c r="C65" s="32" t="s">
        <v>167</v>
      </c>
      <c r="D65" s="32" t="s">
        <v>233</v>
      </c>
      <c r="E65" s="32"/>
      <c r="F65" s="36"/>
      <c r="G65" s="34">
        <f>SUM(G66)</f>
        <v>0</v>
      </c>
      <c r="H65" s="34">
        <f>SUM(H66)</f>
        <v>0</v>
      </c>
      <c r="I65" s="34" t="e">
        <f t="shared" si="0"/>
        <v>#DIV/0!</v>
      </c>
    </row>
    <row r="66" spans="1:9" ht="42.75" customHeight="1" hidden="1">
      <c r="A66" s="49" t="s">
        <v>234</v>
      </c>
      <c r="B66" s="31"/>
      <c r="C66" s="32" t="s">
        <v>167</v>
      </c>
      <c r="D66" s="32" t="s">
        <v>233</v>
      </c>
      <c r="E66" s="32" t="s">
        <v>235</v>
      </c>
      <c r="F66" s="36"/>
      <c r="G66" s="34">
        <f>SUM(G67)</f>
        <v>0</v>
      </c>
      <c r="H66" s="34">
        <f>SUM(H67)</f>
        <v>0</v>
      </c>
      <c r="I66" s="34" t="e">
        <f t="shared" si="0"/>
        <v>#DIV/0!</v>
      </c>
    </row>
    <row r="67" spans="1:9" ht="18.75" customHeight="1" hidden="1">
      <c r="A67" s="35" t="s">
        <v>174</v>
      </c>
      <c r="B67" s="31"/>
      <c r="C67" s="32" t="s">
        <v>167</v>
      </c>
      <c r="D67" s="32" t="s">
        <v>233</v>
      </c>
      <c r="E67" s="32" t="s">
        <v>235</v>
      </c>
      <c r="F67" s="33" t="s">
        <v>175</v>
      </c>
      <c r="G67" s="34">
        <f>SUM('[1]Ведомств.'!F83)</f>
        <v>0</v>
      </c>
      <c r="H67" s="34">
        <f>SUM('[1]Ведомств.'!G83)</f>
        <v>0</v>
      </c>
      <c r="I67" s="34" t="e">
        <f t="shared" si="0"/>
        <v>#DIV/0!</v>
      </c>
    </row>
    <row r="68" spans="1:9" s="40" customFormat="1" ht="42.75">
      <c r="A68" s="30" t="s">
        <v>236</v>
      </c>
      <c r="B68" s="31"/>
      <c r="C68" s="32" t="s">
        <v>167</v>
      </c>
      <c r="D68" s="32" t="s">
        <v>237</v>
      </c>
      <c r="E68" s="32"/>
      <c r="F68" s="33"/>
      <c r="G68" s="34">
        <f>SUM(G69)</f>
        <v>17851.5</v>
      </c>
      <c r="H68" s="34">
        <f>SUM(H69)</f>
        <v>17438</v>
      </c>
      <c r="I68" s="34">
        <f t="shared" si="0"/>
        <v>97.68366803910035</v>
      </c>
    </row>
    <row r="69" spans="1:9" s="40" customFormat="1" ht="46.5" customHeight="1">
      <c r="A69" s="30" t="s">
        <v>170</v>
      </c>
      <c r="B69" s="31"/>
      <c r="C69" s="32" t="s">
        <v>167</v>
      </c>
      <c r="D69" s="32" t="s">
        <v>237</v>
      </c>
      <c r="E69" s="32" t="s">
        <v>171</v>
      </c>
      <c r="F69" s="33"/>
      <c r="G69" s="34">
        <f>SUM(G70+G74)</f>
        <v>17851.5</v>
      </c>
      <c r="H69" s="34">
        <f>SUM(H70+H74)</f>
        <v>17438</v>
      </c>
      <c r="I69" s="34">
        <f t="shared" si="0"/>
        <v>97.68366803910035</v>
      </c>
    </row>
    <row r="70" spans="1:9" s="40" customFormat="1" ht="15" customHeight="1">
      <c r="A70" s="30" t="s">
        <v>178</v>
      </c>
      <c r="B70" s="31"/>
      <c r="C70" s="32" t="s">
        <v>167</v>
      </c>
      <c r="D70" s="32" t="s">
        <v>237</v>
      </c>
      <c r="E70" s="32" t="s">
        <v>180</v>
      </c>
      <c r="F70" s="33"/>
      <c r="G70" s="34">
        <f>SUM(G71+G72)</f>
        <v>17147.5</v>
      </c>
      <c r="H70" s="34">
        <f>SUM(H71+H72)</f>
        <v>16737.4</v>
      </c>
      <c r="I70" s="34">
        <f t="shared" si="0"/>
        <v>97.60839772561599</v>
      </c>
    </row>
    <row r="71" spans="1:9" s="40" customFormat="1" ht="14.25" customHeight="1">
      <c r="A71" s="35" t="s">
        <v>174</v>
      </c>
      <c r="B71" s="31"/>
      <c r="C71" s="32" t="s">
        <v>179</v>
      </c>
      <c r="D71" s="32" t="s">
        <v>237</v>
      </c>
      <c r="E71" s="32" t="s">
        <v>180</v>
      </c>
      <c r="F71" s="37" t="s">
        <v>175</v>
      </c>
      <c r="G71" s="34">
        <v>3768.1</v>
      </c>
      <c r="H71" s="34">
        <v>3600</v>
      </c>
      <c r="I71" s="34">
        <f t="shared" si="0"/>
        <v>95.53886574135507</v>
      </c>
    </row>
    <row r="72" spans="1:9" ht="28.5">
      <c r="A72" s="35" t="s">
        <v>238</v>
      </c>
      <c r="B72" s="31"/>
      <c r="C72" s="32" t="s">
        <v>179</v>
      </c>
      <c r="D72" s="32" t="s">
        <v>237</v>
      </c>
      <c r="E72" s="32" t="s">
        <v>239</v>
      </c>
      <c r="F72" s="33"/>
      <c r="G72" s="34">
        <f>SUM(G73)</f>
        <v>13379.4</v>
      </c>
      <c r="H72" s="34">
        <f>SUM(H73)</f>
        <v>13137.4</v>
      </c>
      <c r="I72" s="34">
        <f t="shared" si="0"/>
        <v>98.19124923389688</v>
      </c>
    </row>
    <row r="73" spans="1:9" s="50" customFormat="1" ht="15">
      <c r="A73" s="35" t="s">
        <v>174</v>
      </c>
      <c r="B73" s="31"/>
      <c r="C73" s="32" t="s">
        <v>179</v>
      </c>
      <c r="D73" s="32" t="s">
        <v>237</v>
      </c>
      <c r="E73" s="32" t="s">
        <v>239</v>
      </c>
      <c r="F73" s="37" t="s">
        <v>175</v>
      </c>
      <c r="G73" s="34">
        <v>13379.4</v>
      </c>
      <c r="H73" s="34">
        <v>13137.4</v>
      </c>
      <c r="I73" s="34">
        <f t="shared" si="0"/>
        <v>98.19124923389688</v>
      </c>
    </row>
    <row r="74" spans="1:9" ht="28.5">
      <c r="A74" s="30" t="s">
        <v>240</v>
      </c>
      <c r="B74" s="31"/>
      <c r="C74" s="32" t="s">
        <v>179</v>
      </c>
      <c r="D74" s="32" t="s">
        <v>237</v>
      </c>
      <c r="E74" s="32" t="s">
        <v>241</v>
      </c>
      <c r="F74" s="37"/>
      <c r="G74" s="34">
        <f>SUM(G75)</f>
        <v>704</v>
      </c>
      <c r="H74" s="34">
        <f>SUM(H75)</f>
        <v>700.6</v>
      </c>
      <c r="I74" s="34">
        <f t="shared" si="0"/>
        <v>99.51704545454547</v>
      </c>
    </row>
    <row r="75" spans="1:9" ht="14.25" customHeight="1">
      <c r="A75" s="35" t="s">
        <v>174</v>
      </c>
      <c r="B75" s="31"/>
      <c r="C75" s="32" t="s">
        <v>179</v>
      </c>
      <c r="D75" s="32" t="s">
        <v>237</v>
      </c>
      <c r="E75" s="32" t="s">
        <v>241</v>
      </c>
      <c r="F75" s="33" t="s">
        <v>175</v>
      </c>
      <c r="G75" s="34">
        <v>704</v>
      </c>
      <c r="H75" s="34">
        <v>700.6</v>
      </c>
      <c r="I75" s="34">
        <f t="shared" si="0"/>
        <v>99.51704545454547</v>
      </c>
    </row>
    <row r="76" spans="1:9" ht="14.25" customHeight="1" hidden="1">
      <c r="A76" s="51" t="s">
        <v>242</v>
      </c>
      <c r="B76" s="47"/>
      <c r="C76" s="48" t="s">
        <v>167</v>
      </c>
      <c r="D76" s="48" t="s">
        <v>190</v>
      </c>
      <c r="E76" s="48"/>
      <c r="F76" s="36"/>
      <c r="G76" s="34">
        <f>SUM(G77)</f>
        <v>0</v>
      </c>
      <c r="H76" s="34">
        <f>SUM(H77)</f>
        <v>0</v>
      </c>
      <c r="I76" s="34" t="e">
        <f t="shared" si="0"/>
        <v>#DIV/0!</v>
      </c>
    </row>
    <row r="77" spans="1:9" ht="14.25" customHeight="1" hidden="1">
      <c r="A77" s="51" t="s">
        <v>242</v>
      </c>
      <c r="B77" s="47"/>
      <c r="C77" s="48" t="s">
        <v>167</v>
      </c>
      <c r="D77" s="48" t="s">
        <v>190</v>
      </c>
      <c r="E77" s="48" t="s">
        <v>243</v>
      </c>
      <c r="F77" s="36"/>
      <c r="G77" s="34">
        <f>SUM(G78:G78)</f>
        <v>0</v>
      </c>
      <c r="H77" s="34">
        <f>SUM(H78:H78)</f>
        <v>0</v>
      </c>
      <c r="I77" s="34" t="e">
        <f t="shared" si="0"/>
        <v>#DIV/0!</v>
      </c>
    </row>
    <row r="78" spans="1:9" ht="14.25" customHeight="1" hidden="1">
      <c r="A78" s="30" t="s">
        <v>244</v>
      </c>
      <c r="B78" s="47"/>
      <c r="C78" s="48" t="s">
        <v>167</v>
      </c>
      <c r="D78" s="48" t="s">
        <v>190</v>
      </c>
      <c r="E78" s="48" t="s">
        <v>245</v>
      </c>
      <c r="F78" s="36"/>
      <c r="G78" s="34">
        <f>SUM(G79:G79)</f>
        <v>0</v>
      </c>
      <c r="H78" s="34">
        <f>SUM(H79:H79)</f>
        <v>0</v>
      </c>
      <c r="I78" s="34" t="e">
        <f t="shared" si="0"/>
        <v>#DIV/0!</v>
      </c>
    </row>
    <row r="79" spans="1:9" ht="14.25" customHeight="1" hidden="1">
      <c r="A79" s="35" t="s">
        <v>174</v>
      </c>
      <c r="B79" s="47"/>
      <c r="C79" s="48" t="s">
        <v>167</v>
      </c>
      <c r="D79" s="48" t="s">
        <v>190</v>
      </c>
      <c r="E79" s="48" t="s">
        <v>245</v>
      </c>
      <c r="F79" s="36" t="s">
        <v>175</v>
      </c>
      <c r="G79" s="34"/>
      <c r="H79" s="34"/>
      <c r="I79" s="34" t="e">
        <f t="shared" si="0"/>
        <v>#DIV/0!</v>
      </c>
    </row>
    <row r="80" spans="1:9" ht="15">
      <c r="A80" s="35" t="s">
        <v>246</v>
      </c>
      <c r="B80" s="31"/>
      <c r="C80" s="32" t="s">
        <v>167</v>
      </c>
      <c r="D80" s="32" t="s">
        <v>209</v>
      </c>
      <c r="E80" s="32"/>
      <c r="F80" s="37"/>
      <c r="G80" s="34">
        <f>SUM(G81)</f>
        <v>1623.2</v>
      </c>
      <c r="H80" s="34">
        <f>SUM(H81)</f>
        <v>899.6</v>
      </c>
      <c r="I80" s="34">
        <f t="shared" si="0"/>
        <v>55.42138984721537</v>
      </c>
    </row>
    <row r="81" spans="1:9" ht="15">
      <c r="A81" s="35" t="s">
        <v>247</v>
      </c>
      <c r="B81" s="31"/>
      <c r="C81" s="32" t="s">
        <v>167</v>
      </c>
      <c r="D81" s="32" t="s">
        <v>209</v>
      </c>
      <c r="E81" s="32" t="s">
        <v>248</v>
      </c>
      <c r="F81" s="37"/>
      <c r="G81" s="34">
        <f>SUM(G83)</f>
        <v>1623.2</v>
      </c>
      <c r="H81" s="34">
        <f>SUM(H83)</f>
        <v>899.6</v>
      </c>
      <c r="I81" s="34">
        <f t="shared" si="0"/>
        <v>55.42138984721537</v>
      </c>
    </row>
    <row r="82" spans="1:9" ht="15">
      <c r="A82" s="35" t="s">
        <v>249</v>
      </c>
      <c r="B82" s="31"/>
      <c r="C82" s="32" t="s">
        <v>167</v>
      </c>
      <c r="D82" s="32" t="s">
        <v>209</v>
      </c>
      <c r="E82" s="32" t="s">
        <v>250</v>
      </c>
      <c r="F82" s="37"/>
      <c r="G82" s="34">
        <f>SUM(G83)</f>
        <v>1623.2</v>
      </c>
      <c r="H82" s="34">
        <f>SUM(H83)</f>
        <v>899.6</v>
      </c>
      <c r="I82" s="34">
        <f aca="true" t="shared" si="4" ref="I82:I145">SUM(H82/G82*100)</f>
        <v>55.42138984721537</v>
      </c>
    </row>
    <row r="83" spans="1:9" ht="15">
      <c r="A83" s="35" t="s">
        <v>251</v>
      </c>
      <c r="B83" s="31"/>
      <c r="C83" s="32" t="s">
        <v>167</v>
      </c>
      <c r="D83" s="32" t="s">
        <v>209</v>
      </c>
      <c r="E83" s="32" t="s">
        <v>250</v>
      </c>
      <c r="F83" s="37" t="s">
        <v>252</v>
      </c>
      <c r="G83" s="34">
        <v>1623.2</v>
      </c>
      <c r="H83" s="34">
        <v>899.6</v>
      </c>
      <c r="I83" s="34">
        <f t="shared" si="4"/>
        <v>55.42138984721537</v>
      </c>
    </row>
    <row r="84" spans="1:9" s="40" customFormat="1" ht="15">
      <c r="A84" s="30" t="s">
        <v>253</v>
      </c>
      <c r="B84" s="31"/>
      <c r="C84" s="32" t="s">
        <v>167</v>
      </c>
      <c r="D84" s="32" t="s">
        <v>254</v>
      </c>
      <c r="E84" s="32"/>
      <c r="F84" s="33"/>
      <c r="G84" s="34">
        <f>SUM(G85)</f>
        <v>1962.3</v>
      </c>
      <c r="H84" s="34">
        <f>SUM(H85)</f>
        <v>0</v>
      </c>
      <c r="I84" s="34">
        <f t="shared" si="4"/>
        <v>0</v>
      </c>
    </row>
    <row r="85" spans="1:9" s="40" customFormat="1" ht="15">
      <c r="A85" s="30" t="s">
        <v>253</v>
      </c>
      <c r="B85" s="31"/>
      <c r="C85" s="32" t="s">
        <v>167</v>
      </c>
      <c r="D85" s="32" t="s">
        <v>254</v>
      </c>
      <c r="E85" s="32" t="s">
        <v>230</v>
      </c>
      <c r="F85" s="33"/>
      <c r="G85" s="34">
        <f>SUM(G87)</f>
        <v>1962.3</v>
      </c>
      <c r="H85" s="34">
        <f>SUM(H87)</f>
        <v>0</v>
      </c>
      <c r="I85" s="34">
        <f t="shared" si="4"/>
        <v>0</v>
      </c>
    </row>
    <row r="86" spans="1:9" s="40" customFormat="1" ht="15">
      <c r="A86" s="30" t="s">
        <v>255</v>
      </c>
      <c r="B86" s="31"/>
      <c r="C86" s="32" t="s">
        <v>167</v>
      </c>
      <c r="D86" s="32" t="s">
        <v>254</v>
      </c>
      <c r="E86" s="32" t="s">
        <v>256</v>
      </c>
      <c r="F86" s="33"/>
      <c r="G86" s="34">
        <f>SUM(G87)</f>
        <v>1962.3</v>
      </c>
      <c r="H86" s="34">
        <f>SUM(H87)</f>
        <v>0</v>
      </c>
      <c r="I86" s="34">
        <f t="shared" si="4"/>
        <v>0</v>
      </c>
    </row>
    <row r="87" spans="1:9" s="40" customFormat="1" ht="15.75" customHeight="1">
      <c r="A87" s="46" t="s">
        <v>257</v>
      </c>
      <c r="B87" s="47"/>
      <c r="C87" s="32" t="s">
        <v>167</v>
      </c>
      <c r="D87" s="32" t="s">
        <v>254</v>
      </c>
      <c r="E87" s="32" t="s">
        <v>256</v>
      </c>
      <c r="F87" s="36" t="s">
        <v>252</v>
      </c>
      <c r="G87" s="34">
        <f>1374.3+588</f>
        <v>1962.3</v>
      </c>
      <c r="H87" s="34"/>
      <c r="I87" s="34">
        <f t="shared" si="4"/>
        <v>0</v>
      </c>
    </row>
    <row r="88" spans="1:9" ht="14.25" customHeight="1">
      <c r="A88" s="35" t="s">
        <v>183</v>
      </c>
      <c r="B88" s="31"/>
      <c r="C88" s="32" t="s">
        <v>167</v>
      </c>
      <c r="D88" s="32" t="s">
        <v>258</v>
      </c>
      <c r="E88" s="32"/>
      <c r="F88" s="36"/>
      <c r="G88" s="34">
        <f>SUM(G89+G100+G103+G106+G109+G112+G92+G97)</f>
        <v>19818.1</v>
      </c>
      <c r="H88" s="34">
        <f>SUM(H89+H100+H103+H106+H109+H112+H92+H97)</f>
        <v>19452.8</v>
      </c>
      <c r="I88" s="34">
        <f t="shared" si="4"/>
        <v>98.15673550945853</v>
      </c>
    </row>
    <row r="89" spans="1:9" ht="21" customHeight="1">
      <c r="A89" s="30" t="s">
        <v>259</v>
      </c>
      <c r="B89" s="31"/>
      <c r="C89" s="32" t="s">
        <v>167</v>
      </c>
      <c r="D89" s="32" t="s">
        <v>258</v>
      </c>
      <c r="E89" s="32" t="s">
        <v>260</v>
      </c>
      <c r="F89" s="33"/>
      <c r="G89" s="34">
        <f>SUM(G90)</f>
        <v>5096.2</v>
      </c>
      <c r="H89" s="34">
        <f>SUM(H90)</f>
        <v>5096.2</v>
      </c>
      <c r="I89" s="34">
        <f t="shared" si="4"/>
        <v>100</v>
      </c>
    </row>
    <row r="90" spans="1:9" ht="27.75" customHeight="1">
      <c r="A90" s="30" t="s">
        <v>261</v>
      </c>
      <c r="B90" s="31"/>
      <c r="C90" s="32" t="s">
        <v>167</v>
      </c>
      <c r="D90" s="32" t="s">
        <v>258</v>
      </c>
      <c r="E90" s="32" t="s">
        <v>262</v>
      </c>
      <c r="F90" s="33"/>
      <c r="G90" s="34">
        <f>SUM(G91)</f>
        <v>5096.2</v>
      </c>
      <c r="H90" s="34">
        <f>SUM(H91)</f>
        <v>5096.2</v>
      </c>
      <c r="I90" s="34">
        <f t="shared" si="4"/>
        <v>100</v>
      </c>
    </row>
    <row r="91" spans="1:9" ht="19.5" customHeight="1">
      <c r="A91" s="35" t="s">
        <v>174</v>
      </c>
      <c r="B91" s="31"/>
      <c r="C91" s="32" t="s">
        <v>167</v>
      </c>
      <c r="D91" s="32" t="s">
        <v>258</v>
      </c>
      <c r="E91" s="32" t="s">
        <v>262</v>
      </c>
      <c r="F91" s="33" t="s">
        <v>175</v>
      </c>
      <c r="G91" s="34">
        <v>5096.2</v>
      </c>
      <c r="H91" s="34">
        <v>5096.2</v>
      </c>
      <c r="I91" s="34">
        <f t="shared" si="4"/>
        <v>100</v>
      </c>
    </row>
    <row r="92" spans="1:9" ht="45" customHeight="1">
      <c r="A92" s="30" t="s">
        <v>170</v>
      </c>
      <c r="B92" s="31"/>
      <c r="C92" s="32" t="s">
        <v>167</v>
      </c>
      <c r="D92" s="32" t="s">
        <v>258</v>
      </c>
      <c r="E92" s="32" t="s">
        <v>171</v>
      </c>
      <c r="F92" s="33"/>
      <c r="G92" s="34">
        <f>SUM(G95+G94)</f>
        <v>2365.8</v>
      </c>
      <c r="H92" s="34">
        <f>SUM(H95+H94)</f>
        <v>2192.1</v>
      </c>
      <c r="I92" s="34">
        <f t="shared" si="4"/>
        <v>92.65787471468424</v>
      </c>
    </row>
    <row r="93" spans="1:9" ht="18.75" customHeight="1" hidden="1">
      <c r="A93" s="30" t="s">
        <v>178</v>
      </c>
      <c r="B93" s="31"/>
      <c r="C93" s="32" t="s">
        <v>167</v>
      </c>
      <c r="D93" s="32" t="s">
        <v>258</v>
      </c>
      <c r="E93" s="32" t="s">
        <v>180</v>
      </c>
      <c r="F93" s="33"/>
      <c r="G93" s="34">
        <f>SUM(G94)</f>
        <v>0</v>
      </c>
      <c r="H93" s="34">
        <f>SUM(H94)</f>
        <v>0</v>
      </c>
      <c r="I93" s="34" t="e">
        <f t="shared" si="4"/>
        <v>#DIV/0!</v>
      </c>
    </row>
    <row r="94" spans="1:9" ht="22.5" customHeight="1" hidden="1">
      <c r="A94" s="35" t="s">
        <v>174</v>
      </c>
      <c r="B94" s="31"/>
      <c r="C94" s="32" t="s">
        <v>167</v>
      </c>
      <c r="D94" s="32" t="s">
        <v>258</v>
      </c>
      <c r="E94" s="32" t="s">
        <v>180</v>
      </c>
      <c r="F94" s="37" t="s">
        <v>175</v>
      </c>
      <c r="G94" s="34"/>
      <c r="H94" s="34"/>
      <c r="I94" s="34" t="e">
        <f t="shared" si="4"/>
        <v>#DIV/0!</v>
      </c>
    </row>
    <row r="95" spans="1:9" ht="18" customHeight="1">
      <c r="A95" s="35" t="s">
        <v>263</v>
      </c>
      <c r="B95" s="31"/>
      <c r="C95" s="32" t="s">
        <v>167</v>
      </c>
      <c r="D95" s="32" t="s">
        <v>258</v>
      </c>
      <c r="E95" s="32" t="s">
        <v>264</v>
      </c>
      <c r="F95" s="36"/>
      <c r="G95" s="34">
        <f>SUM(G96)</f>
        <v>2365.8</v>
      </c>
      <c r="H95" s="34">
        <f>SUM(H96)</f>
        <v>2192.1</v>
      </c>
      <c r="I95" s="34">
        <f t="shared" si="4"/>
        <v>92.65787471468424</v>
      </c>
    </row>
    <row r="96" spans="1:9" ht="17.25" customHeight="1">
      <c r="A96" s="52" t="s">
        <v>265</v>
      </c>
      <c r="B96" s="31"/>
      <c r="C96" s="32" t="s">
        <v>167</v>
      </c>
      <c r="D96" s="32" t="s">
        <v>258</v>
      </c>
      <c r="E96" s="32" t="s">
        <v>264</v>
      </c>
      <c r="F96" s="36" t="s">
        <v>266</v>
      </c>
      <c r="G96" s="34">
        <v>2365.8</v>
      </c>
      <c r="H96" s="34">
        <v>2192.1</v>
      </c>
      <c r="I96" s="34">
        <f t="shared" si="4"/>
        <v>92.65787471468424</v>
      </c>
    </row>
    <row r="97" spans="1:9" ht="22.5" customHeight="1">
      <c r="A97" s="30" t="s">
        <v>253</v>
      </c>
      <c r="B97" s="31"/>
      <c r="C97" s="32" t="s">
        <v>167</v>
      </c>
      <c r="D97" s="32" t="s">
        <v>258</v>
      </c>
      <c r="E97" s="32" t="s">
        <v>230</v>
      </c>
      <c r="F97" s="33"/>
      <c r="G97" s="34">
        <f>SUM(G99)</f>
        <v>444.2</v>
      </c>
      <c r="H97" s="34">
        <f>SUM(H99)</f>
        <v>444.2</v>
      </c>
      <c r="I97" s="34">
        <f t="shared" si="4"/>
        <v>100</v>
      </c>
    </row>
    <row r="98" spans="1:9" ht="21.75" customHeight="1">
      <c r="A98" s="30" t="s">
        <v>255</v>
      </c>
      <c r="B98" s="31"/>
      <c r="C98" s="32" t="s">
        <v>167</v>
      </c>
      <c r="D98" s="32" t="s">
        <v>258</v>
      </c>
      <c r="E98" s="32" t="s">
        <v>256</v>
      </c>
      <c r="F98" s="33"/>
      <c r="G98" s="34">
        <f>SUM(G99)</f>
        <v>444.2</v>
      </c>
      <c r="H98" s="34">
        <f>SUM(H99)</f>
        <v>444.2</v>
      </c>
      <c r="I98" s="34">
        <f t="shared" si="4"/>
        <v>100</v>
      </c>
    </row>
    <row r="99" spans="1:9" ht="24.75" customHeight="1">
      <c r="A99" s="35" t="s">
        <v>174</v>
      </c>
      <c r="B99" s="31"/>
      <c r="C99" s="32" t="s">
        <v>167</v>
      </c>
      <c r="D99" s="32" t="s">
        <v>258</v>
      </c>
      <c r="E99" s="32" t="s">
        <v>256</v>
      </c>
      <c r="F99" s="33" t="s">
        <v>175</v>
      </c>
      <c r="G99" s="34">
        <v>444.2</v>
      </c>
      <c r="H99" s="34">
        <v>444.2</v>
      </c>
      <c r="I99" s="34">
        <f t="shared" si="4"/>
        <v>100</v>
      </c>
    </row>
    <row r="100" spans="1:9" ht="42.75">
      <c r="A100" s="49" t="s">
        <v>267</v>
      </c>
      <c r="B100" s="31"/>
      <c r="C100" s="32" t="s">
        <v>167</v>
      </c>
      <c r="D100" s="32" t="s">
        <v>258</v>
      </c>
      <c r="E100" s="32" t="s">
        <v>197</v>
      </c>
      <c r="F100" s="33"/>
      <c r="G100" s="34">
        <f>SUM(G101)</f>
        <v>5271.8</v>
      </c>
      <c r="H100" s="34">
        <f>SUM(H101)</f>
        <v>5219.4</v>
      </c>
      <c r="I100" s="34">
        <f t="shared" si="4"/>
        <v>99.00603209529952</v>
      </c>
    </row>
    <row r="101" spans="1:9" ht="42.75">
      <c r="A101" s="49" t="s">
        <v>198</v>
      </c>
      <c r="B101" s="31"/>
      <c r="C101" s="32" t="s">
        <v>167</v>
      </c>
      <c r="D101" s="32" t="s">
        <v>258</v>
      </c>
      <c r="E101" s="32" t="s">
        <v>268</v>
      </c>
      <c r="F101" s="33"/>
      <c r="G101" s="34">
        <f>SUM(G102)</f>
        <v>5271.8</v>
      </c>
      <c r="H101" s="34">
        <f>SUM(H102)</f>
        <v>5219.4</v>
      </c>
      <c r="I101" s="34">
        <f t="shared" si="4"/>
        <v>99.00603209529952</v>
      </c>
    </row>
    <row r="102" spans="1:9" ht="15">
      <c r="A102" s="35" t="s">
        <v>174</v>
      </c>
      <c r="B102" s="31"/>
      <c r="C102" s="32" t="s">
        <v>167</v>
      </c>
      <c r="D102" s="32" t="s">
        <v>258</v>
      </c>
      <c r="E102" s="32" t="s">
        <v>268</v>
      </c>
      <c r="F102" s="33" t="s">
        <v>175</v>
      </c>
      <c r="G102" s="34">
        <v>5271.8</v>
      </c>
      <c r="H102" s="34">
        <v>5219.4</v>
      </c>
      <c r="I102" s="34">
        <f t="shared" si="4"/>
        <v>99.00603209529952</v>
      </c>
    </row>
    <row r="103" spans="1:9" ht="28.5">
      <c r="A103" s="35" t="s">
        <v>185</v>
      </c>
      <c r="B103" s="31"/>
      <c r="C103" s="32" t="s">
        <v>167</v>
      </c>
      <c r="D103" s="32" t="s">
        <v>258</v>
      </c>
      <c r="E103" s="32" t="s">
        <v>186</v>
      </c>
      <c r="F103" s="37"/>
      <c r="G103" s="34">
        <f>SUM(G104)</f>
        <v>2141.3</v>
      </c>
      <c r="H103" s="34">
        <f>SUM(H104)</f>
        <v>2002.2</v>
      </c>
      <c r="I103" s="34">
        <f t="shared" si="4"/>
        <v>93.50394620090599</v>
      </c>
    </row>
    <row r="104" spans="1:9" ht="15">
      <c r="A104" s="35" t="s">
        <v>187</v>
      </c>
      <c r="B104" s="31"/>
      <c r="C104" s="32" t="s">
        <v>167</v>
      </c>
      <c r="D104" s="32" t="s">
        <v>258</v>
      </c>
      <c r="E104" s="32" t="s">
        <v>269</v>
      </c>
      <c r="F104" s="37"/>
      <c r="G104" s="34">
        <f>SUM(G105)</f>
        <v>2141.3</v>
      </c>
      <c r="H104" s="34">
        <f>SUM(H105)</f>
        <v>2002.2</v>
      </c>
      <c r="I104" s="34">
        <f t="shared" si="4"/>
        <v>93.50394620090599</v>
      </c>
    </row>
    <row r="105" spans="1:9" ht="15.75" customHeight="1">
      <c r="A105" s="35" t="s">
        <v>174</v>
      </c>
      <c r="B105" s="31"/>
      <c r="C105" s="32" t="s">
        <v>167</v>
      </c>
      <c r="D105" s="32" t="s">
        <v>258</v>
      </c>
      <c r="E105" s="32" t="s">
        <v>269</v>
      </c>
      <c r="F105" s="37" t="s">
        <v>175</v>
      </c>
      <c r="G105" s="34">
        <v>2141.3</v>
      </c>
      <c r="H105" s="34">
        <v>2002.2</v>
      </c>
      <c r="I105" s="34">
        <f t="shared" si="4"/>
        <v>93.50394620090599</v>
      </c>
    </row>
    <row r="106" spans="1:9" ht="31.5" customHeight="1" hidden="1">
      <c r="A106" s="46" t="s">
        <v>270</v>
      </c>
      <c r="B106" s="31"/>
      <c r="C106" s="32" t="s">
        <v>167</v>
      </c>
      <c r="D106" s="32" t="s">
        <v>258</v>
      </c>
      <c r="E106" s="32" t="s">
        <v>215</v>
      </c>
      <c r="F106" s="33"/>
      <c r="G106" s="34">
        <f>SUM(G108)</f>
        <v>0</v>
      </c>
      <c r="H106" s="34">
        <f>SUM(H108)</f>
        <v>0</v>
      </c>
      <c r="I106" s="34" t="e">
        <f t="shared" si="4"/>
        <v>#DIV/0!</v>
      </c>
    </row>
    <row r="107" spans="1:9" ht="31.5" customHeight="1" hidden="1">
      <c r="A107" s="46" t="s">
        <v>271</v>
      </c>
      <c r="B107" s="31"/>
      <c r="C107" s="32" t="s">
        <v>167</v>
      </c>
      <c r="D107" s="32" t="s">
        <v>258</v>
      </c>
      <c r="E107" s="32" t="s">
        <v>272</v>
      </c>
      <c r="F107" s="33"/>
      <c r="G107" s="34">
        <f>SUM(G108)</f>
        <v>0</v>
      </c>
      <c r="H107" s="34">
        <f>SUM(H108)</f>
        <v>0</v>
      </c>
      <c r="I107" s="34" t="e">
        <f t="shared" si="4"/>
        <v>#DIV/0!</v>
      </c>
    </row>
    <row r="108" spans="1:9" ht="18" customHeight="1" hidden="1">
      <c r="A108" s="46" t="s">
        <v>273</v>
      </c>
      <c r="B108" s="31"/>
      <c r="C108" s="32" t="s">
        <v>167</v>
      </c>
      <c r="D108" s="32" t="s">
        <v>258</v>
      </c>
      <c r="E108" s="32" t="s">
        <v>272</v>
      </c>
      <c r="F108" s="33" t="s">
        <v>274</v>
      </c>
      <c r="G108" s="34"/>
      <c r="H108" s="34"/>
      <c r="I108" s="34" t="e">
        <f t="shared" si="4"/>
        <v>#DIV/0!</v>
      </c>
    </row>
    <row r="109" spans="1:9" ht="31.5" customHeight="1">
      <c r="A109" s="30" t="s">
        <v>275</v>
      </c>
      <c r="B109" s="31"/>
      <c r="C109" s="32" t="s">
        <v>167</v>
      </c>
      <c r="D109" s="32" t="s">
        <v>258</v>
      </c>
      <c r="E109" s="48" t="s">
        <v>276</v>
      </c>
      <c r="F109" s="36"/>
      <c r="G109" s="34">
        <f>SUM(G110)</f>
        <v>1921.2</v>
      </c>
      <c r="H109" s="34">
        <f>SUM(H110)</f>
        <v>1921.1</v>
      </c>
      <c r="I109" s="34">
        <f t="shared" si="4"/>
        <v>99.99479491984175</v>
      </c>
    </row>
    <row r="110" spans="1:9" ht="18" customHeight="1">
      <c r="A110" s="35" t="s">
        <v>263</v>
      </c>
      <c r="B110" s="31"/>
      <c r="C110" s="32" t="s">
        <v>167</v>
      </c>
      <c r="D110" s="32" t="s">
        <v>258</v>
      </c>
      <c r="E110" s="48" t="s">
        <v>277</v>
      </c>
      <c r="F110" s="36"/>
      <c r="G110" s="34">
        <f>SUM(G111)</f>
        <v>1921.2</v>
      </c>
      <c r="H110" s="34">
        <f>SUM(H111)</f>
        <v>1921.1</v>
      </c>
      <c r="I110" s="34">
        <f t="shared" si="4"/>
        <v>99.99479491984175</v>
      </c>
    </row>
    <row r="111" spans="1:9" ht="18" customHeight="1">
      <c r="A111" s="52" t="s">
        <v>265</v>
      </c>
      <c r="B111" s="31"/>
      <c r="C111" s="32" t="s">
        <v>167</v>
      </c>
      <c r="D111" s="32" t="s">
        <v>258</v>
      </c>
      <c r="E111" s="48" t="s">
        <v>277</v>
      </c>
      <c r="F111" s="36" t="s">
        <v>266</v>
      </c>
      <c r="G111" s="34">
        <v>1921.2</v>
      </c>
      <c r="H111" s="34">
        <v>1921.1</v>
      </c>
      <c r="I111" s="34">
        <f t="shared" si="4"/>
        <v>99.99479491984175</v>
      </c>
    </row>
    <row r="112" spans="1:9" ht="16.5" customHeight="1">
      <c r="A112" s="45" t="s">
        <v>278</v>
      </c>
      <c r="B112" s="31"/>
      <c r="C112" s="32" t="s">
        <v>167</v>
      </c>
      <c r="D112" s="32" t="s">
        <v>258</v>
      </c>
      <c r="E112" s="32" t="s">
        <v>279</v>
      </c>
      <c r="F112" s="37"/>
      <c r="G112" s="34">
        <f>SUM(G113)</f>
        <v>2577.6</v>
      </c>
      <c r="H112" s="34">
        <f>SUM(H113)</f>
        <v>2577.6</v>
      </c>
      <c r="I112" s="34">
        <f t="shared" si="4"/>
        <v>100</v>
      </c>
    </row>
    <row r="113" spans="1:9" ht="16.5" customHeight="1">
      <c r="A113" s="35" t="s">
        <v>174</v>
      </c>
      <c r="B113" s="31"/>
      <c r="C113" s="32" t="s">
        <v>167</v>
      </c>
      <c r="D113" s="32" t="s">
        <v>258</v>
      </c>
      <c r="E113" s="32" t="s">
        <v>279</v>
      </c>
      <c r="F113" s="37" t="s">
        <v>175</v>
      </c>
      <c r="G113" s="34">
        <f>SUM(G114+G115)</f>
        <v>2577.6</v>
      </c>
      <c r="H113" s="34">
        <f>SUM(H114+H115)</f>
        <v>2577.6</v>
      </c>
      <c r="I113" s="34">
        <f t="shared" si="4"/>
        <v>100</v>
      </c>
    </row>
    <row r="114" spans="1:9" ht="16.5" customHeight="1">
      <c r="A114" s="35" t="s">
        <v>280</v>
      </c>
      <c r="B114" s="31"/>
      <c r="C114" s="32" t="s">
        <v>167</v>
      </c>
      <c r="D114" s="32" t="s">
        <v>258</v>
      </c>
      <c r="E114" s="32" t="s">
        <v>281</v>
      </c>
      <c r="F114" s="37" t="s">
        <v>175</v>
      </c>
      <c r="G114" s="34">
        <v>2319.6</v>
      </c>
      <c r="H114" s="34">
        <v>2319.6</v>
      </c>
      <c r="I114" s="34">
        <f t="shared" si="4"/>
        <v>100</v>
      </c>
    </row>
    <row r="115" spans="1:9" ht="27.75" customHeight="1">
      <c r="A115" s="35" t="s">
        <v>282</v>
      </c>
      <c r="B115" s="31"/>
      <c r="C115" s="32" t="s">
        <v>167</v>
      </c>
      <c r="D115" s="32" t="s">
        <v>258</v>
      </c>
      <c r="E115" s="32" t="s">
        <v>283</v>
      </c>
      <c r="F115" s="37" t="s">
        <v>175</v>
      </c>
      <c r="G115" s="34">
        <v>258</v>
      </c>
      <c r="H115" s="34">
        <v>258</v>
      </c>
      <c r="I115" s="34">
        <f t="shared" si="4"/>
        <v>100</v>
      </c>
    </row>
    <row r="116" spans="1:9" s="29" customFormat="1" ht="30">
      <c r="A116" s="53" t="s">
        <v>284</v>
      </c>
      <c r="B116" s="54"/>
      <c r="C116" s="55" t="s">
        <v>177</v>
      </c>
      <c r="D116" s="55"/>
      <c r="E116" s="55"/>
      <c r="F116" s="56"/>
      <c r="G116" s="57">
        <f>SUM(G117+G140)+G158</f>
        <v>82332.9</v>
      </c>
      <c r="H116" s="57">
        <f>SUM(H117+H140)+H158</f>
        <v>82489.9</v>
      </c>
      <c r="I116" s="57">
        <f t="shared" si="4"/>
        <v>100.19068926273702</v>
      </c>
    </row>
    <row r="117" spans="1:9" ht="15">
      <c r="A117" s="30" t="s">
        <v>285</v>
      </c>
      <c r="B117" s="31"/>
      <c r="C117" s="32" t="s">
        <v>177</v>
      </c>
      <c r="D117" s="32" t="s">
        <v>169</v>
      </c>
      <c r="E117" s="32"/>
      <c r="F117" s="36"/>
      <c r="G117" s="34">
        <f>SUM(G118)</f>
        <v>55208.8</v>
      </c>
      <c r="H117" s="34">
        <f>SUM(H118)</f>
        <v>54958.2</v>
      </c>
      <c r="I117" s="34">
        <f t="shared" si="4"/>
        <v>99.54608685571864</v>
      </c>
    </row>
    <row r="118" spans="1:9" ht="15">
      <c r="A118" s="30" t="s">
        <v>285</v>
      </c>
      <c r="B118" s="31"/>
      <c r="C118" s="32" t="s">
        <v>177</v>
      </c>
      <c r="D118" s="32" t="s">
        <v>169</v>
      </c>
      <c r="E118" s="32"/>
      <c r="F118" s="33"/>
      <c r="G118" s="34">
        <f>SUM(G119+G136)</f>
        <v>55208.8</v>
      </c>
      <c r="H118" s="34">
        <f>SUM(H119+H136)</f>
        <v>54958.2</v>
      </c>
      <c r="I118" s="34">
        <f t="shared" si="4"/>
        <v>99.54608685571864</v>
      </c>
    </row>
    <row r="119" spans="1:9" ht="26.25" customHeight="1">
      <c r="A119" s="49" t="s">
        <v>286</v>
      </c>
      <c r="B119" s="31"/>
      <c r="C119" s="32" t="s">
        <v>177</v>
      </c>
      <c r="D119" s="32" t="s">
        <v>169</v>
      </c>
      <c r="E119" s="58" t="s">
        <v>287</v>
      </c>
      <c r="F119" s="33"/>
      <c r="G119" s="34">
        <f>SUM(G120+G122+G124+G126+G129+G134)</f>
        <v>53797.9</v>
      </c>
      <c r="H119" s="34">
        <f>SUM(H120+H122+H124+H126+H129+H134)</f>
        <v>53547.299999999996</v>
      </c>
      <c r="I119" s="34">
        <f t="shared" si="4"/>
        <v>99.53418256102933</v>
      </c>
    </row>
    <row r="120" spans="1:9" ht="71.25">
      <c r="A120" s="49" t="s">
        <v>288</v>
      </c>
      <c r="B120" s="31"/>
      <c r="C120" s="32" t="s">
        <v>177</v>
      </c>
      <c r="D120" s="32" t="s">
        <v>169</v>
      </c>
      <c r="E120" s="58" t="s">
        <v>289</v>
      </c>
      <c r="F120" s="33"/>
      <c r="G120" s="34">
        <f>SUM(G121)</f>
        <v>13022.4</v>
      </c>
      <c r="H120" s="34">
        <f>SUM(H121)</f>
        <v>13022.4</v>
      </c>
      <c r="I120" s="34">
        <f t="shared" si="4"/>
        <v>100</v>
      </c>
    </row>
    <row r="121" spans="1:9" ht="42.75">
      <c r="A121" s="49" t="s">
        <v>290</v>
      </c>
      <c r="B121" s="31"/>
      <c r="C121" s="32" t="s">
        <v>177</v>
      </c>
      <c r="D121" s="32" t="s">
        <v>169</v>
      </c>
      <c r="E121" s="58" t="s">
        <v>289</v>
      </c>
      <c r="F121" s="33" t="s">
        <v>291</v>
      </c>
      <c r="G121" s="34">
        <v>13022.4</v>
      </c>
      <c r="H121" s="34">
        <v>13022.4</v>
      </c>
      <c r="I121" s="34">
        <f t="shared" si="4"/>
        <v>100</v>
      </c>
    </row>
    <row r="122" spans="1:9" ht="15">
      <c r="A122" s="49" t="s">
        <v>292</v>
      </c>
      <c r="B122" s="31"/>
      <c r="C122" s="32" t="s">
        <v>177</v>
      </c>
      <c r="D122" s="32" t="s">
        <v>169</v>
      </c>
      <c r="E122" s="58" t="s">
        <v>293</v>
      </c>
      <c r="F122" s="33"/>
      <c r="G122" s="34">
        <f>SUM(G123)</f>
        <v>26258.5</v>
      </c>
      <c r="H122" s="34">
        <f>SUM(H123)</f>
        <v>26258.5</v>
      </c>
      <c r="I122" s="34">
        <f t="shared" si="4"/>
        <v>100</v>
      </c>
    </row>
    <row r="123" spans="1:9" ht="27.75" customHeight="1">
      <c r="A123" s="49" t="s">
        <v>290</v>
      </c>
      <c r="B123" s="31"/>
      <c r="C123" s="32" t="s">
        <v>177</v>
      </c>
      <c r="D123" s="32" t="s">
        <v>169</v>
      </c>
      <c r="E123" s="58" t="s">
        <v>293</v>
      </c>
      <c r="F123" s="33" t="s">
        <v>291</v>
      </c>
      <c r="G123" s="34">
        <v>26258.5</v>
      </c>
      <c r="H123" s="34">
        <v>26258.5</v>
      </c>
      <c r="I123" s="34">
        <f t="shared" si="4"/>
        <v>100</v>
      </c>
    </row>
    <row r="124" spans="1:9" ht="28.5">
      <c r="A124" s="49" t="s">
        <v>294</v>
      </c>
      <c r="B124" s="31"/>
      <c r="C124" s="32" t="s">
        <v>177</v>
      </c>
      <c r="D124" s="32" t="s">
        <v>169</v>
      </c>
      <c r="E124" s="58" t="s">
        <v>295</v>
      </c>
      <c r="F124" s="33"/>
      <c r="G124" s="34">
        <f>SUM(G125)</f>
        <v>11678.7</v>
      </c>
      <c r="H124" s="34">
        <f>SUM(H125)</f>
        <v>11561</v>
      </c>
      <c r="I124" s="34">
        <f t="shared" si="4"/>
        <v>98.99218234906282</v>
      </c>
    </row>
    <row r="125" spans="1:9" ht="42.75">
      <c r="A125" s="49" t="s">
        <v>290</v>
      </c>
      <c r="B125" s="31"/>
      <c r="C125" s="32" t="s">
        <v>177</v>
      </c>
      <c r="D125" s="32" t="s">
        <v>169</v>
      </c>
      <c r="E125" s="58" t="s">
        <v>295</v>
      </c>
      <c r="F125" s="33" t="s">
        <v>291</v>
      </c>
      <c r="G125" s="34">
        <f>11579.7+99</f>
        <v>11678.7</v>
      </c>
      <c r="H125" s="34">
        <v>11561</v>
      </c>
      <c r="I125" s="34">
        <f t="shared" si="4"/>
        <v>98.99218234906282</v>
      </c>
    </row>
    <row r="126" spans="1:9" ht="15">
      <c r="A126" s="49" t="s">
        <v>296</v>
      </c>
      <c r="B126" s="31"/>
      <c r="C126" s="32" t="s">
        <v>177</v>
      </c>
      <c r="D126" s="32" t="s">
        <v>169</v>
      </c>
      <c r="E126" s="58" t="s">
        <v>297</v>
      </c>
      <c r="F126" s="33"/>
      <c r="G126" s="34">
        <f>SUM(G127)</f>
        <v>97.5</v>
      </c>
      <c r="H126" s="34">
        <f>SUM(H127)</f>
        <v>73.5</v>
      </c>
      <c r="I126" s="34">
        <f t="shared" si="4"/>
        <v>75.38461538461539</v>
      </c>
    </row>
    <row r="127" spans="1:9" ht="28.5">
      <c r="A127" s="49" t="s">
        <v>298</v>
      </c>
      <c r="B127" s="31"/>
      <c r="C127" s="32" t="s">
        <v>177</v>
      </c>
      <c r="D127" s="32" t="s">
        <v>169</v>
      </c>
      <c r="E127" s="58" t="s">
        <v>299</v>
      </c>
      <c r="F127" s="33"/>
      <c r="G127" s="34">
        <f>SUM(G128)</f>
        <v>97.5</v>
      </c>
      <c r="H127" s="34">
        <f>SUM(H128)</f>
        <v>73.5</v>
      </c>
      <c r="I127" s="34">
        <f t="shared" si="4"/>
        <v>75.38461538461539</v>
      </c>
    </row>
    <row r="128" spans="1:9" ht="42.75">
      <c r="A128" s="49" t="s">
        <v>290</v>
      </c>
      <c r="B128" s="31"/>
      <c r="C128" s="32" t="s">
        <v>177</v>
      </c>
      <c r="D128" s="32" t="s">
        <v>169</v>
      </c>
      <c r="E128" s="58" t="s">
        <v>299</v>
      </c>
      <c r="F128" s="33" t="s">
        <v>291</v>
      </c>
      <c r="G128" s="34">
        <v>97.5</v>
      </c>
      <c r="H128" s="34">
        <v>73.5</v>
      </c>
      <c r="I128" s="34">
        <f t="shared" si="4"/>
        <v>75.38461538461539</v>
      </c>
    </row>
    <row r="129" spans="1:9" ht="15">
      <c r="A129" s="30" t="s">
        <v>300</v>
      </c>
      <c r="B129" s="31"/>
      <c r="C129" s="32" t="s">
        <v>301</v>
      </c>
      <c r="D129" s="32" t="s">
        <v>169</v>
      </c>
      <c r="E129" s="58" t="s">
        <v>302</v>
      </c>
      <c r="F129" s="33"/>
      <c r="G129" s="34">
        <f>SUM(G130+G132)</f>
        <v>1085.6</v>
      </c>
      <c r="H129" s="34">
        <f>SUM(H130+H132)</f>
        <v>976.7</v>
      </c>
      <c r="I129" s="34">
        <f t="shared" si="4"/>
        <v>89.9686809137804</v>
      </c>
    </row>
    <row r="130" spans="1:9" ht="28.5">
      <c r="A130" s="49" t="s">
        <v>303</v>
      </c>
      <c r="B130" s="31"/>
      <c r="C130" s="32" t="s">
        <v>301</v>
      </c>
      <c r="D130" s="32" t="s">
        <v>169</v>
      </c>
      <c r="E130" s="58" t="s">
        <v>304</v>
      </c>
      <c r="F130" s="33"/>
      <c r="G130" s="34">
        <f>SUM(G131)</f>
        <v>955.6</v>
      </c>
      <c r="H130" s="34">
        <f>SUM(H131)</f>
        <v>846.7</v>
      </c>
      <c r="I130" s="34">
        <f t="shared" si="4"/>
        <v>88.60401841774801</v>
      </c>
    </row>
    <row r="131" spans="1:9" ht="42.75">
      <c r="A131" s="49" t="s">
        <v>290</v>
      </c>
      <c r="B131" s="31"/>
      <c r="C131" s="32" t="s">
        <v>301</v>
      </c>
      <c r="D131" s="32" t="s">
        <v>169</v>
      </c>
      <c r="E131" s="58" t="s">
        <v>304</v>
      </c>
      <c r="F131" s="33" t="s">
        <v>291</v>
      </c>
      <c r="G131" s="34">
        <f>1060-104.4</f>
        <v>955.6</v>
      </c>
      <c r="H131" s="34">
        <v>846.7</v>
      </c>
      <c r="I131" s="34">
        <f t="shared" si="4"/>
        <v>88.60401841774801</v>
      </c>
    </row>
    <row r="132" spans="1:9" ht="15">
      <c r="A132" s="49" t="s">
        <v>305</v>
      </c>
      <c r="B132" s="31"/>
      <c r="C132" s="32" t="s">
        <v>301</v>
      </c>
      <c r="D132" s="32" t="s">
        <v>169</v>
      </c>
      <c r="E132" s="58" t="s">
        <v>306</v>
      </c>
      <c r="F132" s="33"/>
      <c r="G132" s="34">
        <f>SUM(G133)</f>
        <v>130</v>
      </c>
      <c r="H132" s="34">
        <f>SUM(H133)</f>
        <v>130</v>
      </c>
      <c r="I132" s="34">
        <f t="shared" si="4"/>
        <v>100</v>
      </c>
    </row>
    <row r="133" spans="1:9" ht="42.75">
      <c r="A133" s="49" t="s">
        <v>290</v>
      </c>
      <c r="B133" s="31"/>
      <c r="C133" s="32" t="s">
        <v>301</v>
      </c>
      <c r="D133" s="32" t="s">
        <v>169</v>
      </c>
      <c r="E133" s="58" t="s">
        <v>306</v>
      </c>
      <c r="F133" s="33" t="s">
        <v>291</v>
      </c>
      <c r="G133" s="34">
        <v>130</v>
      </c>
      <c r="H133" s="34">
        <v>130</v>
      </c>
      <c r="I133" s="34">
        <f t="shared" si="4"/>
        <v>100</v>
      </c>
    </row>
    <row r="134" spans="1:9" ht="28.5">
      <c r="A134" s="30" t="s">
        <v>307</v>
      </c>
      <c r="B134" s="31"/>
      <c r="C134" s="32" t="s">
        <v>301</v>
      </c>
      <c r="D134" s="32" t="s">
        <v>169</v>
      </c>
      <c r="E134" s="58" t="s">
        <v>308</v>
      </c>
      <c r="F134" s="33"/>
      <c r="G134" s="34">
        <f>SUM(G135)</f>
        <v>1655.2</v>
      </c>
      <c r="H134" s="34">
        <f>SUM(H135)</f>
        <v>1655.2</v>
      </c>
      <c r="I134" s="34">
        <f t="shared" si="4"/>
        <v>100</v>
      </c>
    </row>
    <row r="135" spans="1:9" ht="18.75" customHeight="1">
      <c r="A135" s="49" t="s">
        <v>309</v>
      </c>
      <c r="B135" s="31"/>
      <c r="C135" s="32" t="s">
        <v>301</v>
      </c>
      <c r="D135" s="32" t="s">
        <v>169</v>
      </c>
      <c r="E135" s="58" t="s">
        <v>308</v>
      </c>
      <c r="F135" s="33" t="s">
        <v>310</v>
      </c>
      <c r="G135" s="34">
        <f>1649.8+5.4</f>
        <v>1655.2</v>
      </c>
      <c r="H135" s="34">
        <f>1649.8+5.4</f>
        <v>1655.2</v>
      </c>
      <c r="I135" s="34">
        <f t="shared" si="4"/>
        <v>100</v>
      </c>
    </row>
    <row r="136" spans="1:9" ht="15">
      <c r="A136" s="59" t="s">
        <v>278</v>
      </c>
      <c r="B136" s="60"/>
      <c r="C136" s="60" t="s">
        <v>177</v>
      </c>
      <c r="D136" s="60" t="s">
        <v>169</v>
      </c>
      <c r="E136" s="61" t="s">
        <v>279</v>
      </c>
      <c r="F136" s="62"/>
      <c r="G136" s="34">
        <f>SUM(G137)</f>
        <v>1410.9</v>
      </c>
      <c r="H136" s="34">
        <f>SUM(H137)</f>
        <v>1410.9</v>
      </c>
      <c r="I136" s="34">
        <f t="shared" si="4"/>
        <v>100</v>
      </c>
    </row>
    <row r="137" spans="1:9" ht="42.75">
      <c r="A137" s="49" t="s">
        <v>290</v>
      </c>
      <c r="B137" s="63"/>
      <c r="C137" s="64" t="s">
        <v>177</v>
      </c>
      <c r="D137" s="64" t="s">
        <v>169</v>
      </c>
      <c r="E137" s="64" t="s">
        <v>311</v>
      </c>
      <c r="F137" s="65" t="s">
        <v>291</v>
      </c>
      <c r="G137" s="34">
        <f>SUM(G138)</f>
        <v>1410.9</v>
      </c>
      <c r="H137" s="34">
        <f>SUM(H138)</f>
        <v>1410.9</v>
      </c>
      <c r="I137" s="34">
        <f t="shared" si="4"/>
        <v>100</v>
      </c>
    </row>
    <row r="138" spans="1:9" ht="42" customHeight="1">
      <c r="A138" s="41" t="s">
        <v>312</v>
      </c>
      <c r="B138" s="66"/>
      <c r="C138" s="64" t="s">
        <v>177</v>
      </c>
      <c r="D138" s="64" t="s">
        <v>169</v>
      </c>
      <c r="E138" s="64" t="s">
        <v>313</v>
      </c>
      <c r="F138" s="65" t="s">
        <v>291</v>
      </c>
      <c r="G138" s="67">
        <v>1410.9</v>
      </c>
      <c r="H138" s="67">
        <v>1410.9</v>
      </c>
      <c r="I138" s="34">
        <f t="shared" si="4"/>
        <v>100</v>
      </c>
    </row>
    <row r="139" spans="1:9" ht="42.75" hidden="1">
      <c r="A139" s="41" t="s">
        <v>314</v>
      </c>
      <c r="B139" s="66"/>
      <c r="C139" s="64" t="s">
        <v>177</v>
      </c>
      <c r="D139" s="64" t="s">
        <v>169</v>
      </c>
      <c r="E139" s="64" t="s">
        <v>315</v>
      </c>
      <c r="F139" s="65" t="s">
        <v>291</v>
      </c>
      <c r="G139" s="67"/>
      <c r="H139" s="67"/>
      <c r="I139" s="34" t="e">
        <f t="shared" si="4"/>
        <v>#DIV/0!</v>
      </c>
    </row>
    <row r="140" spans="1:9" ht="45.75" customHeight="1">
      <c r="A140" s="49" t="s">
        <v>316</v>
      </c>
      <c r="B140" s="31"/>
      <c r="C140" s="48" t="s">
        <v>177</v>
      </c>
      <c r="D140" s="48" t="s">
        <v>317</v>
      </c>
      <c r="E140" s="48"/>
      <c r="F140" s="36"/>
      <c r="G140" s="34">
        <f>SUM(G144+G149+G152+G155)+G142</f>
        <v>27124.1</v>
      </c>
      <c r="H140" s="34">
        <f>SUM(H144+H149+H152+H155)+H142</f>
        <v>27531.699999999997</v>
      </c>
      <c r="I140" s="34">
        <f t="shared" si="4"/>
        <v>101.50272267098264</v>
      </c>
    </row>
    <row r="141" spans="1:9" ht="18" customHeight="1" hidden="1">
      <c r="A141" s="30" t="s">
        <v>253</v>
      </c>
      <c r="B141" s="31"/>
      <c r="C141" s="48" t="s">
        <v>177</v>
      </c>
      <c r="D141" s="48" t="s">
        <v>317</v>
      </c>
      <c r="E141" s="48" t="s">
        <v>230</v>
      </c>
      <c r="F141" s="36"/>
      <c r="G141" s="34">
        <f>SUM(G142)</f>
        <v>0</v>
      </c>
      <c r="H141" s="34">
        <f>SUM(H142)</f>
        <v>0</v>
      </c>
      <c r="I141" s="34" t="e">
        <f t="shared" si="4"/>
        <v>#DIV/0!</v>
      </c>
    </row>
    <row r="142" spans="1:9" ht="18.75" customHeight="1" hidden="1">
      <c r="A142" s="30" t="s">
        <v>255</v>
      </c>
      <c r="B142" s="31"/>
      <c r="C142" s="48" t="s">
        <v>177</v>
      </c>
      <c r="D142" s="48" t="s">
        <v>317</v>
      </c>
      <c r="E142" s="48" t="s">
        <v>256</v>
      </c>
      <c r="F142" s="36"/>
      <c r="G142" s="34">
        <f>SUM(G143)</f>
        <v>0</v>
      </c>
      <c r="H142" s="34">
        <f>SUM(H143)</f>
        <v>0</v>
      </c>
      <c r="I142" s="34" t="e">
        <f t="shared" si="4"/>
        <v>#DIV/0!</v>
      </c>
    </row>
    <row r="143" spans="1:9" ht="18" customHeight="1" hidden="1">
      <c r="A143" s="35" t="s">
        <v>174</v>
      </c>
      <c r="B143" s="31"/>
      <c r="C143" s="48" t="s">
        <v>177</v>
      </c>
      <c r="D143" s="48" t="s">
        <v>317</v>
      </c>
      <c r="E143" s="48" t="s">
        <v>256</v>
      </c>
      <c r="F143" s="36" t="s">
        <v>175</v>
      </c>
      <c r="G143" s="34"/>
      <c r="H143" s="34"/>
      <c r="I143" s="34" t="e">
        <f t="shared" si="4"/>
        <v>#DIV/0!</v>
      </c>
    </row>
    <row r="144" spans="1:9" ht="30" customHeight="1">
      <c r="A144" s="49" t="s">
        <v>318</v>
      </c>
      <c r="B144" s="31"/>
      <c r="C144" s="48" t="s">
        <v>177</v>
      </c>
      <c r="D144" s="48" t="s">
        <v>317</v>
      </c>
      <c r="E144" s="48" t="s">
        <v>319</v>
      </c>
      <c r="F144" s="36"/>
      <c r="G144" s="34">
        <f>SUM(G145)+G147</f>
        <v>19457</v>
      </c>
      <c r="H144" s="34">
        <f>SUM(H145)+H147</f>
        <v>19865.1</v>
      </c>
      <c r="I144" s="34">
        <f t="shared" si="4"/>
        <v>102.09744564938067</v>
      </c>
    </row>
    <row r="145" spans="1:9" ht="27" customHeight="1">
      <c r="A145" s="49" t="s">
        <v>320</v>
      </c>
      <c r="B145" s="31"/>
      <c r="C145" s="48" t="s">
        <v>177</v>
      </c>
      <c r="D145" s="48" t="s">
        <v>317</v>
      </c>
      <c r="E145" s="48" t="s">
        <v>321</v>
      </c>
      <c r="F145" s="36"/>
      <c r="G145" s="34">
        <f>SUM(G146)</f>
        <v>3992.3</v>
      </c>
      <c r="H145" s="34">
        <f>SUM(H146)</f>
        <v>3992.3</v>
      </c>
      <c r="I145" s="34">
        <f t="shared" si="4"/>
        <v>100</v>
      </c>
    </row>
    <row r="146" spans="1:9" ht="15">
      <c r="A146" s="35" t="s">
        <v>174</v>
      </c>
      <c r="B146" s="31"/>
      <c r="C146" s="48" t="s">
        <v>177</v>
      </c>
      <c r="D146" s="48" t="s">
        <v>317</v>
      </c>
      <c r="E146" s="48" t="s">
        <v>321</v>
      </c>
      <c r="F146" s="36" t="s">
        <v>175</v>
      </c>
      <c r="G146" s="34">
        <v>3992.3</v>
      </c>
      <c r="H146" s="34">
        <v>3992.3</v>
      </c>
      <c r="I146" s="34">
        <f aca="true" t="shared" si="5" ref="I146:I209">SUM(H146/G146*100)</f>
        <v>100</v>
      </c>
    </row>
    <row r="147" spans="1:9" ht="28.5">
      <c r="A147" s="35" t="s">
        <v>322</v>
      </c>
      <c r="B147" s="31"/>
      <c r="C147" s="48" t="s">
        <v>177</v>
      </c>
      <c r="D147" s="48" t="s">
        <v>317</v>
      </c>
      <c r="E147" s="48" t="s">
        <v>323</v>
      </c>
      <c r="F147" s="36"/>
      <c r="G147" s="34">
        <f>SUM(G148)</f>
        <v>15464.7</v>
      </c>
      <c r="H147" s="34">
        <f>SUM(H148)</f>
        <v>15872.8</v>
      </c>
      <c r="I147" s="34">
        <f t="shared" si="5"/>
        <v>102.63891313766189</v>
      </c>
    </row>
    <row r="148" spans="1:9" ht="15">
      <c r="A148" s="35" t="s">
        <v>251</v>
      </c>
      <c r="B148" s="31"/>
      <c r="C148" s="48" t="s">
        <v>177</v>
      </c>
      <c r="D148" s="48" t="s">
        <v>317</v>
      </c>
      <c r="E148" s="48" t="s">
        <v>323</v>
      </c>
      <c r="F148" s="36" t="s">
        <v>252</v>
      </c>
      <c r="G148" s="34">
        <v>15464.7</v>
      </c>
      <c r="H148" s="34">
        <v>15872.8</v>
      </c>
      <c r="I148" s="34">
        <f t="shared" si="5"/>
        <v>102.63891313766189</v>
      </c>
    </row>
    <row r="149" spans="1:9" ht="15">
      <c r="A149" s="49" t="s">
        <v>324</v>
      </c>
      <c r="B149" s="63"/>
      <c r="C149" s="63" t="s">
        <v>177</v>
      </c>
      <c r="D149" s="63" t="s">
        <v>317</v>
      </c>
      <c r="E149" s="63" t="s">
        <v>325</v>
      </c>
      <c r="F149" s="68"/>
      <c r="G149" s="34">
        <f>SUM(G150)</f>
        <v>294.8</v>
      </c>
      <c r="H149" s="34">
        <f>SUM(H150)</f>
        <v>294.8</v>
      </c>
      <c r="I149" s="34">
        <f t="shared" si="5"/>
        <v>100</v>
      </c>
    </row>
    <row r="150" spans="1:9" ht="28.5">
      <c r="A150" s="49" t="s">
        <v>326</v>
      </c>
      <c r="B150" s="63"/>
      <c r="C150" s="64" t="s">
        <v>177</v>
      </c>
      <c r="D150" s="64" t="s">
        <v>317</v>
      </c>
      <c r="E150" s="64" t="s">
        <v>327</v>
      </c>
      <c r="F150" s="65"/>
      <c r="G150" s="34">
        <f>SUM(G151)</f>
        <v>294.8</v>
      </c>
      <c r="H150" s="34">
        <f>SUM(H151)</f>
        <v>294.8</v>
      </c>
      <c r="I150" s="34">
        <f t="shared" si="5"/>
        <v>100</v>
      </c>
    </row>
    <row r="151" spans="1:9" ht="19.5" customHeight="1">
      <c r="A151" s="35" t="s">
        <v>174</v>
      </c>
      <c r="B151" s="63"/>
      <c r="C151" s="64" t="s">
        <v>177</v>
      </c>
      <c r="D151" s="64" t="s">
        <v>317</v>
      </c>
      <c r="E151" s="64" t="s">
        <v>327</v>
      </c>
      <c r="F151" s="65" t="s">
        <v>175</v>
      </c>
      <c r="G151" s="34">
        <v>294.8</v>
      </c>
      <c r="H151" s="34">
        <v>294.8</v>
      </c>
      <c r="I151" s="34">
        <f t="shared" si="5"/>
        <v>100</v>
      </c>
    </row>
    <row r="152" spans="1:9" ht="51" customHeight="1">
      <c r="A152" s="30" t="s">
        <v>328</v>
      </c>
      <c r="B152" s="31"/>
      <c r="C152" s="48" t="s">
        <v>177</v>
      </c>
      <c r="D152" s="48" t="s">
        <v>317</v>
      </c>
      <c r="E152" s="48" t="s">
        <v>329</v>
      </c>
      <c r="F152" s="36"/>
      <c r="G152" s="34">
        <f>SUM(G153)</f>
        <v>7372.3</v>
      </c>
      <c r="H152" s="34">
        <f>SUM(H153)</f>
        <v>7371.8</v>
      </c>
      <c r="I152" s="34">
        <f t="shared" si="5"/>
        <v>99.99321785602865</v>
      </c>
    </row>
    <row r="153" spans="1:9" ht="21.75" customHeight="1">
      <c r="A153" s="30" t="s">
        <v>263</v>
      </c>
      <c r="B153" s="31"/>
      <c r="C153" s="48" t="s">
        <v>177</v>
      </c>
      <c r="D153" s="48" t="s">
        <v>317</v>
      </c>
      <c r="E153" s="48" t="s">
        <v>330</v>
      </c>
      <c r="F153" s="36"/>
      <c r="G153" s="34">
        <f>SUM(G154)</f>
        <v>7372.3</v>
      </c>
      <c r="H153" s="34">
        <f>SUM(H154)</f>
        <v>7371.8</v>
      </c>
      <c r="I153" s="34">
        <f t="shared" si="5"/>
        <v>99.99321785602865</v>
      </c>
    </row>
    <row r="154" spans="1:9" ht="15.75" customHeight="1">
      <c r="A154" s="52" t="s">
        <v>265</v>
      </c>
      <c r="B154" s="69"/>
      <c r="C154" s="70" t="s">
        <v>177</v>
      </c>
      <c r="D154" s="70" t="s">
        <v>317</v>
      </c>
      <c r="E154" s="70" t="s">
        <v>330</v>
      </c>
      <c r="F154" s="37" t="s">
        <v>266</v>
      </c>
      <c r="G154" s="34">
        <v>7372.3</v>
      </c>
      <c r="H154" s="34">
        <v>7371.8</v>
      </c>
      <c r="I154" s="34">
        <f t="shared" si="5"/>
        <v>99.99321785602865</v>
      </c>
    </row>
    <row r="155" spans="1:9" s="71" customFormat="1" ht="16.5" customHeight="1" hidden="1">
      <c r="A155" s="35" t="s">
        <v>331</v>
      </c>
      <c r="B155" s="69"/>
      <c r="C155" s="70" t="s">
        <v>177</v>
      </c>
      <c r="D155" s="70" t="s">
        <v>317</v>
      </c>
      <c r="E155" s="70" t="s">
        <v>332</v>
      </c>
      <c r="F155" s="37"/>
      <c r="G155" s="34">
        <f>SUM(G157)</f>
        <v>0</v>
      </c>
      <c r="H155" s="34">
        <f>SUM(H157)</f>
        <v>0</v>
      </c>
      <c r="I155" s="34" t="e">
        <f t="shared" si="5"/>
        <v>#DIV/0!</v>
      </c>
    </row>
    <row r="156" spans="1:9" s="71" customFormat="1" ht="16.5" customHeight="1" hidden="1">
      <c r="A156" s="49" t="s">
        <v>333</v>
      </c>
      <c r="B156" s="31"/>
      <c r="C156" s="48" t="s">
        <v>177</v>
      </c>
      <c r="D156" s="48" t="s">
        <v>317</v>
      </c>
      <c r="E156" s="64" t="s">
        <v>334</v>
      </c>
      <c r="F156" s="36"/>
      <c r="G156" s="34">
        <f>SUM(G157)</f>
        <v>0</v>
      </c>
      <c r="H156" s="34">
        <f>SUM(H157)</f>
        <v>0</v>
      </c>
      <c r="I156" s="34" t="e">
        <f t="shared" si="5"/>
        <v>#DIV/0!</v>
      </c>
    </row>
    <row r="157" spans="1:9" ht="58.5" customHeight="1" hidden="1">
      <c r="A157" s="49" t="s">
        <v>335</v>
      </c>
      <c r="B157" s="31"/>
      <c r="C157" s="48" t="s">
        <v>177</v>
      </c>
      <c r="D157" s="48" t="s">
        <v>317</v>
      </c>
      <c r="E157" s="64" t="s">
        <v>334</v>
      </c>
      <c r="F157" s="36" t="s">
        <v>336</v>
      </c>
      <c r="G157" s="34"/>
      <c r="H157" s="34"/>
      <c r="I157" s="34" t="e">
        <f t="shared" si="5"/>
        <v>#DIV/0!</v>
      </c>
    </row>
    <row r="158" spans="1:9" ht="28.5" hidden="1">
      <c r="A158" s="49" t="s">
        <v>337</v>
      </c>
      <c r="B158" s="31"/>
      <c r="C158" s="48" t="s">
        <v>177</v>
      </c>
      <c r="D158" s="48" t="s">
        <v>258</v>
      </c>
      <c r="E158" s="64"/>
      <c r="F158" s="36"/>
      <c r="G158" s="34">
        <f>SUM(G159+G162)</f>
        <v>0</v>
      </c>
      <c r="H158" s="34">
        <f>SUM(H159+H162)</f>
        <v>0</v>
      </c>
      <c r="I158" s="34" t="e">
        <f t="shared" si="5"/>
        <v>#DIV/0!</v>
      </c>
    </row>
    <row r="159" spans="1:9" ht="15.75" customHeight="1" hidden="1">
      <c r="A159" s="49" t="s">
        <v>331</v>
      </c>
      <c r="B159" s="31"/>
      <c r="C159" s="48" t="s">
        <v>177</v>
      </c>
      <c r="D159" s="48" t="s">
        <v>258</v>
      </c>
      <c r="E159" s="64" t="s">
        <v>332</v>
      </c>
      <c r="F159" s="36"/>
      <c r="G159" s="34">
        <f>SUM(G160)</f>
        <v>0</v>
      </c>
      <c r="H159" s="34">
        <f>SUM(H160)</f>
        <v>0</v>
      </c>
      <c r="I159" s="34" t="e">
        <f t="shared" si="5"/>
        <v>#DIV/0!</v>
      </c>
    </row>
    <row r="160" spans="1:9" ht="16.5" customHeight="1" hidden="1">
      <c r="A160" s="49" t="s">
        <v>338</v>
      </c>
      <c r="B160" s="31"/>
      <c r="C160" s="48" t="s">
        <v>177</v>
      </c>
      <c r="D160" s="48" t="s">
        <v>258</v>
      </c>
      <c r="E160" s="64" t="s">
        <v>334</v>
      </c>
      <c r="F160" s="36"/>
      <c r="G160" s="34">
        <f>SUM(G161)</f>
        <v>0</v>
      </c>
      <c r="H160" s="34">
        <f>SUM(H161)</f>
        <v>0</v>
      </c>
      <c r="I160" s="34" t="e">
        <f t="shared" si="5"/>
        <v>#DIV/0!</v>
      </c>
    </row>
    <row r="161" spans="1:9" ht="13.5" customHeight="1" hidden="1">
      <c r="A161" s="46" t="s">
        <v>273</v>
      </c>
      <c r="B161" s="31"/>
      <c r="C161" s="48" t="s">
        <v>177</v>
      </c>
      <c r="D161" s="48" t="s">
        <v>258</v>
      </c>
      <c r="E161" s="64" t="s">
        <v>334</v>
      </c>
      <c r="F161" s="36" t="s">
        <v>274</v>
      </c>
      <c r="G161" s="34"/>
      <c r="H161" s="34"/>
      <c r="I161" s="34" t="e">
        <f t="shared" si="5"/>
        <v>#DIV/0!</v>
      </c>
    </row>
    <row r="162" spans="1:9" ht="15" hidden="1">
      <c r="A162" s="49" t="s">
        <v>331</v>
      </c>
      <c r="B162" s="31"/>
      <c r="C162" s="48" t="s">
        <v>177</v>
      </c>
      <c r="D162" s="48" t="s">
        <v>339</v>
      </c>
      <c r="E162" s="64" t="s">
        <v>332</v>
      </c>
      <c r="F162" s="36"/>
      <c r="G162" s="34">
        <f>SUM(G163)</f>
        <v>0</v>
      </c>
      <c r="H162" s="34">
        <f>SUM(H163)</f>
        <v>0</v>
      </c>
      <c r="I162" s="34" t="e">
        <f t="shared" si="5"/>
        <v>#DIV/0!</v>
      </c>
    </row>
    <row r="163" spans="1:9" ht="42.75" hidden="1">
      <c r="A163" s="49" t="s">
        <v>338</v>
      </c>
      <c r="B163" s="31"/>
      <c r="C163" s="48" t="s">
        <v>177</v>
      </c>
      <c r="D163" s="48" t="s">
        <v>339</v>
      </c>
      <c r="E163" s="64" t="s">
        <v>334</v>
      </c>
      <c r="F163" s="36"/>
      <c r="G163" s="34"/>
      <c r="H163" s="34"/>
      <c r="I163" s="34" t="e">
        <f t="shared" si="5"/>
        <v>#DIV/0!</v>
      </c>
    </row>
    <row r="164" spans="1:9" ht="14.25" customHeight="1" hidden="1">
      <c r="A164" s="46" t="s">
        <v>273</v>
      </c>
      <c r="B164" s="31"/>
      <c r="C164" s="48" t="s">
        <v>177</v>
      </c>
      <c r="D164" s="48" t="s">
        <v>339</v>
      </c>
      <c r="E164" s="64" t="s">
        <v>334</v>
      </c>
      <c r="F164" s="36" t="s">
        <v>274</v>
      </c>
      <c r="G164" s="34">
        <f>SUM('[1]Ведомств.'!F141)</f>
        <v>0</v>
      </c>
      <c r="H164" s="34">
        <f>SUM('[1]Ведомств.'!G141)</f>
        <v>0</v>
      </c>
      <c r="I164" s="34" t="e">
        <f t="shared" si="5"/>
        <v>#DIV/0!</v>
      </c>
    </row>
    <row r="165" spans="1:9" ht="15" hidden="1">
      <c r="A165" s="49"/>
      <c r="B165" s="31"/>
      <c r="C165" s="48"/>
      <c r="D165" s="48"/>
      <c r="E165" s="64"/>
      <c r="F165" s="36"/>
      <c r="G165" s="34"/>
      <c r="H165" s="34"/>
      <c r="I165" s="34" t="e">
        <f t="shared" si="5"/>
        <v>#DIV/0!</v>
      </c>
    </row>
    <row r="166" spans="1:9" s="29" customFormat="1" ht="15.75">
      <c r="A166" s="53" t="s">
        <v>200</v>
      </c>
      <c r="B166" s="54"/>
      <c r="C166" s="72" t="s">
        <v>201</v>
      </c>
      <c r="D166" s="72"/>
      <c r="E166" s="72"/>
      <c r="F166" s="73"/>
      <c r="G166" s="57">
        <f>SUM(G167+G180)</f>
        <v>86773.7</v>
      </c>
      <c r="H166" s="57">
        <f>SUM(H167+H180)</f>
        <v>86734.79999999999</v>
      </c>
      <c r="I166" s="57">
        <f t="shared" si="5"/>
        <v>99.95517074874068</v>
      </c>
    </row>
    <row r="167" spans="1:9" ht="14.25" customHeight="1">
      <c r="A167" s="30" t="s">
        <v>202</v>
      </c>
      <c r="B167" s="31"/>
      <c r="C167" s="32" t="s">
        <v>201</v>
      </c>
      <c r="D167" s="32" t="s">
        <v>203</v>
      </c>
      <c r="E167" s="32"/>
      <c r="F167" s="33"/>
      <c r="G167" s="34">
        <f>SUM(G175)+G170+G168</f>
        <v>82423.5</v>
      </c>
      <c r="H167" s="34">
        <f>SUM(H175)+H170+H168</f>
        <v>82384.59999999999</v>
      </c>
      <c r="I167" s="34">
        <f t="shared" si="5"/>
        <v>99.9528047219543</v>
      </c>
    </row>
    <row r="168" spans="1:9" ht="14.25" customHeight="1">
      <c r="A168" s="30" t="s">
        <v>340</v>
      </c>
      <c r="B168" s="31"/>
      <c r="C168" s="32" t="s">
        <v>201</v>
      </c>
      <c r="D168" s="32" t="s">
        <v>203</v>
      </c>
      <c r="E168" s="48" t="s">
        <v>341</v>
      </c>
      <c r="F168" s="36"/>
      <c r="G168" s="34">
        <f>SUM(G169)+G172+G173</f>
        <v>31804.3</v>
      </c>
      <c r="H168" s="34">
        <f>SUM(H169)+H172+H173</f>
        <v>31765.399999999998</v>
      </c>
      <c r="I168" s="34">
        <f t="shared" si="5"/>
        <v>99.87768949481674</v>
      </c>
    </row>
    <row r="169" spans="1:9" ht="13.5" customHeight="1">
      <c r="A169" s="30" t="s">
        <v>342</v>
      </c>
      <c r="B169" s="31"/>
      <c r="C169" s="32" t="s">
        <v>201</v>
      </c>
      <c r="D169" s="32" t="s">
        <v>203</v>
      </c>
      <c r="E169" s="48" t="s">
        <v>341</v>
      </c>
      <c r="F169" s="33" t="s">
        <v>343</v>
      </c>
      <c r="G169" s="34">
        <v>29521.9</v>
      </c>
      <c r="H169" s="34">
        <v>29483</v>
      </c>
      <c r="I169" s="34">
        <f t="shared" si="5"/>
        <v>99.86823341316106</v>
      </c>
    </row>
    <row r="170" spans="1:9" ht="17.25" customHeight="1" hidden="1">
      <c r="A170" s="30" t="s">
        <v>253</v>
      </c>
      <c r="B170" s="31"/>
      <c r="C170" s="32" t="s">
        <v>201</v>
      </c>
      <c r="D170" s="32" t="s">
        <v>203</v>
      </c>
      <c r="E170" s="48" t="s">
        <v>230</v>
      </c>
      <c r="F170" s="36"/>
      <c r="G170" s="34">
        <f>SUM(G171)</f>
        <v>0</v>
      </c>
      <c r="H170" s="34">
        <f>SUM(H171)</f>
        <v>0</v>
      </c>
      <c r="I170" s="34" t="e">
        <f t="shared" si="5"/>
        <v>#DIV/0!</v>
      </c>
    </row>
    <row r="171" spans="1:9" ht="18" customHeight="1" hidden="1">
      <c r="A171" s="30" t="s">
        <v>229</v>
      </c>
      <c r="B171" s="31"/>
      <c r="C171" s="32" t="s">
        <v>201</v>
      </c>
      <c r="D171" s="32" t="s">
        <v>203</v>
      </c>
      <c r="E171" s="48" t="s">
        <v>230</v>
      </c>
      <c r="F171" s="36" t="s">
        <v>231</v>
      </c>
      <c r="G171" s="34"/>
      <c r="H171" s="34"/>
      <c r="I171" s="34" t="e">
        <f t="shared" si="5"/>
        <v>#DIV/0!</v>
      </c>
    </row>
    <row r="172" spans="1:9" ht="18" customHeight="1">
      <c r="A172" s="35" t="s">
        <v>174</v>
      </c>
      <c r="B172" s="31"/>
      <c r="C172" s="32" t="s">
        <v>201</v>
      </c>
      <c r="D172" s="32" t="s">
        <v>203</v>
      </c>
      <c r="E172" s="48" t="s">
        <v>341</v>
      </c>
      <c r="F172" s="36" t="s">
        <v>175</v>
      </c>
      <c r="G172" s="34">
        <v>498.1</v>
      </c>
      <c r="H172" s="34">
        <v>498.1</v>
      </c>
      <c r="I172" s="34">
        <f t="shared" si="5"/>
        <v>100</v>
      </c>
    </row>
    <row r="173" spans="1:9" ht="72.75" customHeight="1">
      <c r="A173" s="74" t="s">
        <v>344</v>
      </c>
      <c r="B173" s="31"/>
      <c r="C173" s="32" t="s">
        <v>201</v>
      </c>
      <c r="D173" s="32" t="s">
        <v>203</v>
      </c>
      <c r="E173" s="48" t="s">
        <v>345</v>
      </c>
      <c r="F173" s="36"/>
      <c r="G173" s="34">
        <f>SUM(G174)</f>
        <v>1784.3</v>
      </c>
      <c r="H173" s="34">
        <f>SUM(H174)</f>
        <v>1784.3</v>
      </c>
      <c r="I173" s="34">
        <f t="shared" si="5"/>
        <v>100</v>
      </c>
    </row>
    <row r="174" spans="1:9" ht="18" customHeight="1">
      <c r="A174" s="30" t="s">
        <v>342</v>
      </c>
      <c r="B174" s="31"/>
      <c r="C174" s="32" t="s">
        <v>201</v>
      </c>
      <c r="D174" s="32" t="s">
        <v>203</v>
      </c>
      <c r="E174" s="48" t="s">
        <v>345</v>
      </c>
      <c r="F174" s="36" t="s">
        <v>343</v>
      </c>
      <c r="G174" s="34">
        <v>1784.3</v>
      </c>
      <c r="H174" s="34">
        <v>1784.3</v>
      </c>
      <c r="I174" s="34">
        <f t="shared" si="5"/>
        <v>100</v>
      </c>
    </row>
    <row r="175" spans="1:9" ht="15">
      <c r="A175" s="30" t="s">
        <v>204</v>
      </c>
      <c r="B175" s="31"/>
      <c r="C175" s="32" t="s">
        <v>201</v>
      </c>
      <c r="D175" s="32" t="s">
        <v>203</v>
      </c>
      <c r="E175" s="32" t="s">
        <v>205</v>
      </c>
      <c r="F175" s="33"/>
      <c r="G175" s="34">
        <f>SUM(G176)</f>
        <v>50619.2</v>
      </c>
      <c r="H175" s="34">
        <f>SUM(H176)</f>
        <v>50619.2</v>
      </c>
      <c r="I175" s="34">
        <f t="shared" si="5"/>
        <v>100</v>
      </c>
    </row>
    <row r="176" spans="1:9" ht="15">
      <c r="A176" s="30" t="s">
        <v>206</v>
      </c>
      <c r="B176" s="31"/>
      <c r="C176" s="32" t="s">
        <v>201</v>
      </c>
      <c r="D176" s="32" t="s">
        <v>203</v>
      </c>
      <c r="E176" s="32" t="s">
        <v>346</v>
      </c>
      <c r="F176" s="33"/>
      <c r="G176" s="34">
        <f>SUM(G177)+G178</f>
        <v>50619.2</v>
      </c>
      <c r="H176" s="34">
        <f>SUM(H177)+H178</f>
        <v>50619.2</v>
      </c>
      <c r="I176" s="34">
        <f t="shared" si="5"/>
        <v>100</v>
      </c>
    </row>
    <row r="177" spans="1:9" ht="14.25" customHeight="1">
      <c r="A177" s="30" t="s">
        <v>342</v>
      </c>
      <c r="B177" s="31"/>
      <c r="C177" s="32" t="s">
        <v>201</v>
      </c>
      <c r="D177" s="32" t="s">
        <v>203</v>
      </c>
      <c r="E177" s="32" t="s">
        <v>346</v>
      </c>
      <c r="F177" s="33" t="s">
        <v>343</v>
      </c>
      <c r="G177" s="34">
        <v>50619.2</v>
      </c>
      <c r="H177" s="34">
        <v>50619.2</v>
      </c>
      <c r="I177" s="34">
        <f t="shared" si="5"/>
        <v>100</v>
      </c>
    </row>
    <row r="178" spans="1:9" ht="8.25" customHeight="1" hidden="1">
      <c r="A178" s="30" t="s">
        <v>347</v>
      </c>
      <c r="B178" s="31"/>
      <c r="C178" s="32" t="s">
        <v>201</v>
      </c>
      <c r="D178" s="32" t="s">
        <v>203</v>
      </c>
      <c r="E178" s="32" t="s">
        <v>348</v>
      </c>
      <c r="F178" s="33"/>
      <c r="G178" s="34">
        <f>SUM(G179)</f>
        <v>0</v>
      </c>
      <c r="H178" s="34">
        <f>SUM(H179)</f>
        <v>0</v>
      </c>
      <c r="I178" s="34" t="e">
        <f t="shared" si="5"/>
        <v>#DIV/0!</v>
      </c>
    </row>
    <row r="179" spans="1:9" ht="9.75" customHeight="1" hidden="1">
      <c r="A179" s="30" t="s">
        <v>342</v>
      </c>
      <c r="B179" s="31"/>
      <c r="C179" s="32" t="s">
        <v>201</v>
      </c>
      <c r="D179" s="32" t="s">
        <v>203</v>
      </c>
      <c r="E179" s="32" t="s">
        <v>348</v>
      </c>
      <c r="F179" s="33" t="s">
        <v>343</v>
      </c>
      <c r="G179" s="34"/>
      <c r="H179" s="34"/>
      <c r="I179" s="34" t="e">
        <f t="shared" si="5"/>
        <v>#DIV/0!</v>
      </c>
    </row>
    <row r="180" spans="1:9" ht="18" customHeight="1">
      <c r="A180" s="46" t="s">
        <v>208</v>
      </c>
      <c r="B180" s="47"/>
      <c r="C180" s="48" t="s">
        <v>201</v>
      </c>
      <c r="D180" s="48" t="s">
        <v>254</v>
      </c>
      <c r="E180" s="48"/>
      <c r="F180" s="36"/>
      <c r="G180" s="34">
        <f>SUM(G184+G186+G191+G181)</f>
        <v>4350.2</v>
      </c>
      <c r="H180" s="34">
        <f>SUM(H184+H186+H191+H181)</f>
        <v>4350.2</v>
      </c>
      <c r="I180" s="34">
        <f t="shared" si="5"/>
        <v>100</v>
      </c>
    </row>
    <row r="181" spans="1:9" ht="29.25" customHeight="1">
      <c r="A181" s="46" t="s">
        <v>270</v>
      </c>
      <c r="B181" s="48"/>
      <c r="C181" s="48" t="s">
        <v>201</v>
      </c>
      <c r="D181" s="48" t="s">
        <v>254</v>
      </c>
      <c r="E181" s="48" t="s">
        <v>215</v>
      </c>
      <c r="F181" s="36"/>
      <c r="G181" s="34">
        <f>SUM(G183)</f>
        <v>215.9</v>
      </c>
      <c r="H181" s="34">
        <f>SUM(H183)</f>
        <v>215.9</v>
      </c>
      <c r="I181" s="34">
        <f t="shared" si="5"/>
        <v>100</v>
      </c>
    </row>
    <row r="182" spans="1:9" ht="27" customHeight="1">
      <c r="A182" s="46" t="s">
        <v>271</v>
      </c>
      <c r="B182" s="48"/>
      <c r="C182" s="48" t="s">
        <v>201</v>
      </c>
      <c r="D182" s="48" t="s">
        <v>254</v>
      </c>
      <c r="E182" s="64" t="s">
        <v>272</v>
      </c>
      <c r="F182" s="36"/>
      <c r="G182" s="34">
        <f>SUM(G183)</f>
        <v>215.9</v>
      </c>
      <c r="H182" s="34">
        <f>SUM(H183)</f>
        <v>215.9</v>
      </c>
      <c r="I182" s="34">
        <f t="shared" si="5"/>
        <v>100</v>
      </c>
    </row>
    <row r="183" spans="1:9" ht="18" customHeight="1">
      <c r="A183" s="46" t="s">
        <v>273</v>
      </c>
      <c r="B183" s="48"/>
      <c r="C183" s="48" t="s">
        <v>201</v>
      </c>
      <c r="D183" s="48" t="s">
        <v>254</v>
      </c>
      <c r="E183" s="64" t="s">
        <v>272</v>
      </c>
      <c r="F183" s="36" t="s">
        <v>274</v>
      </c>
      <c r="G183" s="34">
        <v>215.9</v>
      </c>
      <c r="H183" s="34">
        <v>215.9</v>
      </c>
      <c r="I183" s="34">
        <f t="shared" si="5"/>
        <v>100</v>
      </c>
    </row>
    <row r="184" spans="1:9" ht="28.5" hidden="1">
      <c r="A184" s="75" t="s">
        <v>349</v>
      </c>
      <c r="B184" s="48"/>
      <c r="C184" s="48" t="s">
        <v>201</v>
      </c>
      <c r="D184" s="48" t="s">
        <v>254</v>
      </c>
      <c r="E184" s="48" t="s">
        <v>350</v>
      </c>
      <c r="F184" s="36"/>
      <c r="G184" s="34">
        <f>SUM(G185)</f>
        <v>0</v>
      </c>
      <c r="H184" s="34">
        <f>SUM(H185)</f>
        <v>0</v>
      </c>
      <c r="I184" s="34" t="e">
        <f t="shared" si="5"/>
        <v>#DIV/0!</v>
      </c>
    </row>
    <row r="185" spans="1:9" ht="15" hidden="1">
      <c r="A185" s="35" t="s">
        <v>174</v>
      </c>
      <c r="B185" s="48"/>
      <c r="C185" s="48" t="s">
        <v>201</v>
      </c>
      <c r="D185" s="48" t="s">
        <v>254</v>
      </c>
      <c r="E185" s="48" t="s">
        <v>350</v>
      </c>
      <c r="F185" s="36" t="s">
        <v>175</v>
      </c>
      <c r="G185" s="34"/>
      <c r="H185" s="34"/>
      <c r="I185" s="34" t="e">
        <f t="shared" si="5"/>
        <v>#DIV/0!</v>
      </c>
    </row>
    <row r="186" spans="1:9" ht="28.5">
      <c r="A186" s="45" t="s">
        <v>210</v>
      </c>
      <c r="B186" s="31"/>
      <c r="C186" s="48" t="s">
        <v>201</v>
      </c>
      <c r="D186" s="48" t="s">
        <v>254</v>
      </c>
      <c r="E186" s="32" t="s">
        <v>211</v>
      </c>
      <c r="F186" s="36"/>
      <c r="G186" s="34">
        <f>SUM(G187)</f>
        <v>3782.5</v>
      </c>
      <c r="H186" s="34">
        <f>SUM(H187)</f>
        <v>3782.5</v>
      </c>
      <c r="I186" s="34">
        <f t="shared" si="5"/>
        <v>100</v>
      </c>
    </row>
    <row r="187" spans="1:9" ht="15">
      <c r="A187" s="45" t="s">
        <v>351</v>
      </c>
      <c r="B187" s="31"/>
      <c r="C187" s="48" t="s">
        <v>201</v>
      </c>
      <c r="D187" s="48" t="s">
        <v>254</v>
      </c>
      <c r="E187" s="32" t="s">
        <v>352</v>
      </c>
      <c r="F187" s="36"/>
      <c r="G187" s="34">
        <f>SUM(G188)</f>
        <v>3782.5</v>
      </c>
      <c r="H187" s="34">
        <f>SUM(H188)</f>
        <v>3782.5</v>
      </c>
      <c r="I187" s="34">
        <f t="shared" si="5"/>
        <v>100</v>
      </c>
    </row>
    <row r="188" spans="1:9" ht="17.25" customHeight="1">
      <c r="A188" s="35" t="s">
        <v>174</v>
      </c>
      <c r="B188" s="31"/>
      <c r="C188" s="48" t="s">
        <v>201</v>
      </c>
      <c r="D188" s="48" t="s">
        <v>254</v>
      </c>
      <c r="E188" s="32" t="s">
        <v>352</v>
      </c>
      <c r="F188" s="36" t="s">
        <v>175</v>
      </c>
      <c r="G188" s="34">
        <v>3782.5</v>
      </c>
      <c r="H188" s="34">
        <v>3782.5</v>
      </c>
      <c r="I188" s="34">
        <f t="shared" si="5"/>
        <v>100</v>
      </c>
    </row>
    <row r="189" spans="1:9" ht="28.5" hidden="1">
      <c r="A189" s="45" t="s">
        <v>210</v>
      </c>
      <c r="B189" s="31"/>
      <c r="C189" s="48" t="s">
        <v>201</v>
      </c>
      <c r="D189" s="48" t="s">
        <v>254</v>
      </c>
      <c r="E189" s="32" t="s">
        <v>211</v>
      </c>
      <c r="F189" s="36"/>
      <c r="G189" s="34">
        <f>SUM(G190)</f>
        <v>0</v>
      </c>
      <c r="H189" s="34">
        <f>SUM(H190)</f>
        <v>0</v>
      </c>
      <c r="I189" s="34" t="e">
        <f t="shared" si="5"/>
        <v>#DIV/0!</v>
      </c>
    </row>
    <row r="190" spans="1:9" ht="15" hidden="1">
      <c r="A190" s="45" t="s">
        <v>212</v>
      </c>
      <c r="B190" s="31"/>
      <c r="C190" s="48" t="s">
        <v>201</v>
      </c>
      <c r="D190" s="48" t="s">
        <v>254</v>
      </c>
      <c r="E190" s="32" t="s">
        <v>211</v>
      </c>
      <c r="F190" s="36" t="s">
        <v>213</v>
      </c>
      <c r="G190" s="34"/>
      <c r="H190" s="34"/>
      <c r="I190" s="34" t="e">
        <f t="shared" si="5"/>
        <v>#DIV/0!</v>
      </c>
    </row>
    <row r="191" spans="1:9" ht="18" customHeight="1">
      <c r="A191" s="45" t="s">
        <v>278</v>
      </c>
      <c r="B191" s="31"/>
      <c r="C191" s="48" t="s">
        <v>201</v>
      </c>
      <c r="D191" s="48" t="s">
        <v>254</v>
      </c>
      <c r="E191" s="32" t="s">
        <v>279</v>
      </c>
      <c r="F191" s="36"/>
      <c r="G191" s="34">
        <f>SUM(G192)</f>
        <v>351.8</v>
      </c>
      <c r="H191" s="34">
        <f>SUM(H192)</f>
        <v>351.8</v>
      </c>
      <c r="I191" s="34">
        <f t="shared" si="5"/>
        <v>100</v>
      </c>
    </row>
    <row r="192" spans="1:9" ht="21.75" customHeight="1">
      <c r="A192" s="35" t="s">
        <v>174</v>
      </c>
      <c r="B192" s="31"/>
      <c r="C192" s="48" t="s">
        <v>201</v>
      </c>
      <c r="D192" s="48" t="s">
        <v>254</v>
      </c>
      <c r="E192" s="32" t="s">
        <v>279</v>
      </c>
      <c r="F192" s="36" t="s">
        <v>175</v>
      </c>
      <c r="G192" s="34">
        <f>SUM(G193)</f>
        <v>351.8</v>
      </c>
      <c r="H192" s="34">
        <f>SUM(H193)</f>
        <v>351.8</v>
      </c>
      <c r="I192" s="34">
        <f t="shared" si="5"/>
        <v>100</v>
      </c>
    </row>
    <row r="193" spans="1:9" ht="44.25" customHeight="1">
      <c r="A193" s="76" t="s">
        <v>353</v>
      </c>
      <c r="B193" s="47"/>
      <c r="C193" s="48" t="s">
        <v>201</v>
      </c>
      <c r="D193" s="48" t="s">
        <v>254</v>
      </c>
      <c r="E193" s="32" t="s">
        <v>354</v>
      </c>
      <c r="F193" s="36" t="s">
        <v>175</v>
      </c>
      <c r="G193" s="77">
        <f>151.8+50+150</f>
        <v>351.8</v>
      </c>
      <c r="H193" s="77">
        <f>151.8+50+150</f>
        <v>351.8</v>
      </c>
      <c r="I193" s="34">
        <f t="shared" si="5"/>
        <v>100</v>
      </c>
    </row>
    <row r="194" spans="1:9" s="50" customFormat="1" ht="0.75" customHeight="1" hidden="1">
      <c r="A194" s="76" t="s">
        <v>355</v>
      </c>
      <c r="B194" s="47"/>
      <c r="C194" s="48" t="s">
        <v>201</v>
      </c>
      <c r="D194" s="48" t="s">
        <v>254</v>
      </c>
      <c r="E194" s="32" t="s">
        <v>356</v>
      </c>
      <c r="F194" s="36" t="s">
        <v>175</v>
      </c>
      <c r="G194" s="77"/>
      <c r="H194" s="77"/>
      <c r="I194" s="34" t="e">
        <f t="shared" si="5"/>
        <v>#DIV/0!</v>
      </c>
    </row>
    <row r="195" spans="1:9" s="29" customFormat="1" ht="15.75">
      <c r="A195" s="78" t="s">
        <v>357</v>
      </c>
      <c r="B195" s="79"/>
      <c r="C195" s="55" t="s">
        <v>233</v>
      </c>
      <c r="D195" s="55"/>
      <c r="E195" s="55"/>
      <c r="F195" s="80"/>
      <c r="G195" s="57">
        <f>SUM(G196+G238+G268+G289)</f>
        <v>676721.9999999999</v>
      </c>
      <c r="H195" s="57">
        <f>SUM(H196+H238+H268+H289)</f>
        <v>670684.1999999998</v>
      </c>
      <c r="I195" s="57">
        <f t="shared" si="5"/>
        <v>99.1077872449839</v>
      </c>
    </row>
    <row r="196" spans="1:9" ht="15">
      <c r="A196" s="30" t="s">
        <v>358</v>
      </c>
      <c r="B196" s="31"/>
      <c r="C196" s="32" t="s">
        <v>233</v>
      </c>
      <c r="D196" s="32" t="s">
        <v>167</v>
      </c>
      <c r="E196" s="32"/>
      <c r="F196" s="33"/>
      <c r="G196" s="34">
        <f>SUM(G210+G228+G205+G215+G197)</f>
        <v>406749.99999999994</v>
      </c>
      <c r="H196" s="34">
        <f>SUM(H210+H228+H205+H215+H197)</f>
        <v>406643.69999999995</v>
      </c>
      <c r="I196" s="34">
        <f t="shared" si="5"/>
        <v>99.97386601106331</v>
      </c>
    </row>
    <row r="197" spans="1:9" ht="42.75">
      <c r="A197" s="81" t="s">
        <v>359</v>
      </c>
      <c r="B197" s="31"/>
      <c r="C197" s="32" t="s">
        <v>233</v>
      </c>
      <c r="D197" s="32" t="s">
        <v>167</v>
      </c>
      <c r="E197" s="32" t="s">
        <v>360</v>
      </c>
      <c r="F197" s="33"/>
      <c r="G197" s="34">
        <f>SUM(G198+G201)</f>
        <v>378370.49999999994</v>
      </c>
      <c r="H197" s="34">
        <f>SUM(H198+H201)</f>
        <v>378370.49999999994</v>
      </c>
      <c r="I197" s="34">
        <f t="shared" si="5"/>
        <v>100</v>
      </c>
    </row>
    <row r="198" spans="1:9" ht="77.25" customHeight="1">
      <c r="A198" s="81" t="s">
        <v>361</v>
      </c>
      <c r="B198" s="31"/>
      <c r="C198" s="32" t="s">
        <v>233</v>
      </c>
      <c r="D198" s="32" t="s">
        <v>167</v>
      </c>
      <c r="E198" s="32" t="s">
        <v>362</v>
      </c>
      <c r="F198" s="33"/>
      <c r="G198" s="34">
        <f>SUM(G199)</f>
        <v>330615.39999999997</v>
      </c>
      <c r="H198" s="34">
        <f>SUM(H199)</f>
        <v>330615.39999999997</v>
      </c>
      <c r="I198" s="34">
        <f t="shared" si="5"/>
        <v>100</v>
      </c>
    </row>
    <row r="199" spans="1:9" ht="65.25" customHeight="1">
      <c r="A199" s="81" t="s">
        <v>363</v>
      </c>
      <c r="B199" s="31"/>
      <c r="C199" s="32" t="s">
        <v>233</v>
      </c>
      <c r="D199" s="32" t="s">
        <v>167</v>
      </c>
      <c r="E199" s="32" t="s">
        <v>364</v>
      </c>
      <c r="F199" s="33"/>
      <c r="G199" s="34">
        <f>SUM(G200)</f>
        <v>330615.39999999997</v>
      </c>
      <c r="H199" s="34">
        <f>SUM(H200)</f>
        <v>330615.39999999997</v>
      </c>
      <c r="I199" s="34">
        <f t="shared" si="5"/>
        <v>100</v>
      </c>
    </row>
    <row r="200" spans="1:9" ht="21" customHeight="1">
      <c r="A200" s="30" t="s">
        <v>342</v>
      </c>
      <c r="B200" s="31"/>
      <c r="C200" s="32" t="s">
        <v>233</v>
      </c>
      <c r="D200" s="32" t="s">
        <v>167</v>
      </c>
      <c r="E200" s="32" t="s">
        <v>364</v>
      </c>
      <c r="F200" s="33" t="s">
        <v>343</v>
      </c>
      <c r="G200" s="34">
        <f>30880.8+299734.6</f>
        <v>330615.39999999997</v>
      </c>
      <c r="H200" s="34">
        <f>30880.8+299734.6</f>
        <v>330615.39999999997</v>
      </c>
      <c r="I200" s="34">
        <f t="shared" si="5"/>
        <v>100</v>
      </c>
    </row>
    <row r="201" spans="1:9" ht="42.75">
      <c r="A201" s="82" t="s">
        <v>365</v>
      </c>
      <c r="B201" s="31"/>
      <c r="C201" s="32" t="s">
        <v>233</v>
      </c>
      <c r="D201" s="32" t="s">
        <v>167</v>
      </c>
      <c r="E201" s="32" t="s">
        <v>366</v>
      </c>
      <c r="F201" s="33"/>
      <c r="G201" s="34">
        <f>SUM(G202)+G208</f>
        <v>47755.1</v>
      </c>
      <c r="H201" s="34">
        <f>SUM(H202)+H208</f>
        <v>47755.1</v>
      </c>
      <c r="I201" s="34">
        <f t="shared" si="5"/>
        <v>100</v>
      </c>
    </row>
    <row r="202" spans="1:9" ht="28.5">
      <c r="A202" s="82" t="s">
        <v>367</v>
      </c>
      <c r="B202" s="31"/>
      <c r="C202" s="32" t="s">
        <v>233</v>
      </c>
      <c r="D202" s="32" t="s">
        <v>167</v>
      </c>
      <c r="E202" s="32" t="s">
        <v>368</v>
      </c>
      <c r="F202" s="33"/>
      <c r="G202" s="34">
        <f>SUM(G203)+G204</f>
        <v>47755.1</v>
      </c>
      <c r="H202" s="34">
        <f>SUM(H203)+H204</f>
        <v>47755.1</v>
      </c>
      <c r="I202" s="34">
        <f t="shared" si="5"/>
        <v>100</v>
      </c>
    </row>
    <row r="203" spans="1:9" ht="16.5" customHeight="1">
      <c r="A203" s="83" t="s">
        <v>342</v>
      </c>
      <c r="B203" s="31"/>
      <c r="C203" s="32" t="s">
        <v>233</v>
      </c>
      <c r="D203" s="32" t="s">
        <v>167</v>
      </c>
      <c r="E203" s="32" t="s">
        <v>368</v>
      </c>
      <c r="F203" s="33" t="s">
        <v>343</v>
      </c>
      <c r="G203" s="34">
        <f>18556.8+2100+2126.2</f>
        <v>22783</v>
      </c>
      <c r="H203" s="34">
        <f>18556.8+2100+2126.2</f>
        <v>22783</v>
      </c>
      <c r="I203" s="34">
        <f t="shared" si="5"/>
        <v>100</v>
      </c>
    </row>
    <row r="204" spans="1:9" ht="30.75" customHeight="1">
      <c r="A204" s="84" t="s">
        <v>369</v>
      </c>
      <c r="B204" s="85"/>
      <c r="C204" s="32" t="s">
        <v>233</v>
      </c>
      <c r="D204" s="32" t="s">
        <v>167</v>
      </c>
      <c r="E204" s="32" t="s">
        <v>368</v>
      </c>
      <c r="F204" s="33" t="s">
        <v>370</v>
      </c>
      <c r="G204" s="34">
        <v>24972.1</v>
      </c>
      <c r="H204" s="34">
        <v>24972.1</v>
      </c>
      <c r="I204" s="34">
        <f t="shared" si="5"/>
        <v>100</v>
      </c>
    </row>
    <row r="205" spans="1:9" ht="28.5" hidden="1">
      <c r="A205" s="46" t="s">
        <v>270</v>
      </c>
      <c r="B205" s="31"/>
      <c r="C205" s="32" t="s">
        <v>233</v>
      </c>
      <c r="D205" s="32" t="s">
        <v>167</v>
      </c>
      <c r="E205" s="32" t="s">
        <v>215</v>
      </c>
      <c r="F205" s="33"/>
      <c r="G205" s="34">
        <f>SUM(G206)</f>
        <v>0</v>
      </c>
      <c r="H205" s="34">
        <f>SUM(H206)</f>
        <v>0</v>
      </c>
      <c r="I205" s="34" t="e">
        <f t="shared" si="5"/>
        <v>#DIV/0!</v>
      </c>
    </row>
    <row r="206" spans="1:9" ht="32.25" customHeight="1" hidden="1">
      <c r="A206" s="46" t="s">
        <v>271</v>
      </c>
      <c r="B206" s="31"/>
      <c r="C206" s="32" t="s">
        <v>233</v>
      </c>
      <c r="D206" s="32" t="s">
        <v>167</v>
      </c>
      <c r="E206" s="32" t="s">
        <v>272</v>
      </c>
      <c r="F206" s="33"/>
      <c r="G206" s="34">
        <f>SUM(G207)</f>
        <v>0</v>
      </c>
      <c r="H206" s="34">
        <f>SUM(H207)</f>
        <v>0</v>
      </c>
      <c r="I206" s="34" t="e">
        <f t="shared" si="5"/>
        <v>#DIV/0!</v>
      </c>
    </row>
    <row r="207" spans="1:9" ht="16.5" customHeight="1" hidden="1">
      <c r="A207" s="46" t="s">
        <v>273</v>
      </c>
      <c r="B207" s="31"/>
      <c r="C207" s="32" t="s">
        <v>233</v>
      </c>
      <c r="D207" s="32" t="s">
        <v>167</v>
      </c>
      <c r="E207" s="32" t="s">
        <v>272</v>
      </c>
      <c r="F207" s="33" t="s">
        <v>274</v>
      </c>
      <c r="G207" s="34"/>
      <c r="H207" s="34"/>
      <c r="I207" s="34" t="e">
        <f t="shared" si="5"/>
        <v>#DIV/0!</v>
      </c>
    </row>
    <row r="208" spans="1:9" ht="0.75" customHeight="1" hidden="1">
      <c r="A208" s="86" t="s">
        <v>371</v>
      </c>
      <c r="B208" s="31"/>
      <c r="C208" s="32" t="s">
        <v>233</v>
      </c>
      <c r="D208" s="32" t="s">
        <v>167</v>
      </c>
      <c r="E208" s="32" t="s">
        <v>372</v>
      </c>
      <c r="F208" s="33"/>
      <c r="G208" s="34">
        <f>SUM(G209)</f>
        <v>0</v>
      </c>
      <c r="H208" s="34">
        <f>SUM(H209)</f>
        <v>0</v>
      </c>
      <c r="I208" s="34" t="e">
        <f t="shared" si="5"/>
        <v>#DIV/0!</v>
      </c>
    </row>
    <row r="209" spans="1:9" ht="16.5" customHeight="1" hidden="1">
      <c r="A209" s="83" t="s">
        <v>342</v>
      </c>
      <c r="B209" s="31"/>
      <c r="C209" s="32" t="s">
        <v>233</v>
      </c>
      <c r="D209" s="32" t="s">
        <v>167</v>
      </c>
      <c r="E209" s="32" t="s">
        <v>372</v>
      </c>
      <c r="F209" s="33" t="s">
        <v>343</v>
      </c>
      <c r="G209" s="34"/>
      <c r="H209" s="34"/>
      <c r="I209" s="34" t="e">
        <f t="shared" si="5"/>
        <v>#DIV/0!</v>
      </c>
    </row>
    <row r="210" spans="1:9" ht="14.25" customHeight="1">
      <c r="A210" s="30" t="s">
        <v>373</v>
      </c>
      <c r="B210" s="31"/>
      <c r="C210" s="32" t="s">
        <v>233</v>
      </c>
      <c r="D210" s="32" t="s">
        <v>167</v>
      </c>
      <c r="E210" s="32" t="s">
        <v>374</v>
      </c>
      <c r="F210" s="33"/>
      <c r="G210" s="34">
        <f>SUM(G211+G213)</f>
        <v>3606.8</v>
      </c>
      <c r="H210" s="34">
        <f>SUM(H211+H213)</f>
        <v>3606.8</v>
      </c>
      <c r="I210" s="34">
        <f aca="true" t="shared" si="6" ref="I210:I273">SUM(H210/G210*100)</f>
        <v>100</v>
      </c>
    </row>
    <row r="211" spans="1:9" ht="44.25" customHeight="1">
      <c r="A211" s="49" t="s">
        <v>375</v>
      </c>
      <c r="B211" s="31"/>
      <c r="C211" s="32" t="s">
        <v>233</v>
      </c>
      <c r="D211" s="32" t="s">
        <v>167</v>
      </c>
      <c r="E211" s="32" t="s">
        <v>376</v>
      </c>
      <c r="F211" s="33"/>
      <c r="G211" s="34">
        <f>SUM(G212)</f>
        <v>292.9</v>
      </c>
      <c r="H211" s="34">
        <f>SUM(H212)</f>
        <v>292.9</v>
      </c>
      <c r="I211" s="34">
        <f t="shared" si="6"/>
        <v>100</v>
      </c>
    </row>
    <row r="212" spans="1:9" ht="15.75" customHeight="1">
      <c r="A212" s="30" t="s">
        <v>342</v>
      </c>
      <c r="B212" s="31"/>
      <c r="C212" s="32" t="s">
        <v>233</v>
      </c>
      <c r="D212" s="32" t="s">
        <v>167</v>
      </c>
      <c r="E212" s="32" t="s">
        <v>376</v>
      </c>
      <c r="F212" s="33" t="s">
        <v>343</v>
      </c>
      <c r="G212" s="34">
        <v>292.9</v>
      </c>
      <c r="H212" s="34">
        <v>292.9</v>
      </c>
      <c r="I212" s="34">
        <f t="shared" si="6"/>
        <v>100</v>
      </c>
    </row>
    <row r="213" spans="1:9" s="50" customFormat="1" ht="28.5" customHeight="1">
      <c r="A213" s="49" t="s">
        <v>377</v>
      </c>
      <c r="B213" s="47"/>
      <c r="C213" s="32" t="s">
        <v>233</v>
      </c>
      <c r="D213" s="32" t="s">
        <v>167</v>
      </c>
      <c r="E213" s="32" t="s">
        <v>378</v>
      </c>
      <c r="F213" s="36"/>
      <c r="G213" s="34">
        <f>SUM(G214)</f>
        <v>3313.9</v>
      </c>
      <c r="H213" s="34">
        <f>SUM(H214)</f>
        <v>3313.9</v>
      </c>
      <c r="I213" s="34">
        <f t="shared" si="6"/>
        <v>100</v>
      </c>
    </row>
    <row r="214" spans="1:9" s="88" customFormat="1" ht="16.5" customHeight="1">
      <c r="A214" s="35" t="s">
        <v>174</v>
      </c>
      <c r="B214" s="87"/>
      <c r="C214" s="32" t="s">
        <v>233</v>
      </c>
      <c r="D214" s="32" t="s">
        <v>167</v>
      </c>
      <c r="E214" s="32" t="s">
        <v>378</v>
      </c>
      <c r="F214" s="68" t="s">
        <v>175</v>
      </c>
      <c r="G214" s="77">
        <v>3313.9</v>
      </c>
      <c r="H214" s="77">
        <v>3313.9</v>
      </c>
      <c r="I214" s="34">
        <f t="shared" si="6"/>
        <v>100</v>
      </c>
    </row>
    <row r="215" spans="1:9" s="71" customFormat="1" ht="18.75" customHeight="1">
      <c r="A215" s="49" t="s">
        <v>331</v>
      </c>
      <c r="B215" s="63"/>
      <c r="C215" s="63" t="s">
        <v>233</v>
      </c>
      <c r="D215" s="63" t="s">
        <v>167</v>
      </c>
      <c r="E215" s="63" t="s">
        <v>332</v>
      </c>
      <c r="F215" s="89"/>
      <c r="G215" s="90">
        <f>SUM(G218)+G223+G216</f>
        <v>1527.1</v>
      </c>
      <c r="H215" s="90">
        <f>SUM(H218)+H223+H216</f>
        <v>1527.1</v>
      </c>
      <c r="I215" s="34">
        <f t="shared" si="6"/>
        <v>100</v>
      </c>
    </row>
    <row r="216" spans="1:9" s="71" customFormat="1" ht="39.75" customHeight="1">
      <c r="A216" s="49" t="s">
        <v>379</v>
      </c>
      <c r="B216" s="63"/>
      <c r="C216" s="91" t="s">
        <v>233</v>
      </c>
      <c r="D216" s="91" t="s">
        <v>167</v>
      </c>
      <c r="E216" s="91" t="s">
        <v>380</v>
      </c>
      <c r="F216" s="89"/>
      <c r="G216" s="90">
        <f>SUM(G217)</f>
        <v>1527.1</v>
      </c>
      <c r="H216" s="90">
        <f>SUM(H217)</f>
        <v>1527.1</v>
      </c>
      <c r="I216" s="34">
        <f t="shared" si="6"/>
        <v>100</v>
      </c>
    </row>
    <row r="217" spans="1:9" s="71" customFormat="1" ht="18.75" customHeight="1">
      <c r="A217" s="49" t="s">
        <v>273</v>
      </c>
      <c r="B217" s="63"/>
      <c r="C217" s="91" t="s">
        <v>233</v>
      </c>
      <c r="D217" s="91" t="s">
        <v>167</v>
      </c>
      <c r="E217" s="91" t="s">
        <v>380</v>
      </c>
      <c r="F217" s="89" t="s">
        <v>274</v>
      </c>
      <c r="G217" s="90">
        <v>1527.1</v>
      </c>
      <c r="H217" s="90">
        <v>1527.1</v>
      </c>
      <c r="I217" s="34">
        <f t="shared" si="6"/>
        <v>100</v>
      </c>
    </row>
    <row r="218" spans="1:9" s="71" customFormat="1" ht="45" customHeight="1" hidden="1">
      <c r="A218" s="30" t="s">
        <v>381</v>
      </c>
      <c r="B218" s="63"/>
      <c r="C218" s="91" t="s">
        <v>233</v>
      </c>
      <c r="D218" s="91" t="s">
        <v>167</v>
      </c>
      <c r="E218" s="91" t="s">
        <v>382</v>
      </c>
      <c r="F218" s="89"/>
      <c r="G218" s="90">
        <f>SUM(G219+G221)</f>
        <v>0</v>
      </c>
      <c r="H218" s="90">
        <f>SUM(H219+H221)</f>
        <v>0</v>
      </c>
      <c r="I218" s="34" t="e">
        <f t="shared" si="6"/>
        <v>#DIV/0!</v>
      </c>
    </row>
    <row r="219" spans="1:9" s="71" customFormat="1" ht="49.5" customHeight="1" hidden="1">
      <c r="A219" s="49" t="s">
        <v>383</v>
      </c>
      <c r="B219" s="92"/>
      <c r="C219" s="91" t="s">
        <v>233</v>
      </c>
      <c r="D219" s="91" t="s">
        <v>167</v>
      </c>
      <c r="E219" s="91" t="s">
        <v>384</v>
      </c>
      <c r="F219" s="89"/>
      <c r="G219" s="90">
        <f>SUM(G220)</f>
        <v>0</v>
      </c>
      <c r="H219" s="90">
        <f>SUM(H220)</f>
        <v>0</v>
      </c>
      <c r="I219" s="34" t="e">
        <f t="shared" si="6"/>
        <v>#DIV/0!</v>
      </c>
    </row>
    <row r="220" spans="1:9" s="71" customFormat="1" ht="15" hidden="1">
      <c r="A220" s="46" t="s">
        <v>273</v>
      </c>
      <c r="B220" s="63"/>
      <c r="C220" s="91" t="s">
        <v>233</v>
      </c>
      <c r="D220" s="91" t="s">
        <v>167</v>
      </c>
      <c r="E220" s="91" t="s">
        <v>384</v>
      </c>
      <c r="F220" s="68" t="s">
        <v>274</v>
      </c>
      <c r="G220" s="34">
        <v>0</v>
      </c>
      <c r="H220" s="34">
        <v>0</v>
      </c>
      <c r="I220" s="34" t="e">
        <f t="shared" si="6"/>
        <v>#DIV/0!</v>
      </c>
    </row>
    <row r="221" spans="1:9" s="71" customFormat="1" ht="18" customHeight="1" hidden="1">
      <c r="A221" s="46" t="s">
        <v>385</v>
      </c>
      <c r="B221" s="63"/>
      <c r="C221" s="91" t="s">
        <v>233</v>
      </c>
      <c r="D221" s="91" t="s">
        <v>167</v>
      </c>
      <c r="E221" s="91" t="s">
        <v>386</v>
      </c>
      <c r="F221" s="68"/>
      <c r="G221" s="34">
        <f>SUM(G222)</f>
        <v>0</v>
      </c>
      <c r="H221" s="34">
        <f>SUM(H222)</f>
        <v>0</v>
      </c>
      <c r="I221" s="34" t="e">
        <f t="shared" si="6"/>
        <v>#DIV/0!</v>
      </c>
    </row>
    <row r="222" spans="1:9" s="71" customFormat="1" ht="14.25" customHeight="1" hidden="1">
      <c r="A222" s="35" t="s">
        <v>174</v>
      </c>
      <c r="B222" s="87"/>
      <c r="C222" s="32" t="s">
        <v>233</v>
      </c>
      <c r="D222" s="32" t="s">
        <v>167</v>
      </c>
      <c r="E222" s="91" t="s">
        <v>386</v>
      </c>
      <c r="F222" s="68" t="s">
        <v>175</v>
      </c>
      <c r="G222" s="34">
        <f>SUM('[1]Ведомств.'!F180)</f>
        <v>0</v>
      </c>
      <c r="H222" s="34">
        <f>SUM('[1]Ведомств.'!G180)</f>
        <v>0</v>
      </c>
      <c r="I222" s="34" t="e">
        <f t="shared" si="6"/>
        <v>#DIV/0!</v>
      </c>
    </row>
    <row r="223" spans="1:9" s="71" customFormat="1" ht="28.5" hidden="1">
      <c r="A223" s="35" t="s">
        <v>387</v>
      </c>
      <c r="B223" s="87"/>
      <c r="C223" s="32" t="s">
        <v>233</v>
      </c>
      <c r="D223" s="32" t="s">
        <v>167</v>
      </c>
      <c r="E223" s="64" t="s">
        <v>388</v>
      </c>
      <c r="F223" s="68"/>
      <c r="G223" s="34">
        <f>SUM(G224)+G226</f>
        <v>0</v>
      </c>
      <c r="H223" s="34">
        <f>SUM(H224)+H226</f>
        <v>0</v>
      </c>
      <c r="I223" s="34" t="e">
        <f t="shared" si="6"/>
        <v>#DIV/0!</v>
      </c>
    </row>
    <row r="224" spans="1:9" s="71" customFormat="1" ht="42.75" hidden="1">
      <c r="A224" s="35" t="s">
        <v>389</v>
      </c>
      <c r="B224" s="87"/>
      <c r="C224" s="32" t="s">
        <v>233</v>
      </c>
      <c r="D224" s="32" t="s">
        <v>167</v>
      </c>
      <c r="E224" s="64" t="s">
        <v>390</v>
      </c>
      <c r="F224" s="68"/>
      <c r="G224" s="34">
        <f>SUM(G225)</f>
        <v>0</v>
      </c>
      <c r="H224" s="34">
        <f>SUM(H225)</f>
        <v>0</v>
      </c>
      <c r="I224" s="34" t="e">
        <f t="shared" si="6"/>
        <v>#DIV/0!</v>
      </c>
    </row>
    <row r="225" spans="1:9" s="71" customFormat="1" ht="15" hidden="1">
      <c r="A225" s="30" t="s">
        <v>342</v>
      </c>
      <c r="B225" s="87"/>
      <c r="C225" s="32" t="s">
        <v>233</v>
      </c>
      <c r="D225" s="32" t="s">
        <v>167</v>
      </c>
      <c r="E225" s="91" t="s">
        <v>390</v>
      </c>
      <c r="F225" s="68" t="s">
        <v>343</v>
      </c>
      <c r="G225" s="34"/>
      <c r="H225" s="34"/>
      <c r="I225" s="34" t="e">
        <f t="shared" si="6"/>
        <v>#DIV/0!</v>
      </c>
    </row>
    <row r="226" spans="1:9" s="71" customFormat="1" ht="42.75" hidden="1">
      <c r="A226" s="35" t="s">
        <v>391</v>
      </c>
      <c r="B226" s="87"/>
      <c r="C226" s="32" t="s">
        <v>233</v>
      </c>
      <c r="D226" s="32" t="s">
        <v>167</v>
      </c>
      <c r="E226" s="64" t="s">
        <v>392</v>
      </c>
      <c r="F226" s="68"/>
      <c r="G226" s="34">
        <f>SUM(G227)</f>
        <v>0</v>
      </c>
      <c r="H226" s="34">
        <f>SUM(H227)</f>
        <v>0</v>
      </c>
      <c r="I226" s="34" t="e">
        <f t="shared" si="6"/>
        <v>#DIV/0!</v>
      </c>
    </row>
    <row r="227" spans="1:9" s="71" customFormat="1" ht="17.25" customHeight="1" hidden="1">
      <c r="A227" s="30" t="s">
        <v>342</v>
      </c>
      <c r="B227" s="87"/>
      <c r="C227" s="32" t="s">
        <v>233</v>
      </c>
      <c r="D227" s="32" t="s">
        <v>167</v>
      </c>
      <c r="E227" s="91" t="s">
        <v>392</v>
      </c>
      <c r="F227" s="68" t="s">
        <v>343</v>
      </c>
      <c r="G227" s="34"/>
      <c r="H227" s="34"/>
      <c r="I227" s="34" t="e">
        <f t="shared" si="6"/>
        <v>#DIV/0!</v>
      </c>
    </row>
    <row r="228" spans="1:9" s="71" customFormat="1" ht="14.25" customHeight="1">
      <c r="A228" s="93" t="s">
        <v>278</v>
      </c>
      <c r="B228" s="63"/>
      <c r="C228" s="63" t="s">
        <v>233</v>
      </c>
      <c r="D228" s="63" t="s">
        <v>167</v>
      </c>
      <c r="E228" s="63" t="s">
        <v>279</v>
      </c>
      <c r="F228" s="68"/>
      <c r="G228" s="34">
        <f>SUM(G229+G232)+G236</f>
        <v>23245.6</v>
      </c>
      <c r="H228" s="34">
        <f>SUM(H229+H232)+H236</f>
        <v>23139.3</v>
      </c>
      <c r="I228" s="34">
        <f t="shared" si="6"/>
        <v>99.54270915786213</v>
      </c>
    </row>
    <row r="229" spans="1:9" s="71" customFormat="1" ht="21" customHeight="1">
      <c r="A229" s="35" t="s">
        <v>174</v>
      </c>
      <c r="B229" s="63"/>
      <c r="C229" s="63" t="s">
        <v>233</v>
      </c>
      <c r="D229" s="63" t="s">
        <v>167</v>
      </c>
      <c r="E229" s="63" t="s">
        <v>279</v>
      </c>
      <c r="F229" s="68" t="s">
        <v>175</v>
      </c>
      <c r="G229" s="94">
        <f>SUM(G230:G231)</f>
        <v>885.3</v>
      </c>
      <c r="H229" s="94">
        <f>SUM(H230:H231)</f>
        <v>885.3</v>
      </c>
      <c r="I229" s="34">
        <f t="shared" si="6"/>
        <v>100</v>
      </c>
    </row>
    <row r="230" spans="1:9" s="71" customFormat="1" ht="15.75" customHeight="1" hidden="1">
      <c r="A230" s="95" t="s">
        <v>393</v>
      </c>
      <c r="B230" s="63"/>
      <c r="C230" s="63" t="s">
        <v>233</v>
      </c>
      <c r="D230" s="63" t="s">
        <v>167</v>
      </c>
      <c r="E230" s="63" t="s">
        <v>394</v>
      </c>
      <c r="F230" s="68" t="s">
        <v>175</v>
      </c>
      <c r="G230" s="94">
        <f>SUM('[1]Ведомств.'!F188)</f>
        <v>0</v>
      </c>
      <c r="H230" s="94">
        <f>SUM('[1]Ведомств.'!G188)</f>
        <v>0</v>
      </c>
      <c r="I230" s="34" t="e">
        <f t="shared" si="6"/>
        <v>#DIV/0!</v>
      </c>
    </row>
    <row r="231" spans="1:9" s="71" customFormat="1" ht="15.75" customHeight="1">
      <c r="A231" s="95" t="s">
        <v>395</v>
      </c>
      <c r="B231" s="63"/>
      <c r="C231" s="63" t="s">
        <v>233</v>
      </c>
      <c r="D231" s="63" t="s">
        <v>167</v>
      </c>
      <c r="E231" s="63" t="s">
        <v>396</v>
      </c>
      <c r="F231" s="68" t="s">
        <v>175</v>
      </c>
      <c r="G231" s="94">
        <v>885.3</v>
      </c>
      <c r="H231" s="94">
        <v>885.3</v>
      </c>
      <c r="I231" s="34">
        <f t="shared" si="6"/>
        <v>100</v>
      </c>
    </row>
    <row r="232" spans="1:9" s="71" customFormat="1" ht="15">
      <c r="A232" s="95" t="s">
        <v>273</v>
      </c>
      <c r="B232" s="63"/>
      <c r="C232" s="63" t="s">
        <v>233</v>
      </c>
      <c r="D232" s="63" t="s">
        <v>167</v>
      </c>
      <c r="E232" s="63" t="s">
        <v>279</v>
      </c>
      <c r="F232" s="68" t="s">
        <v>274</v>
      </c>
      <c r="G232" s="77">
        <f>SUM(G234)</f>
        <v>19446.7</v>
      </c>
      <c r="H232" s="77">
        <f>SUM(H234)</f>
        <v>19445.9</v>
      </c>
      <c r="I232" s="34">
        <f t="shared" si="6"/>
        <v>99.9958861914875</v>
      </c>
    </row>
    <row r="233" spans="1:9" s="71" customFormat="1" ht="28.5" customHeight="1">
      <c r="A233" s="46" t="s">
        <v>397</v>
      </c>
      <c r="B233" s="63"/>
      <c r="C233" s="64" t="s">
        <v>233</v>
      </c>
      <c r="D233" s="64" t="s">
        <v>167</v>
      </c>
      <c r="E233" s="64" t="s">
        <v>398</v>
      </c>
      <c r="F233" s="65" t="s">
        <v>274</v>
      </c>
      <c r="G233" s="34">
        <f>SUM(G234)</f>
        <v>19446.7</v>
      </c>
      <c r="H233" s="34">
        <f>SUM(H234)</f>
        <v>19445.9</v>
      </c>
      <c r="I233" s="34">
        <f t="shared" si="6"/>
        <v>99.9958861914875</v>
      </c>
    </row>
    <row r="234" spans="1:9" s="71" customFormat="1" ht="42" customHeight="1">
      <c r="A234" s="49" t="s">
        <v>383</v>
      </c>
      <c r="B234" s="63"/>
      <c r="C234" s="64" t="s">
        <v>233</v>
      </c>
      <c r="D234" s="64" t="s">
        <v>167</v>
      </c>
      <c r="E234" s="64" t="s">
        <v>399</v>
      </c>
      <c r="F234" s="65" t="s">
        <v>274</v>
      </c>
      <c r="G234" s="34">
        <v>19446.7</v>
      </c>
      <c r="H234" s="34">
        <v>19445.9</v>
      </c>
      <c r="I234" s="34">
        <f t="shared" si="6"/>
        <v>99.9958861914875</v>
      </c>
    </row>
    <row r="235" spans="1:9" s="71" customFormat="1" ht="15" hidden="1">
      <c r="A235" s="96" t="s">
        <v>400</v>
      </c>
      <c r="B235" s="63"/>
      <c r="C235" s="63" t="s">
        <v>233</v>
      </c>
      <c r="D235" s="63" t="s">
        <v>167</v>
      </c>
      <c r="E235" s="63" t="s">
        <v>279</v>
      </c>
      <c r="F235" s="68" t="s">
        <v>401</v>
      </c>
      <c r="G235" s="97"/>
      <c r="H235" s="97"/>
      <c r="I235" s="34" t="e">
        <f t="shared" si="6"/>
        <v>#DIV/0!</v>
      </c>
    </row>
    <row r="236" spans="1:9" s="71" customFormat="1" ht="32.25" customHeight="1">
      <c r="A236" s="96" t="s">
        <v>402</v>
      </c>
      <c r="B236" s="63"/>
      <c r="C236" s="64" t="s">
        <v>233</v>
      </c>
      <c r="D236" s="64" t="s">
        <v>167</v>
      </c>
      <c r="E236" s="64" t="s">
        <v>403</v>
      </c>
      <c r="F236" s="65"/>
      <c r="G236" s="34">
        <f>SUM(G237)</f>
        <v>2913.6</v>
      </c>
      <c r="H236" s="34">
        <f>SUM(H237)</f>
        <v>2808.1</v>
      </c>
      <c r="I236" s="34">
        <f t="shared" si="6"/>
        <v>96.37904997254256</v>
      </c>
    </row>
    <row r="237" spans="1:9" s="71" customFormat="1" ht="22.5" customHeight="1">
      <c r="A237" s="35" t="s">
        <v>174</v>
      </c>
      <c r="B237" s="63"/>
      <c r="C237" s="64" t="s">
        <v>233</v>
      </c>
      <c r="D237" s="64" t="s">
        <v>167</v>
      </c>
      <c r="E237" s="64" t="s">
        <v>403</v>
      </c>
      <c r="F237" s="65" t="s">
        <v>175</v>
      </c>
      <c r="G237" s="34">
        <v>2913.6</v>
      </c>
      <c r="H237" s="34">
        <v>2808.1</v>
      </c>
      <c r="I237" s="34">
        <f t="shared" si="6"/>
        <v>96.37904997254256</v>
      </c>
    </row>
    <row r="238" spans="1:9" s="50" customFormat="1" ht="21" customHeight="1">
      <c r="A238" s="46" t="s">
        <v>404</v>
      </c>
      <c r="B238" s="47"/>
      <c r="C238" s="48" t="s">
        <v>233</v>
      </c>
      <c r="D238" s="48" t="s">
        <v>169</v>
      </c>
      <c r="E238" s="48"/>
      <c r="F238" s="36"/>
      <c r="G238" s="34">
        <f>SUM(G246+G260)+G241+G256+G243</f>
        <v>89956.90000000001</v>
      </c>
      <c r="H238" s="34">
        <f>SUM(H246+H260)+H241+H256+H243</f>
        <v>84892.79999999999</v>
      </c>
      <c r="I238" s="34">
        <f t="shared" si="6"/>
        <v>94.37052632983126</v>
      </c>
    </row>
    <row r="239" spans="1:9" s="50" customFormat="1" ht="18" customHeight="1">
      <c r="A239" s="30" t="s">
        <v>253</v>
      </c>
      <c r="B239" s="31"/>
      <c r="C239" s="48" t="s">
        <v>233</v>
      </c>
      <c r="D239" s="48" t="s">
        <v>169</v>
      </c>
      <c r="E239" s="32" t="s">
        <v>230</v>
      </c>
      <c r="F239" s="33"/>
      <c r="G239" s="34">
        <f>SUM(G241)</f>
        <v>0</v>
      </c>
      <c r="H239" s="34">
        <f>SUM(H241)</f>
        <v>1207.9</v>
      </c>
      <c r="I239" s="34"/>
    </row>
    <row r="240" spans="1:9" s="50" customFormat="1" ht="21.75" customHeight="1" hidden="1">
      <c r="A240" s="30" t="s">
        <v>405</v>
      </c>
      <c r="B240" s="31"/>
      <c r="C240" s="48" t="s">
        <v>233</v>
      </c>
      <c r="D240" s="48" t="s">
        <v>169</v>
      </c>
      <c r="E240" s="48" t="s">
        <v>406</v>
      </c>
      <c r="F240" s="33" t="s">
        <v>407</v>
      </c>
      <c r="G240" s="34"/>
      <c r="H240" s="34"/>
      <c r="I240" s="34" t="e">
        <f t="shared" si="6"/>
        <v>#DIV/0!</v>
      </c>
    </row>
    <row r="241" spans="1:9" s="50" customFormat="1" ht="21" customHeight="1">
      <c r="A241" s="30" t="s">
        <v>255</v>
      </c>
      <c r="B241" s="31"/>
      <c r="C241" s="48" t="s">
        <v>233</v>
      </c>
      <c r="D241" s="48" t="s">
        <v>169</v>
      </c>
      <c r="E241" s="48" t="s">
        <v>256</v>
      </c>
      <c r="F241" s="33"/>
      <c r="G241" s="34">
        <f>SUM(G242)</f>
        <v>0</v>
      </c>
      <c r="H241" s="34">
        <f>SUM(H242)</f>
        <v>1207.9</v>
      </c>
      <c r="I241" s="34"/>
    </row>
    <row r="242" spans="1:9" s="50" customFormat="1" ht="20.25" customHeight="1">
      <c r="A242" s="35" t="s">
        <v>174</v>
      </c>
      <c r="B242" s="31"/>
      <c r="C242" s="48" t="s">
        <v>233</v>
      </c>
      <c r="D242" s="48" t="s">
        <v>169</v>
      </c>
      <c r="E242" s="48" t="s">
        <v>256</v>
      </c>
      <c r="F242" s="33" t="s">
        <v>175</v>
      </c>
      <c r="G242" s="34"/>
      <c r="H242" s="34">
        <v>1207.9</v>
      </c>
      <c r="I242" s="34"/>
    </row>
    <row r="243" spans="1:9" s="50" customFormat="1" ht="18" customHeight="1">
      <c r="A243" s="98" t="s">
        <v>408</v>
      </c>
      <c r="B243" s="31"/>
      <c r="C243" s="48" t="s">
        <v>233</v>
      </c>
      <c r="D243" s="48" t="s">
        <v>169</v>
      </c>
      <c r="E243" s="48" t="s">
        <v>409</v>
      </c>
      <c r="F243" s="33"/>
      <c r="G243" s="34">
        <f>SUM(G244)</f>
        <v>10552.1</v>
      </c>
      <c r="H243" s="34">
        <f>SUM(H244)</f>
        <v>5582.2</v>
      </c>
      <c r="I243" s="34">
        <f t="shared" si="6"/>
        <v>52.90131822101761</v>
      </c>
    </row>
    <row r="244" spans="1:9" s="50" customFormat="1" ht="18" customHeight="1">
      <c r="A244" s="98" t="s">
        <v>410</v>
      </c>
      <c r="B244" s="31"/>
      <c r="C244" s="48" t="s">
        <v>233</v>
      </c>
      <c r="D244" s="48" t="s">
        <v>169</v>
      </c>
      <c r="E244" s="48" t="s">
        <v>411</v>
      </c>
      <c r="F244" s="33"/>
      <c r="G244" s="34">
        <f>SUM(G245)</f>
        <v>10552.1</v>
      </c>
      <c r="H244" s="34">
        <f>SUM(H245)</f>
        <v>5582.2</v>
      </c>
      <c r="I244" s="34">
        <f t="shared" si="6"/>
        <v>52.90131822101761</v>
      </c>
    </row>
    <row r="245" spans="1:9" s="50" customFormat="1" ht="18" customHeight="1">
      <c r="A245" s="30" t="s">
        <v>342</v>
      </c>
      <c r="B245" s="31"/>
      <c r="C245" s="48" t="s">
        <v>233</v>
      </c>
      <c r="D245" s="48" t="s">
        <v>169</v>
      </c>
      <c r="E245" s="48" t="s">
        <v>411</v>
      </c>
      <c r="F245" s="33" t="s">
        <v>343</v>
      </c>
      <c r="G245" s="34">
        <v>10552.1</v>
      </c>
      <c r="H245" s="34">
        <v>5582.2</v>
      </c>
      <c r="I245" s="34">
        <f t="shared" si="6"/>
        <v>52.90131822101761</v>
      </c>
    </row>
    <row r="246" spans="1:9" s="50" customFormat="1" ht="15">
      <c r="A246" s="75" t="s">
        <v>412</v>
      </c>
      <c r="B246" s="47"/>
      <c r="C246" s="48" t="s">
        <v>233</v>
      </c>
      <c r="D246" s="48" t="s">
        <v>169</v>
      </c>
      <c r="E246" s="48" t="s">
        <v>406</v>
      </c>
      <c r="F246" s="36"/>
      <c r="G246" s="34">
        <f>SUM(G247+G249+G251)</f>
        <v>79404.8</v>
      </c>
      <c r="H246" s="34">
        <f>SUM(H247+H249+H251)</f>
        <v>78102.7</v>
      </c>
      <c r="I246" s="34">
        <f t="shared" si="6"/>
        <v>98.36017469976626</v>
      </c>
    </row>
    <row r="247" spans="1:9" s="50" customFormat="1" ht="42.75">
      <c r="A247" s="93" t="s">
        <v>413</v>
      </c>
      <c r="B247" s="47"/>
      <c r="C247" s="48" t="s">
        <v>233</v>
      </c>
      <c r="D247" s="48" t="s">
        <v>169</v>
      </c>
      <c r="E247" s="48" t="s">
        <v>414</v>
      </c>
      <c r="F247" s="36"/>
      <c r="G247" s="34">
        <f>SUM(G248)</f>
        <v>11556.9</v>
      </c>
      <c r="H247" s="34">
        <f>SUM(H248)</f>
        <v>10485.7</v>
      </c>
      <c r="I247" s="34">
        <f t="shared" si="6"/>
        <v>90.73107840337808</v>
      </c>
    </row>
    <row r="248" spans="1:9" s="50" customFormat="1" ht="17.25" customHeight="1">
      <c r="A248" s="30" t="s">
        <v>342</v>
      </c>
      <c r="B248" s="31"/>
      <c r="C248" s="32" t="s">
        <v>233</v>
      </c>
      <c r="D248" s="48" t="s">
        <v>169</v>
      </c>
      <c r="E248" s="48" t="s">
        <v>414</v>
      </c>
      <c r="F248" s="33" t="s">
        <v>343</v>
      </c>
      <c r="G248" s="34">
        <v>11556.9</v>
      </c>
      <c r="H248" s="34">
        <v>10485.7</v>
      </c>
      <c r="I248" s="34">
        <f t="shared" si="6"/>
        <v>90.73107840337808</v>
      </c>
    </row>
    <row r="249" spans="1:9" s="50" customFormat="1" ht="61.5" customHeight="1">
      <c r="A249" s="93" t="s">
        <v>415</v>
      </c>
      <c r="B249" s="31"/>
      <c r="C249" s="48" t="s">
        <v>233</v>
      </c>
      <c r="D249" s="48" t="s">
        <v>169</v>
      </c>
      <c r="E249" s="48" t="s">
        <v>416</v>
      </c>
      <c r="F249" s="33"/>
      <c r="G249" s="34">
        <f>SUM(G250)</f>
        <v>326.3</v>
      </c>
      <c r="H249" s="34">
        <f>SUM(H250)</f>
        <v>320.8</v>
      </c>
      <c r="I249" s="34">
        <f t="shared" si="6"/>
        <v>98.31443456941464</v>
      </c>
    </row>
    <row r="250" spans="1:9" s="50" customFormat="1" ht="17.25" customHeight="1">
      <c r="A250" s="30" t="s">
        <v>342</v>
      </c>
      <c r="B250" s="31"/>
      <c r="C250" s="48" t="s">
        <v>233</v>
      </c>
      <c r="D250" s="48" t="s">
        <v>169</v>
      </c>
      <c r="E250" s="48" t="s">
        <v>416</v>
      </c>
      <c r="F250" s="33" t="s">
        <v>343</v>
      </c>
      <c r="G250" s="34">
        <v>326.3</v>
      </c>
      <c r="H250" s="34">
        <v>320.8</v>
      </c>
      <c r="I250" s="34">
        <f t="shared" si="6"/>
        <v>98.31443456941464</v>
      </c>
    </row>
    <row r="251" spans="1:9" s="50" customFormat="1" ht="18" customHeight="1">
      <c r="A251" s="49" t="s">
        <v>417</v>
      </c>
      <c r="B251" s="47"/>
      <c r="C251" s="48" t="s">
        <v>233</v>
      </c>
      <c r="D251" s="48" t="s">
        <v>169</v>
      </c>
      <c r="E251" s="48" t="s">
        <v>418</v>
      </c>
      <c r="F251" s="36"/>
      <c r="G251" s="34">
        <f>SUM(G252)+G253+G254</f>
        <v>67521.6</v>
      </c>
      <c r="H251" s="34">
        <f>SUM(H252)+H253+H254</f>
        <v>67296.2</v>
      </c>
      <c r="I251" s="34">
        <f t="shared" si="6"/>
        <v>99.66618089618729</v>
      </c>
    </row>
    <row r="252" spans="1:9" s="50" customFormat="1" ht="18" customHeight="1">
      <c r="A252" s="30" t="s">
        <v>342</v>
      </c>
      <c r="B252" s="47"/>
      <c r="C252" s="48" t="s">
        <v>233</v>
      </c>
      <c r="D252" s="48" t="s">
        <v>169</v>
      </c>
      <c r="E252" s="48" t="s">
        <v>418</v>
      </c>
      <c r="F252" s="33" t="s">
        <v>343</v>
      </c>
      <c r="G252" s="77">
        <v>21680.6</v>
      </c>
      <c r="H252" s="77">
        <v>21680.6</v>
      </c>
      <c r="I252" s="34">
        <f t="shared" si="6"/>
        <v>100</v>
      </c>
    </row>
    <row r="253" spans="1:9" s="50" customFormat="1" ht="18" customHeight="1">
      <c r="A253" s="35" t="s">
        <v>174</v>
      </c>
      <c r="B253" s="47"/>
      <c r="C253" s="48" t="s">
        <v>233</v>
      </c>
      <c r="D253" s="48" t="s">
        <v>169</v>
      </c>
      <c r="E253" s="48" t="s">
        <v>418</v>
      </c>
      <c r="F253" s="33" t="s">
        <v>175</v>
      </c>
      <c r="G253" s="77">
        <v>35841</v>
      </c>
      <c r="H253" s="77">
        <v>35615.6</v>
      </c>
      <c r="I253" s="34">
        <f t="shared" si="6"/>
        <v>99.37111129711782</v>
      </c>
    </row>
    <row r="254" spans="1:9" s="50" customFormat="1" ht="18" customHeight="1">
      <c r="A254" s="49" t="s">
        <v>419</v>
      </c>
      <c r="B254" s="47"/>
      <c r="C254" s="48" t="s">
        <v>233</v>
      </c>
      <c r="D254" s="48" t="s">
        <v>169</v>
      </c>
      <c r="E254" s="48" t="s">
        <v>420</v>
      </c>
      <c r="F254" s="33"/>
      <c r="G254" s="77">
        <f>SUM(G255)</f>
        <v>10000</v>
      </c>
      <c r="H254" s="77">
        <f>SUM(H255)</f>
        <v>10000</v>
      </c>
      <c r="I254" s="34">
        <f t="shared" si="6"/>
        <v>100</v>
      </c>
    </row>
    <row r="255" spans="1:9" s="50" customFormat="1" ht="18" customHeight="1">
      <c r="A255" s="35" t="s">
        <v>174</v>
      </c>
      <c r="B255" s="47"/>
      <c r="C255" s="48" t="s">
        <v>233</v>
      </c>
      <c r="D255" s="48" t="s">
        <v>169</v>
      </c>
      <c r="E255" s="48" t="s">
        <v>420</v>
      </c>
      <c r="F255" s="33" t="s">
        <v>175</v>
      </c>
      <c r="G255" s="77">
        <v>10000</v>
      </c>
      <c r="H255" s="77">
        <v>10000</v>
      </c>
      <c r="I255" s="34">
        <f t="shared" si="6"/>
        <v>100</v>
      </c>
    </row>
    <row r="256" spans="1:9" s="50" customFormat="1" ht="15.75" customHeight="1" hidden="1">
      <c r="A256" s="49" t="s">
        <v>331</v>
      </c>
      <c r="B256" s="63"/>
      <c r="C256" s="48" t="s">
        <v>233</v>
      </c>
      <c r="D256" s="48" t="s">
        <v>169</v>
      </c>
      <c r="E256" s="64" t="s">
        <v>332</v>
      </c>
      <c r="F256" s="36"/>
      <c r="G256" s="77">
        <f aca="true" t="shared" si="7" ref="G256:H258">SUM(G257)</f>
        <v>0</v>
      </c>
      <c r="H256" s="77">
        <f t="shared" si="7"/>
        <v>0</v>
      </c>
      <c r="I256" s="34" t="e">
        <f t="shared" si="6"/>
        <v>#DIV/0!</v>
      </c>
    </row>
    <row r="257" spans="1:9" s="50" customFormat="1" ht="15.75" customHeight="1" hidden="1">
      <c r="A257" s="30" t="s">
        <v>381</v>
      </c>
      <c r="B257" s="63"/>
      <c r="C257" s="48" t="s">
        <v>233</v>
      </c>
      <c r="D257" s="48" t="s">
        <v>169</v>
      </c>
      <c r="E257" s="64" t="s">
        <v>382</v>
      </c>
      <c r="F257" s="36"/>
      <c r="G257" s="77">
        <f t="shared" si="7"/>
        <v>0</v>
      </c>
      <c r="H257" s="77">
        <f t="shared" si="7"/>
        <v>0</v>
      </c>
      <c r="I257" s="34" t="e">
        <f t="shared" si="6"/>
        <v>#DIV/0!</v>
      </c>
    </row>
    <row r="258" spans="1:9" s="50" customFormat="1" ht="30.75" customHeight="1" hidden="1">
      <c r="A258" s="49" t="s">
        <v>421</v>
      </c>
      <c r="B258" s="31"/>
      <c r="C258" s="48" t="s">
        <v>233</v>
      </c>
      <c r="D258" s="48" t="s">
        <v>169</v>
      </c>
      <c r="E258" s="64" t="s">
        <v>422</v>
      </c>
      <c r="F258" s="36"/>
      <c r="G258" s="77">
        <f t="shared" si="7"/>
        <v>0</v>
      </c>
      <c r="H258" s="77">
        <f t="shared" si="7"/>
        <v>0</v>
      </c>
      <c r="I258" s="34" t="e">
        <f t="shared" si="6"/>
        <v>#DIV/0!</v>
      </c>
    </row>
    <row r="259" spans="1:9" s="50" customFormat="1" ht="15.75" customHeight="1" hidden="1">
      <c r="A259" s="35" t="s">
        <v>174</v>
      </c>
      <c r="B259" s="47"/>
      <c r="C259" s="48" t="s">
        <v>233</v>
      </c>
      <c r="D259" s="48" t="s">
        <v>169</v>
      </c>
      <c r="E259" s="64" t="s">
        <v>422</v>
      </c>
      <c r="F259" s="33" t="s">
        <v>175</v>
      </c>
      <c r="G259" s="77"/>
      <c r="H259" s="77"/>
      <c r="I259" s="34" t="e">
        <f t="shared" si="6"/>
        <v>#DIV/0!</v>
      </c>
    </row>
    <row r="260" spans="1:9" s="50" customFormat="1" ht="15.75" customHeight="1" hidden="1">
      <c r="A260" s="93" t="s">
        <v>278</v>
      </c>
      <c r="B260" s="99"/>
      <c r="C260" s="63" t="s">
        <v>233</v>
      </c>
      <c r="D260" s="63" t="s">
        <v>169</v>
      </c>
      <c r="E260" s="63" t="s">
        <v>279</v>
      </c>
      <c r="F260" s="68"/>
      <c r="G260" s="77">
        <f>SUM(G261)</f>
        <v>0</v>
      </c>
      <c r="H260" s="77">
        <f>SUM(H261)</f>
        <v>0</v>
      </c>
      <c r="I260" s="34" t="e">
        <f t="shared" si="6"/>
        <v>#DIV/0!</v>
      </c>
    </row>
    <row r="261" spans="1:9" s="50" customFormat="1" ht="15.75" customHeight="1" hidden="1">
      <c r="A261" s="35" t="s">
        <v>174</v>
      </c>
      <c r="B261" s="99"/>
      <c r="C261" s="63" t="s">
        <v>233</v>
      </c>
      <c r="D261" s="63" t="s">
        <v>169</v>
      </c>
      <c r="E261" s="63" t="s">
        <v>279</v>
      </c>
      <c r="F261" s="33" t="s">
        <v>175</v>
      </c>
      <c r="G261" s="77">
        <f>SUM(G262:G265)</f>
        <v>0</v>
      </c>
      <c r="H261" s="77">
        <f>SUM(H262:H265)</f>
        <v>0</v>
      </c>
      <c r="I261" s="34" t="e">
        <f t="shared" si="6"/>
        <v>#DIV/0!</v>
      </c>
    </row>
    <row r="262" spans="1:9" s="50" customFormat="1" ht="27.75" customHeight="1" hidden="1">
      <c r="A262" s="35" t="s">
        <v>423</v>
      </c>
      <c r="B262" s="99"/>
      <c r="C262" s="64" t="s">
        <v>233</v>
      </c>
      <c r="D262" s="64" t="s">
        <v>169</v>
      </c>
      <c r="E262" s="64" t="s">
        <v>424</v>
      </c>
      <c r="F262" s="33" t="s">
        <v>175</v>
      </c>
      <c r="G262" s="77"/>
      <c r="H262" s="77"/>
      <c r="I262" s="34" t="e">
        <f t="shared" si="6"/>
        <v>#DIV/0!</v>
      </c>
    </row>
    <row r="263" spans="1:9" s="50" customFormat="1" ht="34.5" customHeight="1" hidden="1">
      <c r="A263" s="95" t="s">
        <v>425</v>
      </c>
      <c r="B263" s="99"/>
      <c r="C263" s="64" t="s">
        <v>233</v>
      </c>
      <c r="D263" s="64" t="s">
        <v>169</v>
      </c>
      <c r="E263" s="64" t="s">
        <v>426</v>
      </c>
      <c r="F263" s="33" t="s">
        <v>175</v>
      </c>
      <c r="G263" s="77"/>
      <c r="H263" s="77"/>
      <c r="I263" s="34" t="e">
        <f t="shared" si="6"/>
        <v>#DIV/0!</v>
      </c>
    </row>
    <row r="264" spans="1:9" s="50" customFormat="1" ht="26.25" customHeight="1" hidden="1">
      <c r="A264" s="95" t="s">
        <v>427</v>
      </c>
      <c r="B264" s="99"/>
      <c r="C264" s="64" t="s">
        <v>233</v>
      </c>
      <c r="D264" s="64" t="s">
        <v>169</v>
      </c>
      <c r="E264" s="64" t="s">
        <v>428</v>
      </c>
      <c r="F264" s="33" t="s">
        <v>175</v>
      </c>
      <c r="G264" s="77"/>
      <c r="H264" s="77"/>
      <c r="I264" s="34" t="e">
        <f t="shared" si="6"/>
        <v>#DIV/0!</v>
      </c>
    </row>
    <row r="265" spans="1:9" s="50" customFormat="1" ht="35.25" customHeight="1" hidden="1">
      <c r="A265" s="96" t="s">
        <v>429</v>
      </c>
      <c r="B265" s="99"/>
      <c r="C265" s="64" t="s">
        <v>233</v>
      </c>
      <c r="D265" s="64" t="s">
        <v>169</v>
      </c>
      <c r="E265" s="64" t="s">
        <v>430</v>
      </c>
      <c r="F265" s="33"/>
      <c r="G265" s="77">
        <f>SUM(G266)</f>
        <v>0</v>
      </c>
      <c r="H265" s="77">
        <f>SUM(H266)</f>
        <v>0</v>
      </c>
      <c r="I265" s="34" t="e">
        <f t="shared" si="6"/>
        <v>#DIV/0!</v>
      </c>
    </row>
    <row r="266" spans="1:9" s="50" customFormat="1" ht="32.25" customHeight="1" hidden="1">
      <c r="A266" s="95" t="s">
        <v>421</v>
      </c>
      <c r="B266" s="99"/>
      <c r="C266" s="64" t="s">
        <v>233</v>
      </c>
      <c r="D266" s="64" t="s">
        <v>169</v>
      </c>
      <c r="E266" s="64" t="s">
        <v>431</v>
      </c>
      <c r="F266" s="33"/>
      <c r="G266" s="77">
        <f>SUM(G267)</f>
        <v>0</v>
      </c>
      <c r="H266" s="77">
        <f>SUM(H267)</f>
        <v>0</v>
      </c>
      <c r="I266" s="34" t="e">
        <f t="shared" si="6"/>
        <v>#DIV/0!</v>
      </c>
    </row>
    <row r="267" spans="1:9" s="50" customFormat="1" ht="21.75" customHeight="1" hidden="1">
      <c r="A267" s="35" t="s">
        <v>174</v>
      </c>
      <c r="B267" s="99"/>
      <c r="C267" s="64" t="s">
        <v>233</v>
      </c>
      <c r="D267" s="64" t="s">
        <v>169</v>
      </c>
      <c r="E267" s="64" t="s">
        <v>431</v>
      </c>
      <c r="F267" s="33" t="s">
        <v>175</v>
      </c>
      <c r="G267" s="77"/>
      <c r="H267" s="77"/>
      <c r="I267" s="34" t="e">
        <f t="shared" si="6"/>
        <v>#DIV/0!</v>
      </c>
    </row>
    <row r="268" spans="1:9" s="50" customFormat="1" ht="17.25" customHeight="1">
      <c r="A268" s="100" t="s">
        <v>432</v>
      </c>
      <c r="B268" s="47"/>
      <c r="C268" s="48" t="s">
        <v>233</v>
      </c>
      <c r="D268" s="48" t="s">
        <v>177</v>
      </c>
      <c r="E268" s="48"/>
      <c r="F268" s="36"/>
      <c r="G268" s="34">
        <f>SUM(G271+G284)+G269</f>
        <v>115540.90000000001</v>
      </c>
      <c r="H268" s="34">
        <f>SUM(H271+H284)+H269</f>
        <v>114863.99999999999</v>
      </c>
      <c r="I268" s="34">
        <f t="shared" si="6"/>
        <v>99.41414685189397</v>
      </c>
    </row>
    <row r="269" spans="1:9" s="50" customFormat="1" ht="73.5" customHeight="1" hidden="1">
      <c r="A269" s="101" t="s">
        <v>433</v>
      </c>
      <c r="B269" s="47"/>
      <c r="C269" s="48" t="s">
        <v>233</v>
      </c>
      <c r="D269" s="48" t="s">
        <v>177</v>
      </c>
      <c r="E269" s="48" t="s">
        <v>434</v>
      </c>
      <c r="F269" s="36"/>
      <c r="G269" s="34">
        <f>SUM(G270)</f>
        <v>0</v>
      </c>
      <c r="H269" s="34">
        <f>SUM(H270)</f>
        <v>0</v>
      </c>
      <c r="I269" s="34" t="e">
        <f t="shared" si="6"/>
        <v>#DIV/0!</v>
      </c>
    </row>
    <row r="270" spans="1:9" s="50" customFormat="1" ht="64.5" customHeight="1" hidden="1">
      <c r="A270" s="101" t="s">
        <v>435</v>
      </c>
      <c r="B270" s="47"/>
      <c r="C270" s="48" t="s">
        <v>233</v>
      </c>
      <c r="D270" s="48" t="s">
        <v>177</v>
      </c>
      <c r="E270" s="48" t="s">
        <v>434</v>
      </c>
      <c r="F270" s="36" t="s">
        <v>436</v>
      </c>
      <c r="G270" s="34">
        <f>SUM('[1]Ведомств.'!F218)</f>
        <v>0</v>
      </c>
      <c r="H270" s="34">
        <f>SUM('[1]Ведомств.'!G218)</f>
        <v>0</v>
      </c>
      <c r="I270" s="34" t="e">
        <f t="shared" si="6"/>
        <v>#DIV/0!</v>
      </c>
    </row>
    <row r="271" spans="1:9" s="50" customFormat="1" ht="15">
      <c r="A271" s="100" t="s">
        <v>432</v>
      </c>
      <c r="B271" s="63"/>
      <c r="C271" s="48" t="s">
        <v>233</v>
      </c>
      <c r="D271" s="48" t="s">
        <v>177</v>
      </c>
      <c r="E271" s="64" t="s">
        <v>437</v>
      </c>
      <c r="F271" s="65"/>
      <c r="G271" s="34">
        <f>SUM(G272+G276+G280+G282)+G278</f>
        <v>114940.90000000001</v>
      </c>
      <c r="H271" s="34">
        <f>SUM(H272+H276+H280+H282)+H278</f>
        <v>114263.99999999999</v>
      </c>
      <c r="I271" s="34">
        <f t="shared" si="6"/>
        <v>99.41108865512622</v>
      </c>
    </row>
    <row r="272" spans="1:9" s="50" customFormat="1" ht="15">
      <c r="A272" s="93" t="s">
        <v>438</v>
      </c>
      <c r="B272" s="99"/>
      <c r="C272" s="48" t="s">
        <v>233</v>
      </c>
      <c r="D272" s="48" t="s">
        <v>177</v>
      </c>
      <c r="E272" s="64" t="s">
        <v>439</v>
      </c>
      <c r="F272" s="65"/>
      <c r="G272" s="34">
        <f>SUM(G273:G274)</f>
        <v>24486.4</v>
      </c>
      <c r="H272" s="34">
        <f>SUM(H273:H274)</f>
        <v>24104.5</v>
      </c>
      <c r="I272" s="34">
        <f t="shared" si="6"/>
        <v>98.44035872974385</v>
      </c>
    </row>
    <row r="273" spans="1:9" s="50" customFormat="1" ht="15">
      <c r="A273" s="35" t="s">
        <v>174</v>
      </c>
      <c r="B273" s="99"/>
      <c r="C273" s="48" t="s">
        <v>233</v>
      </c>
      <c r="D273" s="48" t="s">
        <v>177</v>
      </c>
      <c r="E273" s="64" t="s">
        <v>439</v>
      </c>
      <c r="F273" s="65" t="s">
        <v>175</v>
      </c>
      <c r="G273" s="34">
        <v>17914.6</v>
      </c>
      <c r="H273" s="34">
        <v>17431.5</v>
      </c>
      <c r="I273" s="34">
        <f t="shared" si="6"/>
        <v>97.30331684771082</v>
      </c>
    </row>
    <row r="274" spans="1:9" s="50" customFormat="1" ht="57">
      <c r="A274" s="35" t="s">
        <v>221</v>
      </c>
      <c r="B274" s="99"/>
      <c r="C274" s="48" t="s">
        <v>233</v>
      </c>
      <c r="D274" s="48" t="s">
        <v>177</v>
      </c>
      <c r="E274" s="64" t="s">
        <v>440</v>
      </c>
      <c r="F274" s="65"/>
      <c r="G274" s="34">
        <f>SUM(G275)</f>
        <v>6571.800000000001</v>
      </c>
      <c r="H274" s="34">
        <f>SUM(H275)</f>
        <v>6673</v>
      </c>
      <c r="I274" s="34">
        <f aca="true" t="shared" si="8" ref="I274:I337">SUM(H274/G274*100)</f>
        <v>101.53991296144129</v>
      </c>
    </row>
    <row r="275" spans="1:9" s="50" customFormat="1" ht="15">
      <c r="A275" s="35" t="s">
        <v>174</v>
      </c>
      <c r="B275" s="99"/>
      <c r="C275" s="48" t="s">
        <v>233</v>
      </c>
      <c r="D275" s="48" t="s">
        <v>177</v>
      </c>
      <c r="E275" s="64" t="s">
        <v>440</v>
      </c>
      <c r="F275" s="65" t="s">
        <v>175</v>
      </c>
      <c r="G275" s="34">
        <f>8606.7-2034.9</f>
        <v>6571.800000000001</v>
      </c>
      <c r="H275" s="34">
        <v>6673</v>
      </c>
      <c r="I275" s="34">
        <f t="shared" si="8"/>
        <v>101.53991296144129</v>
      </c>
    </row>
    <row r="276" spans="1:9" s="50" customFormat="1" ht="42.75">
      <c r="A276" s="93" t="s">
        <v>441</v>
      </c>
      <c r="B276" s="99"/>
      <c r="C276" s="48" t="s">
        <v>233</v>
      </c>
      <c r="D276" s="48" t="s">
        <v>177</v>
      </c>
      <c r="E276" s="64" t="s">
        <v>442</v>
      </c>
      <c r="F276" s="65"/>
      <c r="G276" s="34">
        <f>SUM(G277)</f>
        <v>64698.1</v>
      </c>
      <c r="H276" s="34">
        <f>SUM(H277)</f>
        <v>65279.2</v>
      </c>
      <c r="I276" s="34">
        <f t="shared" si="8"/>
        <v>100.89817166191897</v>
      </c>
    </row>
    <row r="277" spans="1:9" s="50" customFormat="1" ht="15">
      <c r="A277" s="35" t="s">
        <v>174</v>
      </c>
      <c r="B277" s="99"/>
      <c r="C277" s="48" t="s">
        <v>233</v>
      </c>
      <c r="D277" s="48" t="s">
        <v>177</v>
      </c>
      <c r="E277" s="64" t="s">
        <v>442</v>
      </c>
      <c r="F277" s="65" t="s">
        <v>175</v>
      </c>
      <c r="G277" s="34">
        <v>64698.1</v>
      </c>
      <c r="H277" s="34">
        <v>65279.2</v>
      </c>
      <c r="I277" s="34">
        <f t="shared" si="8"/>
        <v>100.89817166191897</v>
      </c>
    </row>
    <row r="278" spans="1:9" s="50" customFormat="1" ht="57">
      <c r="A278" s="35" t="s">
        <v>443</v>
      </c>
      <c r="B278" s="99"/>
      <c r="C278" s="48" t="s">
        <v>233</v>
      </c>
      <c r="D278" s="48" t="s">
        <v>177</v>
      </c>
      <c r="E278" s="64" t="s">
        <v>444</v>
      </c>
      <c r="F278" s="65"/>
      <c r="G278" s="34">
        <f>SUM(G279)</f>
        <v>2672.3</v>
      </c>
      <c r="H278" s="34">
        <f>SUM(H279)</f>
        <v>2672.2</v>
      </c>
      <c r="I278" s="34">
        <f t="shared" si="8"/>
        <v>99.9962579051753</v>
      </c>
    </row>
    <row r="279" spans="1:9" s="50" customFormat="1" ht="15">
      <c r="A279" s="35" t="s">
        <v>174</v>
      </c>
      <c r="B279" s="99"/>
      <c r="C279" s="48" t="s">
        <v>233</v>
      </c>
      <c r="D279" s="48" t="s">
        <v>177</v>
      </c>
      <c r="E279" s="64" t="s">
        <v>444</v>
      </c>
      <c r="F279" s="65" t="s">
        <v>175</v>
      </c>
      <c r="G279" s="34">
        <v>2672.3</v>
      </c>
      <c r="H279" s="34">
        <v>2672.2</v>
      </c>
      <c r="I279" s="34">
        <f t="shared" si="8"/>
        <v>99.9962579051753</v>
      </c>
    </row>
    <row r="280" spans="1:9" s="50" customFormat="1" ht="15">
      <c r="A280" s="93" t="s">
        <v>445</v>
      </c>
      <c r="B280" s="99"/>
      <c r="C280" s="48" t="s">
        <v>233</v>
      </c>
      <c r="D280" s="48" t="s">
        <v>177</v>
      </c>
      <c r="E280" s="63" t="s">
        <v>446</v>
      </c>
      <c r="F280" s="68"/>
      <c r="G280" s="34">
        <f>SUM(G281)</f>
        <v>811.8</v>
      </c>
      <c r="H280" s="34">
        <f>SUM(H281)</f>
        <v>653.2</v>
      </c>
      <c r="I280" s="34">
        <f t="shared" si="8"/>
        <v>80.46316826804633</v>
      </c>
    </row>
    <row r="281" spans="1:9" s="50" customFormat="1" ht="15">
      <c r="A281" s="35" t="s">
        <v>174</v>
      </c>
      <c r="B281" s="99"/>
      <c r="C281" s="48" t="s">
        <v>233</v>
      </c>
      <c r="D281" s="48" t="s">
        <v>177</v>
      </c>
      <c r="E281" s="63" t="s">
        <v>446</v>
      </c>
      <c r="F281" s="68" t="s">
        <v>175</v>
      </c>
      <c r="G281" s="34">
        <v>811.8</v>
      </c>
      <c r="H281" s="34">
        <v>653.2</v>
      </c>
      <c r="I281" s="34">
        <f t="shared" si="8"/>
        <v>80.46316826804633</v>
      </c>
    </row>
    <row r="282" spans="1:9" s="50" customFormat="1" ht="28.5">
      <c r="A282" s="93" t="s">
        <v>447</v>
      </c>
      <c r="B282" s="99"/>
      <c r="C282" s="48" t="s">
        <v>233</v>
      </c>
      <c r="D282" s="48" t="s">
        <v>177</v>
      </c>
      <c r="E282" s="64" t="s">
        <v>448</v>
      </c>
      <c r="F282" s="68"/>
      <c r="G282" s="34">
        <f>SUM(G283)</f>
        <v>22272.3</v>
      </c>
      <c r="H282" s="34">
        <f>SUM(H283)</f>
        <v>21554.9</v>
      </c>
      <c r="I282" s="34">
        <f t="shared" si="8"/>
        <v>96.77895861675715</v>
      </c>
    </row>
    <row r="283" spans="1:9" s="50" customFormat="1" ht="14.25" customHeight="1">
      <c r="A283" s="35" t="s">
        <v>174</v>
      </c>
      <c r="B283" s="99"/>
      <c r="C283" s="48" t="s">
        <v>233</v>
      </c>
      <c r="D283" s="48" t="s">
        <v>177</v>
      </c>
      <c r="E283" s="63" t="s">
        <v>448</v>
      </c>
      <c r="F283" s="68" t="s">
        <v>175</v>
      </c>
      <c r="G283" s="34">
        <v>22272.3</v>
      </c>
      <c r="H283" s="34">
        <v>21554.9</v>
      </c>
      <c r="I283" s="34">
        <f t="shared" si="8"/>
        <v>96.77895861675715</v>
      </c>
    </row>
    <row r="284" spans="1:9" s="50" customFormat="1" ht="15">
      <c r="A284" s="93" t="s">
        <v>278</v>
      </c>
      <c r="B284" s="99"/>
      <c r="C284" s="48" t="s">
        <v>233</v>
      </c>
      <c r="D284" s="48" t="s">
        <v>177</v>
      </c>
      <c r="E284" s="63" t="s">
        <v>279</v>
      </c>
      <c r="F284" s="68"/>
      <c r="G284" s="34">
        <f>SUM(G285)</f>
        <v>600</v>
      </c>
      <c r="H284" s="34">
        <f>SUM(H285)</f>
        <v>600</v>
      </c>
      <c r="I284" s="34">
        <f t="shared" si="8"/>
        <v>100</v>
      </c>
    </row>
    <row r="285" spans="1:9" s="50" customFormat="1" ht="13.5" customHeight="1">
      <c r="A285" s="35" t="s">
        <v>174</v>
      </c>
      <c r="B285" s="99"/>
      <c r="C285" s="48" t="s">
        <v>233</v>
      </c>
      <c r="D285" s="48" t="s">
        <v>177</v>
      </c>
      <c r="E285" s="63" t="s">
        <v>279</v>
      </c>
      <c r="F285" s="68" t="s">
        <v>175</v>
      </c>
      <c r="G285" s="34">
        <f>SUM(G286:G288)</f>
        <v>600</v>
      </c>
      <c r="H285" s="34">
        <f>SUM(H286:H288)</f>
        <v>600</v>
      </c>
      <c r="I285" s="34">
        <f t="shared" si="8"/>
        <v>100</v>
      </c>
    </row>
    <row r="286" spans="1:9" s="88" customFormat="1" ht="36.75" customHeight="1" hidden="1">
      <c r="A286" s="95" t="s">
        <v>449</v>
      </c>
      <c r="B286" s="102"/>
      <c r="C286" s="48" t="s">
        <v>233</v>
      </c>
      <c r="D286" s="48" t="s">
        <v>177</v>
      </c>
      <c r="E286" s="64" t="s">
        <v>450</v>
      </c>
      <c r="F286" s="65" t="s">
        <v>175</v>
      </c>
      <c r="G286" s="77"/>
      <c r="H286" s="77"/>
      <c r="I286" s="34" t="e">
        <f t="shared" si="8"/>
        <v>#DIV/0!</v>
      </c>
    </row>
    <row r="287" spans="1:9" s="88" customFormat="1" ht="30.75" customHeight="1">
      <c r="A287" s="35" t="s">
        <v>423</v>
      </c>
      <c r="B287" s="99"/>
      <c r="C287" s="48" t="s">
        <v>233</v>
      </c>
      <c r="D287" s="48" t="s">
        <v>177</v>
      </c>
      <c r="E287" s="64" t="s">
        <v>424</v>
      </c>
      <c r="F287" s="33" t="s">
        <v>175</v>
      </c>
      <c r="G287" s="77">
        <v>600</v>
      </c>
      <c r="H287" s="77">
        <v>600</v>
      </c>
      <c r="I287" s="34">
        <f t="shared" si="8"/>
        <v>100</v>
      </c>
    </row>
    <row r="288" spans="1:9" s="88" customFormat="1" ht="46.5" customHeight="1" hidden="1">
      <c r="A288" s="103" t="s">
        <v>451</v>
      </c>
      <c r="B288" s="102"/>
      <c r="C288" s="48" t="s">
        <v>233</v>
      </c>
      <c r="D288" s="48" t="s">
        <v>177</v>
      </c>
      <c r="E288" s="64" t="s">
        <v>452</v>
      </c>
      <c r="F288" s="65" t="s">
        <v>175</v>
      </c>
      <c r="G288" s="77"/>
      <c r="H288" s="77"/>
      <c r="I288" s="34" t="e">
        <f t="shared" si="8"/>
        <v>#DIV/0!</v>
      </c>
    </row>
    <row r="289" spans="1:9" ht="32.25" customHeight="1">
      <c r="A289" s="75" t="s">
        <v>453</v>
      </c>
      <c r="B289" s="31"/>
      <c r="C289" s="48" t="s">
        <v>233</v>
      </c>
      <c r="D289" s="48" t="s">
        <v>233</v>
      </c>
      <c r="E289" s="48"/>
      <c r="F289" s="37"/>
      <c r="G289" s="34">
        <f>SUM(G290+G293+G307+G296)+G304</f>
        <v>64474.200000000004</v>
      </c>
      <c r="H289" s="34">
        <f>SUM(H290+H293+H307+H296)+H304</f>
        <v>64283.700000000004</v>
      </c>
      <c r="I289" s="34">
        <f t="shared" si="8"/>
        <v>99.70453297598108</v>
      </c>
    </row>
    <row r="290" spans="1:9" s="50" customFormat="1" ht="30.75" customHeight="1">
      <c r="A290" s="46" t="s">
        <v>270</v>
      </c>
      <c r="B290" s="47"/>
      <c r="C290" s="48" t="s">
        <v>233</v>
      </c>
      <c r="D290" s="48" t="s">
        <v>233</v>
      </c>
      <c r="E290" s="48" t="s">
        <v>215</v>
      </c>
      <c r="F290" s="36"/>
      <c r="G290" s="34">
        <f>SUM(G291)</f>
        <v>50</v>
      </c>
      <c r="H290" s="34">
        <f>SUM(H291)</f>
        <v>50</v>
      </c>
      <c r="I290" s="34">
        <f t="shared" si="8"/>
        <v>100</v>
      </c>
    </row>
    <row r="291" spans="1:9" s="50" customFormat="1" ht="30.75" customHeight="1">
      <c r="A291" s="46" t="s">
        <v>454</v>
      </c>
      <c r="B291" s="47"/>
      <c r="C291" s="48" t="s">
        <v>233</v>
      </c>
      <c r="D291" s="48" t="s">
        <v>233</v>
      </c>
      <c r="E291" s="48" t="s">
        <v>272</v>
      </c>
      <c r="F291" s="36"/>
      <c r="G291" s="34">
        <f>SUM(G292)</f>
        <v>50</v>
      </c>
      <c r="H291" s="34">
        <f>SUM(H292)</f>
        <v>50</v>
      </c>
      <c r="I291" s="34">
        <f t="shared" si="8"/>
        <v>100</v>
      </c>
    </row>
    <row r="292" spans="1:9" s="50" customFormat="1" ht="16.5" customHeight="1">
      <c r="A292" s="46" t="s">
        <v>455</v>
      </c>
      <c r="B292" s="47"/>
      <c r="C292" s="48" t="s">
        <v>233</v>
      </c>
      <c r="D292" s="48" t="s">
        <v>233</v>
      </c>
      <c r="E292" s="48" t="s">
        <v>272</v>
      </c>
      <c r="F292" s="36" t="s">
        <v>274</v>
      </c>
      <c r="G292" s="34">
        <v>50</v>
      </c>
      <c r="H292" s="34">
        <v>50</v>
      </c>
      <c r="I292" s="34">
        <f t="shared" si="8"/>
        <v>100</v>
      </c>
    </row>
    <row r="293" spans="1:9" ht="30" customHeight="1" hidden="1">
      <c r="A293" s="49" t="s">
        <v>456</v>
      </c>
      <c r="B293" s="31"/>
      <c r="C293" s="48" t="s">
        <v>233</v>
      </c>
      <c r="D293" s="48" t="s">
        <v>233</v>
      </c>
      <c r="E293" s="48" t="s">
        <v>457</v>
      </c>
      <c r="F293" s="37"/>
      <c r="G293" s="34">
        <f>SUM(G294)</f>
        <v>0</v>
      </c>
      <c r="H293" s="34">
        <f>SUM(H294)</f>
        <v>0</v>
      </c>
      <c r="I293" s="34" t="e">
        <f t="shared" si="8"/>
        <v>#DIV/0!</v>
      </c>
    </row>
    <row r="294" spans="1:9" ht="30.75" customHeight="1" hidden="1">
      <c r="A294" s="49" t="s">
        <v>421</v>
      </c>
      <c r="B294" s="31"/>
      <c r="C294" s="48" t="s">
        <v>233</v>
      </c>
      <c r="D294" s="48" t="s">
        <v>233</v>
      </c>
      <c r="E294" s="48" t="s">
        <v>458</v>
      </c>
      <c r="F294" s="37"/>
      <c r="G294" s="34">
        <f>SUM(G295)</f>
        <v>0</v>
      </c>
      <c r="H294" s="34">
        <f>SUM(H295)</f>
        <v>0</v>
      </c>
      <c r="I294" s="34" t="e">
        <f t="shared" si="8"/>
        <v>#DIV/0!</v>
      </c>
    </row>
    <row r="295" spans="1:9" ht="15.75" customHeight="1" hidden="1">
      <c r="A295" s="46" t="s">
        <v>455</v>
      </c>
      <c r="B295" s="31"/>
      <c r="C295" s="48" t="s">
        <v>233</v>
      </c>
      <c r="D295" s="48" t="s">
        <v>233</v>
      </c>
      <c r="E295" s="48" t="s">
        <v>458</v>
      </c>
      <c r="F295" s="36" t="s">
        <v>274</v>
      </c>
      <c r="G295" s="77">
        <f>SUM('[1]Ведомств.'!F241)</f>
        <v>0</v>
      </c>
      <c r="H295" s="77">
        <f>SUM('[1]Ведомств.'!G241)</f>
        <v>0</v>
      </c>
      <c r="I295" s="34" t="e">
        <f t="shared" si="8"/>
        <v>#DIV/0!</v>
      </c>
    </row>
    <row r="296" spans="1:9" ht="21.75" customHeight="1">
      <c r="A296" s="49" t="s">
        <v>331</v>
      </c>
      <c r="B296" s="63"/>
      <c r="C296" s="48" t="s">
        <v>233</v>
      </c>
      <c r="D296" s="48" t="s">
        <v>233</v>
      </c>
      <c r="E296" s="64" t="s">
        <v>332</v>
      </c>
      <c r="F296" s="36"/>
      <c r="G296" s="77">
        <f>SUM(G297+G302)</f>
        <v>40317.8</v>
      </c>
      <c r="H296" s="77">
        <f>SUM(H297+H302)</f>
        <v>40129.8</v>
      </c>
      <c r="I296" s="34">
        <f t="shared" si="8"/>
        <v>99.53370471603114</v>
      </c>
    </row>
    <row r="297" spans="1:9" ht="42.75" customHeight="1">
      <c r="A297" s="30" t="s">
        <v>381</v>
      </c>
      <c r="B297" s="63"/>
      <c r="C297" s="48" t="s">
        <v>233</v>
      </c>
      <c r="D297" s="48" t="s">
        <v>233</v>
      </c>
      <c r="E297" s="64" t="s">
        <v>382</v>
      </c>
      <c r="F297" s="36"/>
      <c r="G297" s="77">
        <f>SUM(G298+G300)</f>
        <v>1009.4</v>
      </c>
      <c r="H297" s="77">
        <f>SUM(H298+H300)</f>
        <v>1009.4</v>
      </c>
      <c r="I297" s="34">
        <f t="shared" si="8"/>
        <v>100</v>
      </c>
    </row>
    <row r="298" spans="1:9" ht="32.25" customHeight="1">
      <c r="A298" s="49" t="s">
        <v>421</v>
      </c>
      <c r="B298" s="31"/>
      <c r="C298" s="48" t="s">
        <v>233</v>
      </c>
      <c r="D298" s="48" t="s">
        <v>233</v>
      </c>
      <c r="E298" s="64" t="s">
        <v>422</v>
      </c>
      <c r="F298" s="36"/>
      <c r="G298" s="77">
        <f>SUM(G299)</f>
        <v>1009.4</v>
      </c>
      <c r="H298" s="77">
        <f>SUM(H299)</f>
        <v>1009.4</v>
      </c>
      <c r="I298" s="34">
        <f t="shared" si="8"/>
        <v>100</v>
      </c>
    </row>
    <row r="299" spans="1:9" ht="15.75" customHeight="1">
      <c r="A299" s="46" t="s">
        <v>455</v>
      </c>
      <c r="B299" s="31"/>
      <c r="C299" s="48" t="s">
        <v>233</v>
      </c>
      <c r="D299" s="48" t="s">
        <v>233</v>
      </c>
      <c r="E299" s="64" t="s">
        <v>422</v>
      </c>
      <c r="F299" s="36" t="s">
        <v>274</v>
      </c>
      <c r="G299" s="77">
        <v>1009.4</v>
      </c>
      <c r="H299" s="77">
        <v>1009.4</v>
      </c>
      <c r="I299" s="34">
        <f t="shared" si="8"/>
        <v>100</v>
      </c>
    </row>
    <row r="300" spans="1:9" ht="30" customHeight="1" hidden="1">
      <c r="A300" s="46" t="s">
        <v>459</v>
      </c>
      <c r="B300" s="31"/>
      <c r="C300" s="48" t="s">
        <v>233</v>
      </c>
      <c r="D300" s="48" t="s">
        <v>233</v>
      </c>
      <c r="E300" s="64" t="s">
        <v>460</v>
      </c>
      <c r="F300" s="36"/>
      <c r="G300" s="77">
        <f>SUM(G301)</f>
        <v>0</v>
      </c>
      <c r="H300" s="77">
        <f>SUM(H301)</f>
        <v>0</v>
      </c>
      <c r="I300" s="34" t="e">
        <f t="shared" si="8"/>
        <v>#DIV/0!</v>
      </c>
    </row>
    <row r="301" spans="1:9" ht="17.25" customHeight="1" hidden="1">
      <c r="A301" s="46" t="s">
        <v>455</v>
      </c>
      <c r="B301" s="31"/>
      <c r="C301" s="48" t="s">
        <v>233</v>
      </c>
      <c r="D301" s="48" t="s">
        <v>233</v>
      </c>
      <c r="E301" s="64" t="s">
        <v>460</v>
      </c>
      <c r="F301" s="36" t="s">
        <v>274</v>
      </c>
      <c r="G301" s="77"/>
      <c r="H301" s="77"/>
      <c r="I301" s="34" t="e">
        <f t="shared" si="8"/>
        <v>#DIV/0!</v>
      </c>
    </row>
    <row r="302" spans="1:9" ht="17.25" customHeight="1">
      <c r="A302" s="46" t="s">
        <v>461</v>
      </c>
      <c r="B302" s="31"/>
      <c r="C302" s="48" t="s">
        <v>233</v>
      </c>
      <c r="D302" s="48" t="s">
        <v>233</v>
      </c>
      <c r="E302" s="64" t="s">
        <v>462</v>
      </c>
      <c r="F302" s="36"/>
      <c r="G302" s="77">
        <f>SUM(G303)</f>
        <v>39308.4</v>
      </c>
      <c r="H302" s="77">
        <f>SUM(H303)</f>
        <v>39120.4</v>
      </c>
      <c r="I302" s="34">
        <f t="shared" si="8"/>
        <v>99.5217307242218</v>
      </c>
    </row>
    <row r="303" spans="1:9" ht="17.25" customHeight="1">
      <c r="A303" s="46" t="s">
        <v>455</v>
      </c>
      <c r="B303" s="31"/>
      <c r="C303" s="48" t="s">
        <v>233</v>
      </c>
      <c r="D303" s="48" t="s">
        <v>233</v>
      </c>
      <c r="E303" s="64" t="s">
        <v>462</v>
      </c>
      <c r="F303" s="36" t="s">
        <v>274</v>
      </c>
      <c r="G303" s="77">
        <v>39308.4</v>
      </c>
      <c r="H303" s="77">
        <v>39120.4</v>
      </c>
      <c r="I303" s="34">
        <f t="shared" si="8"/>
        <v>99.5217307242218</v>
      </c>
    </row>
    <row r="304" spans="1:9" ht="15.75" customHeight="1">
      <c r="A304" s="86" t="s">
        <v>463</v>
      </c>
      <c r="B304" s="31"/>
      <c r="C304" s="48" t="s">
        <v>233</v>
      </c>
      <c r="D304" s="48" t="s">
        <v>233</v>
      </c>
      <c r="E304" s="64" t="s">
        <v>464</v>
      </c>
      <c r="F304" s="36"/>
      <c r="G304" s="77">
        <f>SUM(G305)</f>
        <v>7073.6</v>
      </c>
      <c r="H304" s="77">
        <f>SUM(H305)</f>
        <v>7073.6</v>
      </c>
      <c r="I304" s="34">
        <f t="shared" si="8"/>
        <v>100</v>
      </c>
    </row>
    <row r="305" spans="1:9" ht="17.25" customHeight="1">
      <c r="A305" s="86" t="s">
        <v>465</v>
      </c>
      <c r="B305" s="31"/>
      <c r="C305" s="48" t="s">
        <v>233</v>
      </c>
      <c r="D305" s="48" t="s">
        <v>233</v>
      </c>
      <c r="E305" s="64" t="s">
        <v>466</v>
      </c>
      <c r="F305" s="36"/>
      <c r="G305" s="77">
        <f>SUM(G306)</f>
        <v>7073.6</v>
      </c>
      <c r="H305" s="77">
        <f>SUM(H306)</f>
        <v>7073.6</v>
      </c>
      <c r="I305" s="34">
        <f t="shared" si="8"/>
        <v>100</v>
      </c>
    </row>
    <row r="306" spans="1:9" ht="15" customHeight="1">
      <c r="A306" s="46" t="s">
        <v>455</v>
      </c>
      <c r="B306" s="31"/>
      <c r="C306" s="48" t="s">
        <v>233</v>
      </c>
      <c r="D306" s="48" t="s">
        <v>233</v>
      </c>
      <c r="E306" s="64" t="s">
        <v>466</v>
      </c>
      <c r="F306" s="36" t="s">
        <v>274</v>
      </c>
      <c r="G306" s="77">
        <v>7073.6</v>
      </c>
      <c r="H306" s="77">
        <v>7073.6</v>
      </c>
      <c r="I306" s="34">
        <f t="shared" si="8"/>
        <v>100</v>
      </c>
    </row>
    <row r="307" spans="1:9" ht="15">
      <c r="A307" s="35" t="s">
        <v>278</v>
      </c>
      <c r="B307" s="31"/>
      <c r="C307" s="48" t="s">
        <v>233</v>
      </c>
      <c r="D307" s="48" t="s">
        <v>233</v>
      </c>
      <c r="E307" s="32" t="s">
        <v>279</v>
      </c>
      <c r="F307" s="37"/>
      <c r="G307" s="34">
        <f>SUM(G309+G311+G313+G319)</f>
        <v>17032.8</v>
      </c>
      <c r="H307" s="34">
        <f>SUM(H309+H311+H313+H319)</f>
        <v>17030.3</v>
      </c>
      <c r="I307" s="34">
        <f t="shared" si="8"/>
        <v>99.98532243671035</v>
      </c>
    </row>
    <row r="308" spans="1:9" ht="15" hidden="1">
      <c r="A308" s="46" t="s">
        <v>455</v>
      </c>
      <c r="B308" s="31"/>
      <c r="C308" s="48" t="s">
        <v>233</v>
      </c>
      <c r="D308" s="48" t="s">
        <v>233</v>
      </c>
      <c r="E308" s="32" t="s">
        <v>279</v>
      </c>
      <c r="F308" s="37" t="s">
        <v>274</v>
      </c>
      <c r="G308" s="34">
        <f>SUM(G309:G313)</f>
        <v>18794.5</v>
      </c>
      <c r="H308" s="34">
        <f>SUM(H309:H313)</f>
        <v>18793.8</v>
      </c>
      <c r="I308" s="34">
        <f t="shared" si="8"/>
        <v>99.99627550613211</v>
      </c>
    </row>
    <row r="309" spans="1:9" s="107" customFormat="1" ht="20.25" customHeight="1">
      <c r="A309" s="96" t="s">
        <v>467</v>
      </c>
      <c r="B309" s="104"/>
      <c r="C309" s="105" t="s">
        <v>233</v>
      </c>
      <c r="D309" s="105" t="s">
        <v>233</v>
      </c>
      <c r="E309" s="60" t="s">
        <v>468</v>
      </c>
      <c r="F309" s="37"/>
      <c r="G309" s="106">
        <f>SUM(G310)</f>
        <v>1060.4</v>
      </c>
      <c r="H309" s="106">
        <f>SUM(H310)</f>
        <v>1060.4</v>
      </c>
      <c r="I309" s="34">
        <f t="shared" si="8"/>
        <v>100</v>
      </c>
    </row>
    <row r="310" spans="1:9" s="107" customFormat="1" ht="20.25" customHeight="1">
      <c r="A310" s="46" t="s">
        <v>455</v>
      </c>
      <c r="B310" s="31"/>
      <c r="C310" s="48" t="s">
        <v>233</v>
      </c>
      <c r="D310" s="48" t="s">
        <v>233</v>
      </c>
      <c r="E310" s="60" t="s">
        <v>468</v>
      </c>
      <c r="F310" s="36" t="s">
        <v>274</v>
      </c>
      <c r="G310" s="106">
        <v>1060.4</v>
      </c>
      <c r="H310" s="106">
        <v>1060.4</v>
      </c>
      <c r="I310" s="34">
        <f t="shared" si="8"/>
        <v>100</v>
      </c>
    </row>
    <row r="311" spans="1:9" s="107" customFormat="1" ht="35.25" customHeight="1">
      <c r="A311" s="95" t="s">
        <v>425</v>
      </c>
      <c r="B311" s="99"/>
      <c r="C311" s="64" t="s">
        <v>233</v>
      </c>
      <c r="D311" s="64" t="s">
        <v>169</v>
      </c>
      <c r="E311" s="64" t="s">
        <v>426</v>
      </c>
      <c r="F311" s="33"/>
      <c r="G311" s="34">
        <f>SUM(G312)</f>
        <v>900</v>
      </c>
      <c r="H311" s="34">
        <f>SUM(H312)</f>
        <v>900</v>
      </c>
      <c r="I311" s="34">
        <f t="shared" si="8"/>
        <v>100</v>
      </c>
    </row>
    <row r="312" spans="1:9" s="107" customFormat="1" ht="19.5" customHeight="1">
      <c r="A312" s="35" t="s">
        <v>174</v>
      </c>
      <c r="B312" s="99"/>
      <c r="C312" s="48" t="s">
        <v>233</v>
      </c>
      <c r="D312" s="48" t="s">
        <v>233</v>
      </c>
      <c r="E312" s="64" t="s">
        <v>426</v>
      </c>
      <c r="F312" s="65" t="s">
        <v>175</v>
      </c>
      <c r="G312" s="77">
        <v>900</v>
      </c>
      <c r="H312" s="77">
        <v>900</v>
      </c>
      <c r="I312" s="34">
        <f t="shared" si="8"/>
        <v>100</v>
      </c>
    </row>
    <row r="313" spans="1:9" ht="27.75" customHeight="1">
      <c r="A313" s="46" t="s">
        <v>397</v>
      </c>
      <c r="B313" s="31"/>
      <c r="C313" s="48" t="s">
        <v>233</v>
      </c>
      <c r="D313" s="48" t="s">
        <v>233</v>
      </c>
      <c r="E313" s="32" t="s">
        <v>430</v>
      </c>
      <c r="F313" s="37"/>
      <c r="G313" s="34">
        <f>SUM(G314+G317)</f>
        <v>14873.699999999999</v>
      </c>
      <c r="H313" s="34">
        <f>SUM(H314+H317)</f>
        <v>14872.999999999998</v>
      </c>
      <c r="I313" s="34">
        <f t="shared" si="8"/>
        <v>99.99529370634072</v>
      </c>
    </row>
    <row r="314" spans="1:9" s="107" customFormat="1" ht="28.5">
      <c r="A314" s="96" t="s">
        <v>421</v>
      </c>
      <c r="B314" s="104"/>
      <c r="C314" s="48" t="s">
        <v>233</v>
      </c>
      <c r="D314" s="48" t="s">
        <v>233</v>
      </c>
      <c r="E314" s="32" t="s">
        <v>431</v>
      </c>
      <c r="F314" s="37"/>
      <c r="G314" s="106">
        <f>SUM(G315:G316)</f>
        <v>11706.8</v>
      </c>
      <c r="H314" s="106">
        <f>SUM(H315:H316)</f>
        <v>11706.099999999999</v>
      </c>
      <c r="I314" s="34">
        <f t="shared" si="8"/>
        <v>99.9940205692418</v>
      </c>
    </row>
    <row r="315" spans="1:9" s="107" customFormat="1" ht="15">
      <c r="A315" s="46" t="s">
        <v>455</v>
      </c>
      <c r="B315" s="31"/>
      <c r="C315" s="48" t="s">
        <v>233</v>
      </c>
      <c r="D315" s="48" t="s">
        <v>233</v>
      </c>
      <c r="E315" s="32" t="s">
        <v>431</v>
      </c>
      <c r="F315" s="36" t="s">
        <v>274</v>
      </c>
      <c r="G315" s="77">
        <v>7505.9</v>
      </c>
      <c r="H315" s="77">
        <v>7505.2</v>
      </c>
      <c r="I315" s="34">
        <f t="shared" si="8"/>
        <v>99.99067400311755</v>
      </c>
    </row>
    <row r="316" spans="1:9" s="107" customFormat="1" ht="20.25" customHeight="1">
      <c r="A316" s="35" t="s">
        <v>174</v>
      </c>
      <c r="B316" s="99"/>
      <c r="C316" s="48" t="s">
        <v>233</v>
      </c>
      <c r="D316" s="48" t="s">
        <v>233</v>
      </c>
      <c r="E316" s="32" t="s">
        <v>431</v>
      </c>
      <c r="F316" s="65" t="s">
        <v>175</v>
      </c>
      <c r="G316" s="106">
        <v>4200.9</v>
      </c>
      <c r="H316" s="106">
        <v>4200.9</v>
      </c>
      <c r="I316" s="34">
        <f t="shared" si="8"/>
        <v>100</v>
      </c>
    </row>
    <row r="317" spans="1:9" ht="28.5">
      <c r="A317" s="95" t="s">
        <v>469</v>
      </c>
      <c r="B317" s="31"/>
      <c r="C317" s="48" t="s">
        <v>233</v>
      </c>
      <c r="D317" s="48" t="s">
        <v>233</v>
      </c>
      <c r="E317" s="32" t="s">
        <v>356</v>
      </c>
      <c r="F317" s="37"/>
      <c r="G317" s="34">
        <f>SUM(G318)</f>
        <v>3166.9</v>
      </c>
      <c r="H317" s="34">
        <f>SUM(H318)</f>
        <v>3166.9</v>
      </c>
      <c r="I317" s="34">
        <f t="shared" si="8"/>
        <v>100</v>
      </c>
    </row>
    <row r="318" spans="1:9" ht="15">
      <c r="A318" s="46" t="s">
        <v>455</v>
      </c>
      <c r="B318" s="31"/>
      <c r="C318" s="48" t="s">
        <v>233</v>
      </c>
      <c r="D318" s="48" t="s">
        <v>233</v>
      </c>
      <c r="E318" s="32" t="s">
        <v>356</v>
      </c>
      <c r="F318" s="36" t="s">
        <v>274</v>
      </c>
      <c r="G318" s="34">
        <v>3166.9</v>
      </c>
      <c r="H318" s="34">
        <v>3166.9</v>
      </c>
      <c r="I318" s="34">
        <f t="shared" si="8"/>
        <v>100</v>
      </c>
    </row>
    <row r="319" spans="1:9" ht="29.25" customHeight="1">
      <c r="A319" s="46" t="s">
        <v>470</v>
      </c>
      <c r="B319" s="31"/>
      <c r="C319" s="48" t="s">
        <v>233</v>
      </c>
      <c r="D319" s="48" t="s">
        <v>233</v>
      </c>
      <c r="E319" s="64" t="s">
        <v>471</v>
      </c>
      <c r="F319" s="36"/>
      <c r="G319" s="77">
        <f>SUM(G320)</f>
        <v>198.69999999999982</v>
      </c>
      <c r="H319" s="77">
        <f>SUM(H320)</f>
        <v>196.9</v>
      </c>
      <c r="I319" s="34">
        <f t="shared" si="8"/>
        <v>99.09411172622052</v>
      </c>
    </row>
    <row r="320" spans="1:9" ht="15">
      <c r="A320" s="46" t="s">
        <v>455</v>
      </c>
      <c r="B320" s="31"/>
      <c r="C320" s="48" t="s">
        <v>233</v>
      </c>
      <c r="D320" s="48" t="s">
        <v>233</v>
      </c>
      <c r="E320" s="64" t="s">
        <v>471</v>
      </c>
      <c r="F320" s="36" t="s">
        <v>274</v>
      </c>
      <c r="G320" s="77">
        <f>2344.5-2145.8</f>
        <v>198.69999999999982</v>
      </c>
      <c r="H320" s="77">
        <v>196.9</v>
      </c>
      <c r="I320" s="34">
        <f t="shared" si="8"/>
        <v>99.09411172622052</v>
      </c>
    </row>
    <row r="321" spans="1:9" s="29" customFormat="1" ht="15.75">
      <c r="A321" s="53" t="s">
        <v>472</v>
      </c>
      <c r="B321" s="54"/>
      <c r="C321" s="72" t="s">
        <v>237</v>
      </c>
      <c r="D321" s="72"/>
      <c r="E321" s="72"/>
      <c r="F321" s="73"/>
      <c r="G321" s="57">
        <f>SUM(G322)+G326</f>
        <v>3878.7000000000003</v>
      </c>
      <c r="H321" s="57">
        <f>SUM(H322)+H326</f>
        <v>3851.3</v>
      </c>
      <c r="I321" s="57">
        <f t="shared" si="8"/>
        <v>99.29357774512079</v>
      </c>
    </row>
    <row r="322" spans="1:9" ht="27.75" customHeight="1">
      <c r="A322" s="30" t="s">
        <v>473</v>
      </c>
      <c r="B322" s="31"/>
      <c r="C322" s="32" t="s">
        <v>237</v>
      </c>
      <c r="D322" s="32" t="s">
        <v>177</v>
      </c>
      <c r="E322" s="32"/>
      <c r="F322" s="33"/>
      <c r="G322" s="34">
        <f>SUM(G325)</f>
        <v>3200.8</v>
      </c>
      <c r="H322" s="34">
        <f>SUM(H325)</f>
        <v>3189.6</v>
      </c>
      <c r="I322" s="34">
        <f t="shared" si="8"/>
        <v>99.65008747813046</v>
      </c>
    </row>
    <row r="323" spans="1:9" ht="15">
      <c r="A323" s="30" t="s">
        <v>474</v>
      </c>
      <c r="B323" s="31"/>
      <c r="C323" s="32" t="s">
        <v>237</v>
      </c>
      <c r="D323" s="32" t="s">
        <v>177</v>
      </c>
      <c r="E323" s="32" t="s">
        <v>475</v>
      </c>
      <c r="F323" s="33"/>
      <c r="G323" s="34">
        <f>SUM(G324)</f>
        <v>3200.8</v>
      </c>
      <c r="H323" s="34">
        <f>SUM(H324)</f>
        <v>3189.6</v>
      </c>
      <c r="I323" s="34">
        <f t="shared" si="8"/>
        <v>99.65008747813046</v>
      </c>
    </row>
    <row r="324" spans="1:9" ht="17.25" customHeight="1">
      <c r="A324" s="108" t="s">
        <v>263</v>
      </c>
      <c r="B324" s="109"/>
      <c r="C324" s="70" t="s">
        <v>237</v>
      </c>
      <c r="D324" s="70" t="s">
        <v>177</v>
      </c>
      <c r="E324" s="70" t="s">
        <v>476</v>
      </c>
      <c r="F324" s="37"/>
      <c r="G324" s="34">
        <f>SUM(G325)</f>
        <v>3200.8</v>
      </c>
      <c r="H324" s="34">
        <f>SUM(H325)</f>
        <v>3189.6</v>
      </c>
      <c r="I324" s="34">
        <f t="shared" si="8"/>
        <v>99.65008747813046</v>
      </c>
    </row>
    <row r="325" spans="1:9" ht="15.75" customHeight="1">
      <c r="A325" s="52" t="s">
        <v>265</v>
      </c>
      <c r="B325" s="31"/>
      <c r="C325" s="32" t="s">
        <v>237</v>
      </c>
      <c r="D325" s="32" t="s">
        <v>177</v>
      </c>
      <c r="E325" s="70" t="s">
        <v>476</v>
      </c>
      <c r="F325" s="37" t="s">
        <v>266</v>
      </c>
      <c r="G325" s="34">
        <v>3200.8</v>
      </c>
      <c r="H325" s="34">
        <v>3189.6</v>
      </c>
      <c r="I325" s="34">
        <f t="shared" si="8"/>
        <v>99.65008747813046</v>
      </c>
    </row>
    <row r="326" spans="1:9" ht="17.25" customHeight="1">
      <c r="A326" s="41" t="s">
        <v>477</v>
      </c>
      <c r="B326" s="31"/>
      <c r="C326" s="110" t="s">
        <v>237</v>
      </c>
      <c r="D326" s="110" t="s">
        <v>233</v>
      </c>
      <c r="E326" s="110"/>
      <c r="F326" s="62"/>
      <c r="G326" s="77">
        <f>SUM(G330)+G327</f>
        <v>677.9000000000001</v>
      </c>
      <c r="H326" s="77">
        <f>SUM(H330)+H327</f>
        <v>661.7</v>
      </c>
      <c r="I326" s="34">
        <f t="shared" si="8"/>
        <v>97.6102670010326</v>
      </c>
    </row>
    <row r="327" spans="1:9" ht="16.5" customHeight="1">
      <c r="A327" s="49" t="s">
        <v>331</v>
      </c>
      <c r="B327" s="31"/>
      <c r="C327" s="110" t="s">
        <v>237</v>
      </c>
      <c r="D327" s="110" t="s">
        <v>233</v>
      </c>
      <c r="E327" s="32" t="s">
        <v>332</v>
      </c>
      <c r="F327" s="62"/>
      <c r="G327" s="77">
        <f>SUM(G328)</f>
        <v>73.2</v>
      </c>
      <c r="H327" s="77">
        <f>SUM(H328)</f>
        <v>73.2</v>
      </c>
      <c r="I327" s="34">
        <f t="shared" si="8"/>
        <v>100</v>
      </c>
    </row>
    <row r="328" spans="1:9" ht="42" customHeight="1">
      <c r="A328" s="49" t="s">
        <v>478</v>
      </c>
      <c r="B328" s="31"/>
      <c r="C328" s="110" t="s">
        <v>237</v>
      </c>
      <c r="D328" s="110" t="s">
        <v>233</v>
      </c>
      <c r="E328" s="32" t="s">
        <v>479</v>
      </c>
      <c r="F328" s="37"/>
      <c r="G328" s="77">
        <f>SUM(G329)</f>
        <v>73.2</v>
      </c>
      <c r="H328" s="77">
        <f>SUM(H329)</f>
        <v>73.2</v>
      </c>
      <c r="I328" s="34">
        <f t="shared" si="8"/>
        <v>100</v>
      </c>
    </row>
    <row r="329" spans="1:9" s="111" customFormat="1" ht="16.5" customHeight="1">
      <c r="A329" s="46" t="s">
        <v>455</v>
      </c>
      <c r="B329" s="31"/>
      <c r="C329" s="110" t="s">
        <v>237</v>
      </c>
      <c r="D329" s="110" t="s">
        <v>233</v>
      </c>
      <c r="E329" s="32" t="s">
        <v>479</v>
      </c>
      <c r="F329" s="37" t="s">
        <v>274</v>
      </c>
      <c r="G329" s="77">
        <v>73.2</v>
      </c>
      <c r="H329" s="77">
        <v>73.2</v>
      </c>
      <c r="I329" s="34">
        <f t="shared" si="8"/>
        <v>100</v>
      </c>
    </row>
    <row r="330" spans="1:9" ht="14.25" customHeight="1">
      <c r="A330" s="35" t="s">
        <v>278</v>
      </c>
      <c r="B330" s="31"/>
      <c r="C330" s="110" t="s">
        <v>237</v>
      </c>
      <c r="D330" s="110" t="s">
        <v>233</v>
      </c>
      <c r="E330" s="32" t="s">
        <v>279</v>
      </c>
      <c r="F330" s="62"/>
      <c r="G330" s="77">
        <f>SUM(G333+G334+G337)</f>
        <v>604.7</v>
      </c>
      <c r="H330" s="77">
        <f>SUM(H333+H334+H337)</f>
        <v>588.5</v>
      </c>
      <c r="I330" s="34">
        <f t="shared" si="8"/>
        <v>97.32098561270051</v>
      </c>
    </row>
    <row r="331" spans="1:9" ht="15" hidden="1">
      <c r="A331" s="49" t="s">
        <v>480</v>
      </c>
      <c r="B331" s="31"/>
      <c r="C331" s="110" t="s">
        <v>237</v>
      </c>
      <c r="D331" s="110" t="s">
        <v>233</v>
      </c>
      <c r="E331" s="32" t="s">
        <v>279</v>
      </c>
      <c r="F331" s="62" t="s">
        <v>481</v>
      </c>
      <c r="G331" s="77"/>
      <c r="H331" s="77"/>
      <c r="I331" s="34" t="e">
        <f t="shared" si="8"/>
        <v>#DIV/0!</v>
      </c>
    </row>
    <row r="332" spans="1:9" ht="26.25" customHeight="1" hidden="1">
      <c r="A332" s="112" t="s">
        <v>482</v>
      </c>
      <c r="B332" s="31"/>
      <c r="C332" s="110" t="s">
        <v>237</v>
      </c>
      <c r="D332" s="110" t="s">
        <v>233</v>
      </c>
      <c r="E332" s="113" t="s">
        <v>279</v>
      </c>
      <c r="F332" s="114" t="s">
        <v>481</v>
      </c>
      <c r="G332" s="115">
        <v>300</v>
      </c>
      <c r="H332" s="115">
        <v>300</v>
      </c>
      <c r="I332" s="34">
        <f t="shared" si="8"/>
        <v>100</v>
      </c>
    </row>
    <row r="333" spans="1:9" ht="15" hidden="1">
      <c r="A333" s="52" t="s">
        <v>265</v>
      </c>
      <c r="B333" s="31"/>
      <c r="C333" s="110" t="s">
        <v>237</v>
      </c>
      <c r="D333" s="110" t="s">
        <v>233</v>
      </c>
      <c r="E333" s="110" t="s">
        <v>279</v>
      </c>
      <c r="F333" s="62" t="s">
        <v>266</v>
      </c>
      <c r="G333" s="77"/>
      <c r="H333" s="77"/>
      <c r="I333" s="34" t="e">
        <f t="shared" si="8"/>
        <v>#DIV/0!</v>
      </c>
    </row>
    <row r="334" spans="1:9" ht="27.75" customHeight="1">
      <c r="A334" s="41" t="s">
        <v>482</v>
      </c>
      <c r="B334" s="31"/>
      <c r="C334" s="110" t="s">
        <v>237</v>
      </c>
      <c r="D334" s="110" t="s">
        <v>233</v>
      </c>
      <c r="E334" s="110" t="s">
        <v>483</v>
      </c>
      <c r="F334" s="62"/>
      <c r="G334" s="77">
        <f>SUM(G335:G336)</f>
        <v>604.7</v>
      </c>
      <c r="H334" s="77">
        <f>SUM(H335:H336)</f>
        <v>588.5</v>
      </c>
      <c r="I334" s="34">
        <f t="shared" si="8"/>
        <v>97.32098561270051</v>
      </c>
    </row>
    <row r="335" spans="1:9" ht="18" customHeight="1" hidden="1">
      <c r="A335" s="46" t="s">
        <v>455</v>
      </c>
      <c r="B335" s="31"/>
      <c r="C335" s="110" t="s">
        <v>237</v>
      </c>
      <c r="D335" s="110" t="s">
        <v>233</v>
      </c>
      <c r="E335" s="110" t="s">
        <v>483</v>
      </c>
      <c r="F335" s="37" t="s">
        <v>274</v>
      </c>
      <c r="G335" s="77"/>
      <c r="H335" s="77"/>
      <c r="I335" s="34" t="e">
        <f t="shared" si="8"/>
        <v>#DIV/0!</v>
      </c>
    </row>
    <row r="336" spans="1:9" ht="13.5" customHeight="1">
      <c r="A336" s="52" t="s">
        <v>484</v>
      </c>
      <c r="B336" s="31"/>
      <c r="C336" s="110" t="s">
        <v>237</v>
      </c>
      <c r="D336" s="110" t="s">
        <v>233</v>
      </c>
      <c r="E336" s="110" t="s">
        <v>483</v>
      </c>
      <c r="F336" s="62" t="s">
        <v>485</v>
      </c>
      <c r="G336" s="77">
        <f>1192.7-588</f>
        <v>604.7</v>
      </c>
      <c r="H336" s="77">
        <v>588.5</v>
      </c>
      <c r="I336" s="34">
        <f t="shared" si="8"/>
        <v>97.32098561270051</v>
      </c>
    </row>
    <row r="337" spans="1:9" ht="25.5" customHeight="1" hidden="1">
      <c r="A337" s="116" t="s">
        <v>486</v>
      </c>
      <c r="B337" s="31"/>
      <c r="C337" s="110" t="s">
        <v>237</v>
      </c>
      <c r="D337" s="110" t="s">
        <v>233</v>
      </c>
      <c r="E337" s="110" t="s">
        <v>487</v>
      </c>
      <c r="F337" s="62"/>
      <c r="G337" s="77">
        <f>SUM(G338+G339)</f>
        <v>0</v>
      </c>
      <c r="H337" s="77">
        <f>SUM(H338+H339)</f>
        <v>0</v>
      </c>
      <c r="I337" s="34" t="e">
        <f t="shared" si="8"/>
        <v>#DIV/0!</v>
      </c>
    </row>
    <row r="338" spans="1:9" ht="18" customHeight="1" hidden="1">
      <c r="A338" s="46" t="s">
        <v>455</v>
      </c>
      <c r="B338" s="31"/>
      <c r="C338" s="110" t="s">
        <v>237</v>
      </c>
      <c r="D338" s="110" t="s">
        <v>233</v>
      </c>
      <c r="E338" s="110" t="s">
        <v>487</v>
      </c>
      <c r="F338" s="37" t="s">
        <v>274</v>
      </c>
      <c r="G338" s="77"/>
      <c r="H338" s="77"/>
      <c r="I338" s="34" t="e">
        <f aca="true" t="shared" si="9" ref="I338:I401">SUM(H338/G338*100)</f>
        <v>#DIV/0!</v>
      </c>
    </row>
    <row r="339" spans="1:9" ht="21.75" customHeight="1" hidden="1">
      <c r="A339" s="52" t="s">
        <v>484</v>
      </c>
      <c r="B339" s="31"/>
      <c r="C339" s="110" t="s">
        <v>237</v>
      </c>
      <c r="D339" s="110" t="s">
        <v>233</v>
      </c>
      <c r="E339" s="110" t="s">
        <v>487</v>
      </c>
      <c r="F339" s="62" t="s">
        <v>485</v>
      </c>
      <c r="G339" s="77"/>
      <c r="H339" s="77"/>
      <c r="I339" s="34" t="e">
        <f t="shared" si="9"/>
        <v>#DIV/0!</v>
      </c>
    </row>
    <row r="340" spans="1:9" s="111" customFormat="1" ht="12" customHeight="1" hidden="1">
      <c r="A340" s="117" t="s">
        <v>488</v>
      </c>
      <c r="B340" s="118"/>
      <c r="C340" s="113" t="s">
        <v>167</v>
      </c>
      <c r="D340" s="113" t="s">
        <v>254</v>
      </c>
      <c r="E340" s="113" t="s">
        <v>256</v>
      </c>
      <c r="F340" s="119" t="s">
        <v>252</v>
      </c>
      <c r="G340" s="120">
        <v>5000</v>
      </c>
      <c r="H340" s="120">
        <v>5000</v>
      </c>
      <c r="I340" s="34">
        <f t="shared" si="9"/>
        <v>100</v>
      </c>
    </row>
    <row r="341" spans="1:9" s="111" customFormat="1" ht="12" customHeight="1" hidden="1">
      <c r="A341" s="117" t="s">
        <v>489</v>
      </c>
      <c r="B341" s="39"/>
      <c r="C341" s="113" t="s">
        <v>167</v>
      </c>
      <c r="D341" s="113" t="s">
        <v>254</v>
      </c>
      <c r="E341" s="113" t="s">
        <v>256</v>
      </c>
      <c r="F341" s="119" t="s">
        <v>252</v>
      </c>
      <c r="G341" s="120">
        <v>2000</v>
      </c>
      <c r="H341" s="120">
        <v>2000</v>
      </c>
      <c r="I341" s="34">
        <f t="shared" si="9"/>
        <v>100</v>
      </c>
    </row>
    <row r="342" spans="1:9" ht="42.75" hidden="1">
      <c r="A342" s="35" t="s">
        <v>196</v>
      </c>
      <c r="B342" s="31"/>
      <c r="C342" s="32" t="s">
        <v>167</v>
      </c>
      <c r="D342" s="32" t="s">
        <v>184</v>
      </c>
      <c r="E342" s="32" t="s">
        <v>197</v>
      </c>
      <c r="F342" s="33"/>
      <c r="G342" s="34">
        <f>SUM(G343)</f>
        <v>0</v>
      </c>
      <c r="H342" s="34">
        <f>SUM(H343)</f>
        <v>0</v>
      </c>
      <c r="I342" s="34" t="e">
        <f t="shared" si="9"/>
        <v>#DIV/0!</v>
      </c>
    </row>
    <row r="343" spans="1:9" ht="42.75" hidden="1">
      <c r="A343" s="35" t="s">
        <v>198</v>
      </c>
      <c r="B343" s="31"/>
      <c r="C343" s="32" t="s">
        <v>167</v>
      </c>
      <c r="D343" s="32" t="s">
        <v>184</v>
      </c>
      <c r="E343" s="32" t="s">
        <v>197</v>
      </c>
      <c r="F343" s="33" t="s">
        <v>199</v>
      </c>
      <c r="G343" s="34"/>
      <c r="H343" s="34"/>
      <c r="I343" s="34" t="e">
        <f t="shared" si="9"/>
        <v>#DIV/0!</v>
      </c>
    </row>
    <row r="344" spans="1:9" ht="14.25" customHeight="1" hidden="1">
      <c r="A344" s="45" t="s">
        <v>200</v>
      </c>
      <c r="B344" s="31"/>
      <c r="C344" s="32" t="s">
        <v>201</v>
      </c>
      <c r="D344" s="32"/>
      <c r="E344" s="32"/>
      <c r="F344" s="36"/>
      <c r="G344" s="34">
        <f>SUM(G348+G345)</f>
        <v>0</v>
      </c>
      <c r="H344" s="34">
        <f>SUM(H348+H345)</f>
        <v>0</v>
      </c>
      <c r="I344" s="34" t="e">
        <f t="shared" si="9"/>
        <v>#DIV/0!</v>
      </c>
    </row>
    <row r="345" spans="1:9" ht="15" hidden="1">
      <c r="A345" s="45" t="s">
        <v>202</v>
      </c>
      <c r="B345" s="31"/>
      <c r="C345" s="32" t="s">
        <v>201</v>
      </c>
      <c r="D345" s="32" t="s">
        <v>203</v>
      </c>
      <c r="E345" s="32"/>
      <c r="F345" s="36"/>
      <c r="G345" s="34">
        <f>SUM(G346)</f>
        <v>0</v>
      </c>
      <c r="H345" s="34">
        <f>SUM(H346)</f>
        <v>0</v>
      </c>
      <c r="I345" s="34" t="e">
        <f t="shared" si="9"/>
        <v>#DIV/0!</v>
      </c>
    </row>
    <row r="346" spans="1:9" ht="15" hidden="1">
      <c r="A346" s="30" t="s">
        <v>204</v>
      </c>
      <c r="B346" s="31"/>
      <c r="C346" s="32" t="s">
        <v>201</v>
      </c>
      <c r="D346" s="32" t="s">
        <v>203</v>
      </c>
      <c r="E346" s="32" t="s">
        <v>205</v>
      </c>
      <c r="F346" s="33"/>
      <c r="G346" s="34">
        <f>SUM(G347)</f>
        <v>0</v>
      </c>
      <c r="H346" s="34">
        <f>SUM(H347)</f>
        <v>0</v>
      </c>
      <c r="I346" s="34" t="e">
        <f t="shared" si="9"/>
        <v>#DIV/0!</v>
      </c>
    </row>
    <row r="347" spans="1:9" ht="15" hidden="1">
      <c r="A347" s="30" t="s">
        <v>206</v>
      </c>
      <c r="B347" s="31"/>
      <c r="C347" s="32" t="s">
        <v>201</v>
      </c>
      <c r="D347" s="32" t="s">
        <v>203</v>
      </c>
      <c r="E347" s="32" t="s">
        <v>205</v>
      </c>
      <c r="F347" s="33" t="s">
        <v>207</v>
      </c>
      <c r="G347" s="34"/>
      <c r="H347" s="34"/>
      <c r="I347" s="34" t="e">
        <f t="shared" si="9"/>
        <v>#DIV/0!</v>
      </c>
    </row>
    <row r="348" spans="1:9" ht="15" hidden="1">
      <c r="A348" s="46" t="s">
        <v>208</v>
      </c>
      <c r="B348" s="47"/>
      <c r="C348" s="48" t="s">
        <v>201</v>
      </c>
      <c r="D348" s="48" t="s">
        <v>209</v>
      </c>
      <c r="E348" s="48"/>
      <c r="F348" s="36"/>
      <c r="G348" s="34">
        <f>SUM(G349+G351)</f>
        <v>0</v>
      </c>
      <c r="H348" s="34">
        <f>SUM(H349+H351)</f>
        <v>0</v>
      </c>
      <c r="I348" s="34" t="e">
        <f t="shared" si="9"/>
        <v>#DIV/0!</v>
      </c>
    </row>
    <row r="349" spans="1:9" ht="28.5" hidden="1">
      <c r="A349" s="45" t="s">
        <v>210</v>
      </c>
      <c r="B349" s="31"/>
      <c r="C349" s="32" t="s">
        <v>201</v>
      </c>
      <c r="D349" s="32" t="s">
        <v>209</v>
      </c>
      <c r="E349" s="32" t="s">
        <v>211</v>
      </c>
      <c r="F349" s="36"/>
      <c r="G349" s="34">
        <f>SUM(G350)</f>
        <v>0</v>
      </c>
      <c r="H349" s="34">
        <f>SUM(H350)</f>
        <v>0</v>
      </c>
      <c r="I349" s="34" t="e">
        <f t="shared" si="9"/>
        <v>#DIV/0!</v>
      </c>
    </row>
    <row r="350" spans="1:9" ht="15" hidden="1">
      <c r="A350" s="45" t="s">
        <v>212</v>
      </c>
      <c r="B350" s="31"/>
      <c r="C350" s="32" t="s">
        <v>201</v>
      </c>
      <c r="D350" s="32" t="s">
        <v>209</v>
      </c>
      <c r="E350" s="32" t="s">
        <v>211</v>
      </c>
      <c r="F350" s="36" t="s">
        <v>213</v>
      </c>
      <c r="G350" s="34"/>
      <c r="H350" s="34"/>
      <c r="I350" s="34" t="e">
        <f t="shared" si="9"/>
        <v>#DIV/0!</v>
      </c>
    </row>
    <row r="351" spans="1:9" ht="15" hidden="1">
      <c r="A351" s="46" t="s">
        <v>214</v>
      </c>
      <c r="B351" s="47"/>
      <c r="C351" s="48" t="s">
        <v>201</v>
      </c>
      <c r="D351" s="48" t="s">
        <v>209</v>
      </c>
      <c r="E351" s="48" t="s">
        <v>215</v>
      </c>
      <c r="F351" s="36"/>
      <c r="G351" s="34">
        <f>SUM(G352)</f>
        <v>0</v>
      </c>
      <c r="H351" s="34">
        <f>SUM(H352)</f>
        <v>0</v>
      </c>
      <c r="I351" s="34" t="e">
        <f t="shared" si="9"/>
        <v>#DIV/0!</v>
      </c>
    </row>
    <row r="352" spans="1:9" ht="15" hidden="1">
      <c r="A352" s="46" t="s">
        <v>216</v>
      </c>
      <c r="B352" s="47"/>
      <c r="C352" s="48" t="s">
        <v>201</v>
      </c>
      <c r="D352" s="48" t="s">
        <v>209</v>
      </c>
      <c r="E352" s="48" t="s">
        <v>215</v>
      </c>
      <c r="F352" s="36" t="s">
        <v>217</v>
      </c>
      <c r="G352" s="34"/>
      <c r="H352" s="34"/>
      <c r="I352" s="34" t="e">
        <f t="shared" si="9"/>
        <v>#DIV/0!</v>
      </c>
    </row>
    <row r="353" spans="1:9" ht="15" hidden="1">
      <c r="A353" s="41" t="s">
        <v>189</v>
      </c>
      <c r="B353" s="42"/>
      <c r="C353" s="43" t="s">
        <v>190</v>
      </c>
      <c r="D353" s="32"/>
      <c r="E353" s="32"/>
      <c r="F353" s="33"/>
      <c r="G353" s="34">
        <f aca="true" t="shared" si="10" ref="G353:H355">SUM(G354)</f>
        <v>0</v>
      </c>
      <c r="H353" s="34">
        <f t="shared" si="10"/>
        <v>0</v>
      </c>
      <c r="I353" s="34" t="e">
        <f t="shared" si="9"/>
        <v>#DIV/0!</v>
      </c>
    </row>
    <row r="354" spans="1:9" ht="15" hidden="1">
      <c r="A354" s="35" t="s">
        <v>191</v>
      </c>
      <c r="B354" s="39"/>
      <c r="C354" s="32" t="s">
        <v>190</v>
      </c>
      <c r="D354" s="32" t="s">
        <v>190</v>
      </c>
      <c r="E354" s="32"/>
      <c r="F354" s="33"/>
      <c r="G354" s="34">
        <f t="shared" si="10"/>
        <v>0</v>
      </c>
      <c r="H354" s="34">
        <f t="shared" si="10"/>
        <v>0</v>
      </c>
      <c r="I354" s="34" t="e">
        <f t="shared" si="9"/>
        <v>#DIV/0!</v>
      </c>
    </row>
    <row r="355" spans="1:9" ht="28.5" hidden="1">
      <c r="A355" s="35" t="s">
        <v>192</v>
      </c>
      <c r="B355" s="39"/>
      <c r="C355" s="32" t="s">
        <v>190</v>
      </c>
      <c r="D355" s="32" t="s">
        <v>190</v>
      </c>
      <c r="E355" s="32" t="s">
        <v>193</v>
      </c>
      <c r="F355" s="33"/>
      <c r="G355" s="34">
        <f t="shared" si="10"/>
        <v>0</v>
      </c>
      <c r="H355" s="34">
        <f t="shared" si="10"/>
        <v>0</v>
      </c>
      <c r="I355" s="34" t="e">
        <f t="shared" si="9"/>
        <v>#DIV/0!</v>
      </c>
    </row>
    <row r="356" spans="1:9" ht="15" hidden="1">
      <c r="A356" s="35" t="s">
        <v>194</v>
      </c>
      <c r="B356" s="39"/>
      <c r="C356" s="32" t="s">
        <v>190</v>
      </c>
      <c r="D356" s="32" t="s">
        <v>190</v>
      </c>
      <c r="E356" s="32" t="s">
        <v>193</v>
      </c>
      <c r="F356" s="33" t="s">
        <v>195</v>
      </c>
      <c r="G356" s="34"/>
      <c r="H356" s="34"/>
      <c r="I356" s="34" t="e">
        <f t="shared" si="9"/>
        <v>#DIV/0!</v>
      </c>
    </row>
    <row r="357" spans="1:9" ht="15" hidden="1">
      <c r="A357" s="30" t="s">
        <v>200</v>
      </c>
      <c r="B357" s="31"/>
      <c r="C357" s="32" t="s">
        <v>201</v>
      </c>
      <c r="D357" s="32"/>
      <c r="E357" s="32"/>
      <c r="F357" s="33"/>
      <c r="G357" s="34">
        <f aca="true" t="shared" si="11" ref="G357:H359">SUM(G358)</f>
        <v>0</v>
      </c>
      <c r="H357" s="34">
        <f t="shared" si="11"/>
        <v>0</v>
      </c>
      <c r="I357" s="34" t="e">
        <f t="shared" si="9"/>
        <v>#DIV/0!</v>
      </c>
    </row>
    <row r="358" spans="1:9" ht="15" hidden="1">
      <c r="A358" s="30" t="s">
        <v>490</v>
      </c>
      <c r="B358" s="31"/>
      <c r="C358" s="32" t="s">
        <v>201</v>
      </c>
      <c r="D358" s="48" t="s">
        <v>167</v>
      </c>
      <c r="E358" s="121"/>
      <c r="F358" s="122"/>
      <c r="G358" s="34">
        <f t="shared" si="11"/>
        <v>0</v>
      </c>
      <c r="H358" s="34">
        <f t="shared" si="11"/>
        <v>0</v>
      </c>
      <c r="I358" s="34" t="e">
        <f t="shared" si="9"/>
        <v>#DIV/0!</v>
      </c>
    </row>
    <row r="359" spans="1:9" ht="15" hidden="1">
      <c r="A359" s="30" t="s">
        <v>491</v>
      </c>
      <c r="B359" s="31"/>
      <c r="C359" s="32" t="s">
        <v>201</v>
      </c>
      <c r="D359" s="48" t="s">
        <v>167</v>
      </c>
      <c r="E359" s="58" t="s">
        <v>492</v>
      </c>
      <c r="F359" s="122"/>
      <c r="G359" s="34">
        <f t="shared" si="11"/>
        <v>0</v>
      </c>
      <c r="H359" s="34">
        <f t="shared" si="11"/>
        <v>0</v>
      </c>
      <c r="I359" s="34" t="e">
        <f t="shared" si="9"/>
        <v>#DIV/0!</v>
      </c>
    </row>
    <row r="360" spans="1:9" ht="15" hidden="1">
      <c r="A360" s="30" t="s">
        <v>493</v>
      </c>
      <c r="B360" s="31"/>
      <c r="C360" s="32" t="s">
        <v>201</v>
      </c>
      <c r="D360" s="48" t="s">
        <v>167</v>
      </c>
      <c r="E360" s="58" t="s">
        <v>492</v>
      </c>
      <c r="F360" s="122">
        <v>273</v>
      </c>
      <c r="G360" s="34"/>
      <c r="H360" s="34"/>
      <c r="I360" s="34" t="e">
        <f t="shared" si="9"/>
        <v>#DIV/0!</v>
      </c>
    </row>
    <row r="361" spans="1:9" s="29" customFormat="1" ht="15.75">
      <c r="A361" s="53" t="s">
        <v>189</v>
      </c>
      <c r="B361" s="54"/>
      <c r="C361" s="55" t="s">
        <v>190</v>
      </c>
      <c r="D361" s="55"/>
      <c r="E361" s="55"/>
      <c r="F361" s="56"/>
      <c r="G361" s="57">
        <f>SUM(G362+G378+G444+G460)</f>
        <v>895398.4000000003</v>
      </c>
      <c r="H361" s="57">
        <f>SUM(H362+H378+H444+H460)</f>
        <v>887519.7999999999</v>
      </c>
      <c r="I361" s="57">
        <f t="shared" si="9"/>
        <v>99.12010117507467</v>
      </c>
    </row>
    <row r="362" spans="1:9" s="124" customFormat="1" ht="15.75">
      <c r="A362" s="35" t="s">
        <v>494</v>
      </c>
      <c r="B362" s="123"/>
      <c r="C362" s="48" t="s">
        <v>190</v>
      </c>
      <c r="D362" s="48" t="s">
        <v>167</v>
      </c>
      <c r="E362" s="48"/>
      <c r="F362" s="36"/>
      <c r="G362" s="34">
        <f>SUM(G363+G375)</f>
        <v>304169.8000000001</v>
      </c>
      <c r="H362" s="34">
        <f>SUM(H363+H375)</f>
        <v>301679.60000000003</v>
      </c>
      <c r="I362" s="34">
        <f t="shared" si="9"/>
        <v>99.18131254319131</v>
      </c>
    </row>
    <row r="363" spans="1:9" s="124" customFormat="1" ht="15.75">
      <c r="A363" s="35" t="s">
        <v>495</v>
      </c>
      <c r="B363" s="123"/>
      <c r="C363" s="48" t="s">
        <v>190</v>
      </c>
      <c r="D363" s="48" t="s">
        <v>167</v>
      </c>
      <c r="E363" s="48" t="s">
        <v>496</v>
      </c>
      <c r="F363" s="36"/>
      <c r="G363" s="34">
        <f>SUM(G364)</f>
        <v>287497.4000000001</v>
      </c>
      <c r="H363" s="34">
        <f>SUM(H364)</f>
        <v>286191.50000000006</v>
      </c>
      <c r="I363" s="34">
        <f t="shared" si="9"/>
        <v>99.54576980522259</v>
      </c>
    </row>
    <row r="364" spans="1:9" s="124" customFormat="1" ht="18.75" customHeight="1">
      <c r="A364" s="35" t="s">
        <v>263</v>
      </c>
      <c r="B364" s="123"/>
      <c r="C364" s="48" t="s">
        <v>190</v>
      </c>
      <c r="D364" s="48" t="s">
        <v>167</v>
      </c>
      <c r="E364" s="48" t="s">
        <v>497</v>
      </c>
      <c r="F364" s="36"/>
      <c r="G364" s="34">
        <f>SUM(G365+G369+G371+G373+G367)</f>
        <v>287497.4000000001</v>
      </c>
      <c r="H364" s="34">
        <f>SUM(H365+H369+H371+H373+H367)</f>
        <v>286191.50000000006</v>
      </c>
      <c r="I364" s="34">
        <f t="shared" si="9"/>
        <v>99.54576980522259</v>
      </c>
    </row>
    <row r="365" spans="1:9" s="124" customFormat="1" ht="15.75" customHeight="1">
      <c r="A365" s="52" t="s">
        <v>265</v>
      </c>
      <c r="B365" s="69"/>
      <c r="C365" s="70" t="s">
        <v>190</v>
      </c>
      <c r="D365" s="70" t="s">
        <v>167</v>
      </c>
      <c r="E365" s="70" t="s">
        <v>497</v>
      </c>
      <c r="F365" s="37" t="s">
        <v>266</v>
      </c>
      <c r="G365" s="34">
        <f>240800.9+330</f>
        <v>241130.9</v>
      </c>
      <c r="H365" s="34">
        <v>240204.5</v>
      </c>
      <c r="I365" s="34">
        <f t="shared" si="9"/>
        <v>99.6158103337233</v>
      </c>
    </row>
    <row r="366" spans="1:9" s="124" customFormat="1" ht="47.25" customHeight="1" hidden="1">
      <c r="A366" s="52" t="s">
        <v>498</v>
      </c>
      <c r="B366" s="69"/>
      <c r="C366" s="70" t="s">
        <v>190</v>
      </c>
      <c r="D366" s="70" t="s">
        <v>167</v>
      </c>
      <c r="E366" s="70" t="s">
        <v>497</v>
      </c>
      <c r="F366" s="36" t="s">
        <v>499</v>
      </c>
      <c r="G366" s="34"/>
      <c r="H366" s="34"/>
      <c r="I366" s="34" t="e">
        <f t="shared" si="9"/>
        <v>#DIV/0!</v>
      </c>
    </row>
    <row r="367" spans="1:9" ht="60.75" customHeight="1">
      <c r="A367" s="52" t="s">
        <v>500</v>
      </c>
      <c r="B367" s="69"/>
      <c r="C367" s="70" t="s">
        <v>190</v>
      </c>
      <c r="D367" s="70" t="s">
        <v>167</v>
      </c>
      <c r="E367" s="70" t="s">
        <v>501</v>
      </c>
      <c r="F367" s="37"/>
      <c r="G367" s="34">
        <f>SUM(G368)</f>
        <v>547.9</v>
      </c>
      <c r="H367" s="34">
        <f>SUM(H368)</f>
        <v>336.2</v>
      </c>
      <c r="I367" s="34">
        <f t="shared" si="9"/>
        <v>61.36156232889214</v>
      </c>
    </row>
    <row r="368" spans="1:9" ht="30.75" customHeight="1">
      <c r="A368" s="52" t="s">
        <v>502</v>
      </c>
      <c r="B368" s="69"/>
      <c r="C368" s="70" t="s">
        <v>190</v>
      </c>
      <c r="D368" s="70" t="s">
        <v>167</v>
      </c>
      <c r="E368" s="70" t="s">
        <v>501</v>
      </c>
      <c r="F368" s="37" t="s">
        <v>503</v>
      </c>
      <c r="G368" s="34">
        <v>547.9</v>
      </c>
      <c r="H368" s="34">
        <v>336.2</v>
      </c>
      <c r="I368" s="34">
        <f t="shared" si="9"/>
        <v>61.36156232889214</v>
      </c>
    </row>
    <row r="369" spans="1:9" s="124" customFormat="1" ht="32.25" customHeight="1">
      <c r="A369" s="52" t="s">
        <v>504</v>
      </c>
      <c r="B369" s="31"/>
      <c r="C369" s="70" t="s">
        <v>190</v>
      </c>
      <c r="D369" s="70" t="s">
        <v>167</v>
      </c>
      <c r="E369" s="70" t="s">
        <v>505</v>
      </c>
      <c r="F369" s="36"/>
      <c r="G369" s="34">
        <f>SUM(G370)</f>
        <v>23780</v>
      </c>
      <c r="H369" s="34">
        <f>SUM(H370)</f>
        <v>23780</v>
      </c>
      <c r="I369" s="34">
        <f t="shared" si="9"/>
        <v>100</v>
      </c>
    </row>
    <row r="370" spans="1:9" s="124" customFormat="1" ht="17.25" customHeight="1">
      <c r="A370" s="52" t="s">
        <v>265</v>
      </c>
      <c r="B370" s="69"/>
      <c r="C370" s="70" t="s">
        <v>190</v>
      </c>
      <c r="D370" s="70" t="s">
        <v>167</v>
      </c>
      <c r="E370" s="70" t="s">
        <v>505</v>
      </c>
      <c r="F370" s="37" t="s">
        <v>266</v>
      </c>
      <c r="G370" s="34">
        <v>23780</v>
      </c>
      <c r="H370" s="34">
        <v>23780</v>
      </c>
      <c r="I370" s="34">
        <f t="shared" si="9"/>
        <v>100</v>
      </c>
    </row>
    <row r="371" spans="1:9" s="124" customFormat="1" ht="33" customHeight="1">
      <c r="A371" s="52" t="s">
        <v>506</v>
      </c>
      <c r="B371" s="69"/>
      <c r="C371" s="70" t="s">
        <v>190</v>
      </c>
      <c r="D371" s="70" t="s">
        <v>167</v>
      </c>
      <c r="E371" s="70" t="s">
        <v>507</v>
      </c>
      <c r="F371" s="37"/>
      <c r="G371" s="34">
        <f>SUM(G372)</f>
        <v>1804.2</v>
      </c>
      <c r="H371" s="34">
        <f>SUM(H372)</f>
        <v>1636.4</v>
      </c>
      <c r="I371" s="34">
        <f t="shared" si="9"/>
        <v>90.6994789934597</v>
      </c>
    </row>
    <row r="372" spans="1:9" s="124" customFormat="1" ht="17.25" customHeight="1">
      <c r="A372" s="52" t="s">
        <v>265</v>
      </c>
      <c r="B372" s="69"/>
      <c r="C372" s="70" t="s">
        <v>190</v>
      </c>
      <c r="D372" s="70" t="s">
        <v>167</v>
      </c>
      <c r="E372" s="70" t="s">
        <v>507</v>
      </c>
      <c r="F372" s="37" t="s">
        <v>266</v>
      </c>
      <c r="G372" s="34">
        <v>1804.2</v>
      </c>
      <c r="H372" s="34">
        <v>1636.4</v>
      </c>
      <c r="I372" s="34">
        <f t="shared" si="9"/>
        <v>90.6994789934597</v>
      </c>
    </row>
    <row r="373" spans="1:9" s="124" customFormat="1" ht="59.25" customHeight="1">
      <c r="A373" s="35" t="s">
        <v>508</v>
      </c>
      <c r="B373" s="39"/>
      <c r="C373" s="70" t="s">
        <v>190</v>
      </c>
      <c r="D373" s="70" t="s">
        <v>167</v>
      </c>
      <c r="E373" s="70" t="s">
        <v>509</v>
      </c>
      <c r="F373" s="37"/>
      <c r="G373" s="34">
        <f>SUM(G374)</f>
        <v>20234.4</v>
      </c>
      <c r="H373" s="34">
        <f>SUM(H374)</f>
        <v>20234.4</v>
      </c>
      <c r="I373" s="34">
        <f t="shared" si="9"/>
        <v>100</v>
      </c>
    </row>
    <row r="374" spans="1:9" s="124" customFormat="1" ht="15.75" customHeight="1">
      <c r="A374" s="52" t="s">
        <v>265</v>
      </c>
      <c r="B374" s="69"/>
      <c r="C374" s="70" t="s">
        <v>190</v>
      </c>
      <c r="D374" s="70" t="s">
        <v>167</v>
      </c>
      <c r="E374" s="70" t="s">
        <v>509</v>
      </c>
      <c r="F374" s="37" t="s">
        <v>266</v>
      </c>
      <c r="G374" s="34">
        <v>20234.4</v>
      </c>
      <c r="H374" s="34">
        <v>20234.4</v>
      </c>
      <c r="I374" s="34">
        <f t="shared" si="9"/>
        <v>100</v>
      </c>
    </row>
    <row r="375" spans="1:9" s="124" customFormat="1" ht="15.75" customHeight="1">
      <c r="A375" s="35" t="s">
        <v>331</v>
      </c>
      <c r="B375" s="69"/>
      <c r="C375" s="70" t="s">
        <v>190</v>
      </c>
      <c r="D375" s="70" t="s">
        <v>167</v>
      </c>
      <c r="E375" s="48" t="s">
        <v>332</v>
      </c>
      <c r="F375" s="37"/>
      <c r="G375" s="34">
        <f>SUM(G376)</f>
        <v>16672.4</v>
      </c>
      <c r="H375" s="34">
        <f>SUM(H376)</f>
        <v>15488.1</v>
      </c>
      <c r="I375" s="34">
        <f t="shared" si="9"/>
        <v>92.89664355461721</v>
      </c>
    </row>
    <row r="376" spans="1:9" s="124" customFormat="1" ht="45" customHeight="1">
      <c r="A376" s="35" t="s">
        <v>510</v>
      </c>
      <c r="B376" s="69"/>
      <c r="C376" s="70" t="s">
        <v>190</v>
      </c>
      <c r="D376" s="70" t="s">
        <v>167</v>
      </c>
      <c r="E376" s="48" t="s">
        <v>511</v>
      </c>
      <c r="F376" s="37"/>
      <c r="G376" s="34">
        <f>SUM(G377)</f>
        <v>16672.4</v>
      </c>
      <c r="H376" s="34">
        <f>SUM(H377)</f>
        <v>15488.1</v>
      </c>
      <c r="I376" s="34">
        <f t="shared" si="9"/>
        <v>92.89664355461721</v>
      </c>
    </row>
    <row r="377" spans="1:9" s="124" customFormat="1" ht="27.75" customHeight="1">
      <c r="A377" s="52" t="s">
        <v>265</v>
      </c>
      <c r="B377" s="69"/>
      <c r="C377" s="70" t="s">
        <v>190</v>
      </c>
      <c r="D377" s="70" t="s">
        <v>167</v>
      </c>
      <c r="E377" s="48" t="s">
        <v>511</v>
      </c>
      <c r="F377" s="37" t="s">
        <v>266</v>
      </c>
      <c r="G377" s="34">
        <v>16672.4</v>
      </c>
      <c r="H377" s="34">
        <v>15488.1</v>
      </c>
      <c r="I377" s="34">
        <f t="shared" si="9"/>
        <v>92.89664355461721</v>
      </c>
    </row>
    <row r="378" spans="1:9" s="124" customFormat="1" ht="16.5" customHeight="1">
      <c r="A378" s="35" t="s">
        <v>512</v>
      </c>
      <c r="B378" s="123"/>
      <c r="C378" s="48" t="s">
        <v>190</v>
      </c>
      <c r="D378" s="48" t="s">
        <v>169</v>
      </c>
      <c r="E378" s="48"/>
      <c r="F378" s="36"/>
      <c r="G378" s="34">
        <f>SUM(G384+G404+G421+G439)+G442+G414+G435+G432+G379</f>
        <v>534745.2000000001</v>
      </c>
      <c r="H378" s="34">
        <f>SUM(H384+H404+H421+H439)+H442+H414+H435+H432+H379</f>
        <v>529703.3999999999</v>
      </c>
      <c r="I378" s="34">
        <f t="shared" si="9"/>
        <v>99.05715843732675</v>
      </c>
    </row>
    <row r="379" spans="1:9" s="124" customFormat="1" ht="16.5" customHeight="1">
      <c r="A379" s="35" t="s">
        <v>253</v>
      </c>
      <c r="B379" s="123"/>
      <c r="C379" s="48" t="s">
        <v>190</v>
      </c>
      <c r="D379" s="48" t="s">
        <v>169</v>
      </c>
      <c r="E379" s="48" t="s">
        <v>230</v>
      </c>
      <c r="F379" s="36"/>
      <c r="G379" s="34">
        <f>SUM(G380+G382)</f>
        <v>895.4</v>
      </c>
      <c r="H379" s="34">
        <f>SUM(H380+H382)</f>
        <v>895.4</v>
      </c>
      <c r="I379" s="34">
        <f t="shared" si="9"/>
        <v>100</v>
      </c>
    </row>
    <row r="380" spans="1:9" ht="20.25" customHeight="1">
      <c r="A380" s="98" t="s">
        <v>513</v>
      </c>
      <c r="B380" s="123"/>
      <c r="C380" s="48" t="s">
        <v>190</v>
      </c>
      <c r="D380" s="48" t="s">
        <v>169</v>
      </c>
      <c r="E380" s="48" t="s">
        <v>514</v>
      </c>
      <c r="F380" s="36"/>
      <c r="G380" s="34">
        <f>SUM(G381)</f>
        <v>800</v>
      </c>
      <c r="H380" s="34">
        <f>SUM(H381)</f>
        <v>800</v>
      </c>
      <c r="I380" s="34">
        <f t="shared" si="9"/>
        <v>100</v>
      </c>
    </row>
    <row r="381" spans="1:9" ht="20.25" customHeight="1">
      <c r="A381" s="52" t="s">
        <v>265</v>
      </c>
      <c r="B381" s="123"/>
      <c r="C381" s="48" t="s">
        <v>190</v>
      </c>
      <c r="D381" s="48" t="s">
        <v>169</v>
      </c>
      <c r="E381" s="48" t="s">
        <v>514</v>
      </c>
      <c r="F381" s="36" t="s">
        <v>266</v>
      </c>
      <c r="G381" s="34">
        <v>800</v>
      </c>
      <c r="H381" s="34">
        <v>800</v>
      </c>
      <c r="I381" s="34">
        <f t="shared" si="9"/>
        <v>100</v>
      </c>
    </row>
    <row r="382" spans="1:9" ht="20.25" customHeight="1">
      <c r="A382" s="30" t="s">
        <v>255</v>
      </c>
      <c r="B382" s="31"/>
      <c r="C382" s="48" t="s">
        <v>190</v>
      </c>
      <c r="D382" s="48" t="s">
        <v>169</v>
      </c>
      <c r="E382" s="32" t="s">
        <v>256</v>
      </c>
      <c r="F382" s="36"/>
      <c r="G382" s="34">
        <f>SUM(G383)</f>
        <v>95.4</v>
      </c>
      <c r="H382" s="34">
        <f>SUM(H383)</f>
        <v>95.4</v>
      </c>
      <c r="I382" s="34">
        <f t="shared" si="9"/>
        <v>100</v>
      </c>
    </row>
    <row r="383" spans="1:9" ht="20.25" customHeight="1">
      <c r="A383" s="52" t="s">
        <v>265</v>
      </c>
      <c r="B383" s="123"/>
      <c r="C383" s="48" t="s">
        <v>190</v>
      </c>
      <c r="D383" s="48" t="s">
        <v>169</v>
      </c>
      <c r="E383" s="48" t="s">
        <v>256</v>
      </c>
      <c r="F383" s="36" t="s">
        <v>266</v>
      </c>
      <c r="G383" s="34">
        <v>95.4</v>
      </c>
      <c r="H383" s="34">
        <v>95.4</v>
      </c>
      <c r="I383" s="34">
        <f t="shared" si="9"/>
        <v>100</v>
      </c>
    </row>
    <row r="384" spans="1:9" s="124" customFormat="1" ht="28.5" customHeight="1">
      <c r="A384" s="35" t="s">
        <v>515</v>
      </c>
      <c r="B384" s="123"/>
      <c r="C384" s="48" t="s">
        <v>190</v>
      </c>
      <c r="D384" s="48" t="s">
        <v>169</v>
      </c>
      <c r="E384" s="48" t="s">
        <v>516</v>
      </c>
      <c r="F384" s="36"/>
      <c r="G384" s="34">
        <f>SUM(G385)</f>
        <v>371783.80000000005</v>
      </c>
      <c r="H384" s="34">
        <f>SUM(H385)</f>
        <v>368156.1</v>
      </c>
      <c r="I384" s="34">
        <f t="shared" si="9"/>
        <v>99.02424473578459</v>
      </c>
    </row>
    <row r="385" spans="1:9" s="124" customFormat="1" ht="18.75" customHeight="1">
      <c r="A385" s="35" t="s">
        <v>263</v>
      </c>
      <c r="B385" s="123"/>
      <c r="C385" s="48" t="s">
        <v>190</v>
      </c>
      <c r="D385" s="48" t="s">
        <v>169</v>
      </c>
      <c r="E385" s="48" t="s">
        <v>517</v>
      </c>
      <c r="F385" s="36"/>
      <c r="G385" s="34">
        <f>SUM(G386+G393+G395+G397+G402+G389+G391)</f>
        <v>371783.80000000005</v>
      </c>
      <c r="H385" s="34">
        <f>SUM(H386+H393+H395+H397+H402+H389+H391)</f>
        <v>368156.1</v>
      </c>
      <c r="I385" s="34">
        <f t="shared" si="9"/>
        <v>99.02424473578459</v>
      </c>
    </row>
    <row r="386" spans="1:9" s="124" customFormat="1" ht="17.25" customHeight="1">
      <c r="A386" s="52" t="s">
        <v>265</v>
      </c>
      <c r="B386" s="69"/>
      <c r="C386" s="48" t="s">
        <v>190</v>
      </c>
      <c r="D386" s="48" t="s">
        <v>169</v>
      </c>
      <c r="E386" s="48" t="s">
        <v>517</v>
      </c>
      <c r="F386" s="37" t="s">
        <v>266</v>
      </c>
      <c r="G386" s="34">
        <f>61479.5-330</f>
        <v>61149.5</v>
      </c>
      <c r="H386" s="34">
        <v>59033.4</v>
      </c>
      <c r="I386" s="34">
        <f t="shared" si="9"/>
        <v>96.53946475441336</v>
      </c>
    </row>
    <row r="387" spans="1:9" s="124" customFormat="1" ht="47.25" customHeight="1" hidden="1">
      <c r="A387" s="52" t="s">
        <v>498</v>
      </c>
      <c r="B387" s="69"/>
      <c r="C387" s="48" t="s">
        <v>190</v>
      </c>
      <c r="D387" s="48" t="s">
        <v>169</v>
      </c>
      <c r="E387" s="48" t="s">
        <v>517</v>
      </c>
      <c r="F387" s="36" t="s">
        <v>499</v>
      </c>
      <c r="G387" s="34"/>
      <c r="H387" s="34"/>
      <c r="I387" s="34" t="e">
        <f t="shared" si="9"/>
        <v>#DIV/0!</v>
      </c>
    </row>
    <row r="388" spans="1:9" s="124" customFormat="1" ht="49.5" customHeight="1" hidden="1">
      <c r="A388" s="52" t="s">
        <v>518</v>
      </c>
      <c r="B388" s="69"/>
      <c r="C388" s="48" t="s">
        <v>190</v>
      </c>
      <c r="D388" s="48" t="s">
        <v>169</v>
      </c>
      <c r="E388" s="48" t="s">
        <v>517</v>
      </c>
      <c r="F388" s="37" t="s">
        <v>519</v>
      </c>
      <c r="G388" s="34"/>
      <c r="H388" s="34"/>
      <c r="I388" s="34" t="e">
        <f t="shared" si="9"/>
        <v>#DIV/0!</v>
      </c>
    </row>
    <row r="389" spans="1:9" s="124" customFormat="1" ht="67.5" customHeight="1">
      <c r="A389" s="52" t="s">
        <v>500</v>
      </c>
      <c r="B389" s="69"/>
      <c r="C389" s="48" t="s">
        <v>190</v>
      </c>
      <c r="D389" s="48" t="s">
        <v>169</v>
      </c>
      <c r="E389" s="70" t="s">
        <v>520</v>
      </c>
      <c r="F389" s="37"/>
      <c r="G389" s="34">
        <f>SUM(G390)</f>
        <v>907.8</v>
      </c>
      <c r="H389" s="34">
        <f>SUM(H390)</f>
        <v>872.7</v>
      </c>
      <c r="I389" s="34">
        <f t="shared" si="9"/>
        <v>96.13350958360873</v>
      </c>
    </row>
    <row r="390" spans="1:9" s="124" customFormat="1" ht="32.25" customHeight="1">
      <c r="A390" s="52" t="s">
        <v>502</v>
      </c>
      <c r="B390" s="69"/>
      <c r="C390" s="48" t="s">
        <v>190</v>
      </c>
      <c r="D390" s="48" t="s">
        <v>169</v>
      </c>
      <c r="E390" s="70" t="s">
        <v>520</v>
      </c>
      <c r="F390" s="37" t="s">
        <v>503</v>
      </c>
      <c r="G390" s="34">
        <v>907.8</v>
      </c>
      <c r="H390" s="34">
        <v>872.7</v>
      </c>
      <c r="I390" s="34">
        <f t="shared" si="9"/>
        <v>96.13350958360873</v>
      </c>
    </row>
    <row r="391" spans="1:9" s="124" customFormat="1" ht="32.25" customHeight="1">
      <c r="A391" s="52" t="s">
        <v>521</v>
      </c>
      <c r="B391" s="69"/>
      <c r="C391" s="48" t="s">
        <v>190</v>
      </c>
      <c r="D391" s="48" t="s">
        <v>169</v>
      </c>
      <c r="E391" s="70" t="s">
        <v>522</v>
      </c>
      <c r="F391" s="37"/>
      <c r="G391" s="34">
        <f>SUM(G392)</f>
        <v>344.7</v>
      </c>
      <c r="H391" s="34">
        <f>SUM(H392)</f>
        <v>344.8</v>
      </c>
      <c r="I391" s="34">
        <f t="shared" si="9"/>
        <v>100.02901073397157</v>
      </c>
    </row>
    <row r="392" spans="1:9" s="124" customFormat="1" ht="22.5" customHeight="1">
      <c r="A392" s="52" t="s">
        <v>265</v>
      </c>
      <c r="B392" s="69"/>
      <c r="C392" s="48" t="s">
        <v>190</v>
      </c>
      <c r="D392" s="48" t="s">
        <v>169</v>
      </c>
      <c r="E392" s="70" t="s">
        <v>522</v>
      </c>
      <c r="F392" s="37" t="s">
        <v>266</v>
      </c>
      <c r="G392" s="34">
        <v>344.7</v>
      </c>
      <c r="H392" s="34">
        <v>344.8</v>
      </c>
      <c r="I392" s="34">
        <f t="shared" si="9"/>
        <v>100.02901073397157</v>
      </c>
    </row>
    <row r="393" spans="1:9" s="124" customFormat="1" ht="60.75" customHeight="1">
      <c r="A393" s="52" t="s">
        <v>523</v>
      </c>
      <c r="B393" s="69"/>
      <c r="C393" s="48" t="s">
        <v>190</v>
      </c>
      <c r="D393" s="48" t="s">
        <v>169</v>
      </c>
      <c r="E393" s="48" t="s">
        <v>524</v>
      </c>
      <c r="F393" s="37"/>
      <c r="G393" s="34">
        <f>SUM(G394)</f>
        <v>11833.1</v>
      </c>
      <c r="H393" s="34">
        <f>SUM(H394)</f>
        <v>10544.5</v>
      </c>
      <c r="I393" s="34">
        <f t="shared" si="9"/>
        <v>89.1102078069145</v>
      </c>
    </row>
    <row r="394" spans="1:9" s="124" customFormat="1" ht="22.5" customHeight="1">
      <c r="A394" s="52" t="s">
        <v>265</v>
      </c>
      <c r="B394" s="69"/>
      <c r="C394" s="48" t="s">
        <v>190</v>
      </c>
      <c r="D394" s="48" t="s">
        <v>169</v>
      </c>
      <c r="E394" s="48" t="s">
        <v>524</v>
      </c>
      <c r="F394" s="37" t="s">
        <v>266</v>
      </c>
      <c r="G394" s="34">
        <v>11833.1</v>
      </c>
      <c r="H394" s="34">
        <v>10544.5</v>
      </c>
      <c r="I394" s="34">
        <f t="shared" si="9"/>
        <v>89.1102078069145</v>
      </c>
    </row>
    <row r="395" spans="1:9" ht="58.5" customHeight="1">
      <c r="A395" s="35" t="s">
        <v>508</v>
      </c>
      <c r="B395" s="39"/>
      <c r="C395" s="48" t="s">
        <v>190</v>
      </c>
      <c r="D395" s="48" t="s">
        <v>169</v>
      </c>
      <c r="E395" s="48" t="s">
        <v>525</v>
      </c>
      <c r="F395" s="37"/>
      <c r="G395" s="34">
        <f>SUM(G396)</f>
        <v>21633</v>
      </c>
      <c r="H395" s="34">
        <f>SUM(H396)</f>
        <v>21633.1</v>
      </c>
      <c r="I395" s="34">
        <f t="shared" si="9"/>
        <v>100.00046225673738</v>
      </c>
    </row>
    <row r="396" spans="1:9" s="124" customFormat="1" ht="18" customHeight="1">
      <c r="A396" s="52" t="s">
        <v>265</v>
      </c>
      <c r="B396" s="69"/>
      <c r="C396" s="48" t="s">
        <v>190</v>
      </c>
      <c r="D396" s="48" t="s">
        <v>169</v>
      </c>
      <c r="E396" s="48" t="s">
        <v>525</v>
      </c>
      <c r="F396" s="37" t="s">
        <v>266</v>
      </c>
      <c r="G396" s="34">
        <v>21633</v>
      </c>
      <c r="H396" s="34">
        <v>21633.1</v>
      </c>
      <c r="I396" s="34">
        <f t="shared" si="9"/>
        <v>100.00046225673738</v>
      </c>
    </row>
    <row r="397" spans="1:9" ht="45" customHeight="1">
      <c r="A397" s="52" t="s">
        <v>526</v>
      </c>
      <c r="B397" s="69"/>
      <c r="C397" s="48" t="s">
        <v>190</v>
      </c>
      <c r="D397" s="48" t="s">
        <v>169</v>
      </c>
      <c r="E397" s="48" t="s">
        <v>527</v>
      </c>
      <c r="F397" s="37"/>
      <c r="G397" s="34">
        <f>SUM(G398)</f>
        <v>791</v>
      </c>
      <c r="H397" s="34">
        <f>SUM(H398)</f>
        <v>603.4</v>
      </c>
      <c r="I397" s="34">
        <f t="shared" si="9"/>
        <v>76.28318584070796</v>
      </c>
    </row>
    <row r="398" spans="1:9" s="124" customFormat="1" ht="16.5" customHeight="1">
      <c r="A398" s="52" t="s">
        <v>265</v>
      </c>
      <c r="B398" s="69"/>
      <c r="C398" s="48" t="s">
        <v>190</v>
      </c>
      <c r="D398" s="48" t="s">
        <v>169</v>
      </c>
      <c r="E398" s="48" t="s">
        <v>527</v>
      </c>
      <c r="F398" s="37" t="s">
        <v>266</v>
      </c>
      <c r="G398" s="34">
        <v>791</v>
      </c>
      <c r="H398" s="34">
        <v>603.4</v>
      </c>
      <c r="I398" s="34">
        <f t="shared" si="9"/>
        <v>76.28318584070796</v>
      </c>
    </row>
    <row r="399" spans="1:9" ht="27" customHeight="1" hidden="1">
      <c r="A399" s="35" t="s">
        <v>528</v>
      </c>
      <c r="B399" s="69"/>
      <c r="C399" s="48" t="s">
        <v>190</v>
      </c>
      <c r="D399" s="48" t="s">
        <v>169</v>
      </c>
      <c r="E399" s="48" t="s">
        <v>517</v>
      </c>
      <c r="F399" s="37" t="s">
        <v>529</v>
      </c>
      <c r="G399" s="34"/>
      <c r="H399" s="34"/>
      <c r="I399" s="34" t="e">
        <f t="shared" si="9"/>
        <v>#DIV/0!</v>
      </c>
    </row>
    <row r="400" spans="1:9" ht="57" customHeight="1" hidden="1">
      <c r="A400" s="52" t="s">
        <v>523</v>
      </c>
      <c r="B400" s="69"/>
      <c r="C400" s="48" t="s">
        <v>190</v>
      </c>
      <c r="D400" s="48" t="s">
        <v>169</v>
      </c>
      <c r="E400" s="48" t="s">
        <v>530</v>
      </c>
      <c r="F400" s="37"/>
      <c r="G400" s="34">
        <f>SUM(G401)</f>
        <v>0</v>
      </c>
      <c r="H400" s="34">
        <f>SUM(H401)</f>
        <v>0</v>
      </c>
      <c r="I400" s="34" t="e">
        <f t="shared" si="9"/>
        <v>#DIV/0!</v>
      </c>
    </row>
    <row r="401" spans="1:9" ht="0.75" customHeight="1" hidden="1">
      <c r="A401" s="52" t="s">
        <v>265</v>
      </c>
      <c r="B401" s="69"/>
      <c r="C401" s="48" t="s">
        <v>190</v>
      </c>
      <c r="D401" s="48" t="s">
        <v>169</v>
      </c>
      <c r="E401" s="48" t="s">
        <v>530</v>
      </c>
      <c r="F401" s="37" t="s">
        <v>266</v>
      </c>
      <c r="G401" s="34"/>
      <c r="H401" s="34"/>
      <c r="I401" s="34" t="e">
        <f t="shared" si="9"/>
        <v>#DIV/0!</v>
      </c>
    </row>
    <row r="402" spans="1:9" ht="62.25" customHeight="1">
      <c r="A402" s="52" t="s">
        <v>531</v>
      </c>
      <c r="B402" s="69"/>
      <c r="C402" s="48" t="s">
        <v>190</v>
      </c>
      <c r="D402" s="48" t="s">
        <v>169</v>
      </c>
      <c r="E402" s="48" t="s">
        <v>532</v>
      </c>
      <c r="F402" s="37"/>
      <c r="G402" s="34">
        <f>SUM(G403)</f>
        <v>275124.7</v>
      </c>
      <c r="H402" s="34">
        <f>SUM(H403)</f>
        <v>275124.2</v>
      </c>
      <c r="I402" s="34">
        <f aca="true" t="shared" si="12" ref="I402:I465">SUM(H402/G402*100)</f>
        <v>99.99981826422709</v>
      </c>
    </row>
    <row r="403" spans="1:9" ht="20.25" customHeight="1">
      <c r="A403" s="52" t="s">
        <v>265</v>
      </c>
      <c r="B403" s="69"/>
      <c r="C403" s="48" t="s">
        <v>190</v>
      </c>
      <c r="D403" s="48" t="s">
        <v>169</v>
      </c>
      <c r="E403" s="48" t="s">
        <v>532</v>
      </c>
      <c r="F403" s="37" t="s">
        <v>266</v>
      </c>
      <c r="G403" s="34">
        <v>275124.7</v>
      </c>
      <c r="H403" s="34">
        <v>275124.2</v>
      </c>
      <c r="I403" s="34">
        <f t="shared" si="12"/>
        <v>99.99981826422709</v>
      </c>
    </row>
    <row r="404" spans="1:9" ht="18" customHeight="1">
      <c r="A404" s="30" t="s">
        <v>533</v>
      </c>
      <c r="B404" s="31"/>
      <c r="C404" s="48" t="s">
        <v>190</v>
      </c>
      <c r="D404" s="48" t="s">
        <v>169</v>
      </c>
      <c r="E404" s="48" t="s">
        <v>534</v>
      </c>
      <c r="F404" s="36"/>
      <c r="G404" s="34">
        <f>SUM(G405)</f>
        <v>78266.1</v>
      </c>
      <c r="H404" s="34">
        <f>SUM(H405)</f>
        <v>77415.6</v>
      </c>
      <c r="I404" s="34">
        <f t="shared" si="12"/>
        <v>98.91332262627115</v>
      </c>
    </row>
    <row r="405" spans="1:9" ht="18" customHeight="1">
      <c r="A405" s="35" t="s">
        <v>263</v>
      </c>
      <c r="B405" s="123"/>
      <c r="C405" s="48" t="s">
        <v>190</v>
      </c>
      <c r="D405" s="48" t="s">
        <v>169</v>
      </c>
      <c r="E405" s="48" t="s">
        <v>535</v>
      </c>
      <c r="F405" s="36"/>
      <c r="G405" s="34">
        <f>SUM(G406+G411+G409)</f>
        <v>78266.1</v>
      </c>
      <c r="H405" s="34">
        <f>SUM(H406+H411+H409)</f>
        <v>77415.6</v>
      </c>
      <c r="I405" s="34">
        <f t="shared" si="12"/>
        <v>98.91332262627115</v>
      </c>
    </row>
    <row r="406" spans="1:9" ht="15.75" customHeight="1">
      <c r="A406" s="52" t="s">
        <v>265</v>
      </c>
      <c r="B406" s="69"/>
      <c r="C406" s="48" t="s">
        <v>190</v>
      </c>
      <c r="D406" s="48" t="s">
        <v>169</v>
      </c>
      <c r="E406" s="48" t="s">
        <v>535</v>
      </c>
      <c r="F406" s="37" t="s">
        <v>266</v>
      </c>
      <c r="G406" s="34">
        <v>75965.8</v>
      </c>
      <c r="H406" s="34">
        <v>75146.8</v>
      </c>
      <c r="I406" s="34">
        <f t="shared" si="12"/>
        <v>98.92188326852347</v>
      </c>
    </row>
    <row r="407" spans="1:9" ht="45.75" customHeight="1" hidden="1">
      <c r="A407" s="52" t="s">
        <v>536</v>
      </c>
      <c r="B407" s="69"/>
      <c r="C407" s="48" t="s">
        <v>190</v>
      </c>
      <c r="D407" s="48" t="s">
        <v>169</v>
      </c>
      <c r="E407" s="48" t="s">
        <v>535</v>
      </c>
      <c r="F407" s="37" t="s">
        <v>537</v>
      </c>
      <c r="G407" s="34"/>
      <c r="H407" s="34"/>
      <c r="I407" s="34" t="e">
        <f t="shared" si="12"/>
        <v>#DIV/0!</v>
      </c>
    </row>
    <row r="408" spans="1:9" s="124" customFormat="1" ht="47.25" customHeight="1" hidden="1">
      <c r="A408" s="52" t="s">
        <v>498</v>
      </c>
      <c r="B408" s="69"/>
      <c r="C408" s="48" t="s">
        <v>190</v>
      </c>
      <c r="D408" s="48" t="s">
        <v>169</v>
      </c>
      <c r="E408" s="48" t="s">
        <v>535</v>
      </c>
      <c r="F408" s="36" t="s">
        <v>499</v>
      </c>
      <c r="G408" s="34"/>
      <c r="H408" s="34"/>
      <c r="I408" s="34" t="e">
        <f t="shared" si="12"/>
        <v>#DIV/0!</v>
      </c>
    </row>
    <row r="409" spans="1:9" s="124" customFormat="1" ht="66.75" customHeight="1">
      <c r="A409" s="52" t="s">
        <v>500</v>
      </c>
      <c r="B409" s="69"/>
      <c r="C409" s="48" t="s">
        <v>190</v>
      </c>
      <c r="D409" s="48" t="s">
        <v>169</v>
      </c>
      <c r="E409" s="70" t="s">
        <v>538</v>
      </c>
      <c r="F409" s="37"/>
      <c r="G409" s="34">
        <f>SUM(G410)</f>
        <v>191.1</v>
      </c>
      <c r="H409" s="34">
        <f>SUM(H410)</f>
        <v>159.6</v>
      </c>
      <c r="I409" s="34">
        <f t="shared" si="12"/>
        <v>83.51648351648352</v>
      </c>
    </row>
    <row r="410" spans="1:9" s="124" customFormat="1" ht="34.5" customHeight="1">
      <c r="A410" s="52" t="s">
        <v>502</v>
      </c>
      <c r="B410" s="69"/>
      <c r="C410" s="48" t="s">
        <v>190</v>
      </c>
      <c r="D410" s="48" t="s">
        <v>169</v>
      </c>
      <c r="E410" s="70" t="s">
        <v>538</v>
      </c>
      <c r="F410" s="37" t="s">
        <v>503</v>
      </c>
      <c r="G410" s="34">
        <v>191.1</v>
      </c>
      <c r="H410" s="34">
        <v>159.6</v>
      </c>
      <c r="I410" s="34">
        <f t="shared" si="12"/>
        <v>83.51648351648352</v>
      </c>
    </row>
    <row r="411" spans="1:9" s="124" customFormat="1" ht="65.25" customHeight="1">
      <c r="A411" s="35" t="s">
        <v>508</v>
      </c>
      <c r="B411" s="69"/>
      <c r="C411" s="48" t="s">
        <v>190</v>
      </c>
      <c r="D411" s="48" t="s">
        <v>169</v>
      </c>
      <c r="E411" s="48" t="s">
        <v>539</v>
      </c>
      <c r="F411" s="37"/>
      <c r="G411" s="34">
        <f>SUM(G412)</f>
        <v>2109.2</v>
      </c>
      <c r="H411" s="34">
        <f>SUM(H412)</f>
        <v>2109.2</v>
      </c>
      <c r="I411" s="34">
        <f t="shared" si="12"/>
        <v>100</v>
      </c>
    </row>
    <row r="412" spans="1:9" ht="15.75" customHeight="1">
      <c r="A412" s="52" t="s">
        <v>265</v>
      </c>
      <c r="B412" s="69"/>
      <c r="C412" s="48" t="s">
        <v>190</v>
      </c>
      <c r="D412" s="48" t="s">
        <v>169</v>
      </c>
      <c r="E412" s="48" t="s">
        <v>539</v>
      </c>
      <c r="F412" s="37" t="s">
        <v>266</v>
      </c>
      <c r="G412" s="34">
        <v>2109.2</v>
      </c>
      <c r="H412" s="34">
        <v>2109.2</v>
      </c>
      <c r="I412" s="34">
        <f t="shared" si="12"/>
        <v>100</v>
      </c>
    </row>
    <row r="413" spans="1:9" ht="18.75" customHeight="1" hidden="1">
      <c r="A413" s="35" t="s">
        <v>528</v>
      </c>
      <c r="B413" s="69"/>
      <c r="C413" s="48" t="s">
        <v>190</v>
      </c>
      <c r="D413" s="48" t="s">
        <v>169</v>
      </c>
      <c r="E413" s="48" t="s">
        <v>535</v>
      </c>
      <c r="F413" s="37" t="s">
        <v>529</v>
      </c>
      <c r="G413" s="34"/>
      <c r="H413" s="34"/>
      <c r="I413" s="34" t="e">
        <f t="shared" si="12"/>
        <v>#DIV/0!</v>
      </c>
    </row>
    <row r="414" spans="1:9" s="2" customFormat="1" ht="15">
      <c r="A414" s="30" t="s">
        <v>540</v>
      </c>
      <c r="B414" s="31"/>
      <c r="C414" s="48" t="s">
        <v>190</v>
      </c>
      <c r="D414" s="48" t="s">
        <v>169</v>
      </c>
      <c r="E414" s="48" t="s">
        <v>541</v>
      </c>
      <c r="F414" s="62"/>
      <c r="G414" s="34">
        <f>SUM(G415)</f>
        <v>40607.09999999999</v>
      </c>
      <c r="H414" s="34">
        <f>SUM(H415)</f>
        <v>40604.59999999999</v>
      </c>
      <c r="I414" s="34">
        <f t="shared" si="12"/>
        <v>99.99384344117162</v>
      </c>
    </row>
    <row r="415" spans="1:9" s="2" customFormat="1" ht="18.75" customHeight="1">
      <c r="A415" s="35" t="s">
        <v>263</v>
      </c>
      <c r="B415" s="31"/>
      <c r="C415" s="48" t="s">
        <v>190</v>
      </c>
      <c r="D415" s="48" t="s">
        <v>169</v>
      </c>
      <c r="E415" s="48" t="s">
        <v>542</v>
      </c>
      <c r="F415" s="62"/>
      <c r="G415" s="34">
        <f>SUM(G419+G417+G416)</f>
        <v>40607.09999999999</v>
      </c>
      <c r="H415" s="34">
        <f>SUM(H419+H417+H416)</f>
        <v>40604.59999999999</v>
      </c>
      <c r="I415" s="34">
        <f t="shared" si="12"/>
        <v>99.99384344117162</v>
      </c>
    </row>
    <row r="416" spans="1:9" s="2" customFormat="1" ht="18.75" customHeight="1">
      <c r="A416" s="52" t="s">
        <v>265</v>
      </c>
      <c r="B416" s="31"/>
      <c r="C416" s="48" t="s">
        <v>190</v>
      </c>
      <c r="D416" s="48" t="s">
        <v>169</v>
      </c>
      <c r="E416" s="32" t="s">
        <v>543</v>
      </c>
      <c r="F416" s="36" t="s">
        <v>266</v>
      </c>
      <c r="G416" s="34">
        <v>362.2</v>
      </c>
      <c r="H416" s="34">
        <v>359.7</v>
      </c>
      <c r="I416" s="34">
        <f t="shared" si="12"/>
        <v>99.30977360574268</v>
      </c>
    </row>
    <row r="417" spans="1:9" s="2" customFormat="1" ht="47.25" customHeight="1">
      <c r="A417" s="52" t="s">
        <v>526</v>
      </c>
      <c r="B417" s="69"/>
      <c r="C417" s="48" t="s">
        <v>190</v>
      </c>
      <c r="D417" s="48" t="s">
        <v>169</v>
      </c>
      <c r="E417" s="48" t="s">
        <v>544</v>
      </c>
      <c r="F417" s="37"/>
      <c r="G417" s="34">
        <v>19.7</v>
      </c>
      <c r="H417" s="34">
        <v>19.7</v>
      </c>
      <c r="I417" s="34">
        <f t="shared" si="12"/>
        <v>100</v>
      </c>
    </row>
    <row r="418" spans="1:9" s="2" customFormat="1" ht="18.75" customHeight="1">
      <c r="A418" s="52" t="s">
        <v>265</v>
      </c>
      <c r="B418" s="31"/>
      <c r="C418" s="48" t="s">
        <v>190</v>
      </c>
      <c r="D418" s="48" t="s">
        <v>169</v>
      </c>
      <c r="E418" s="48" t="s">
        <v>544</v>
      </c>
      <c r="F418" s="36" t="s">
        <v>266</v>
      </c>
      <c r="G418" s="34">
        <v>19.7</v>
      </c>
      <c r="H418" s="34">
        <v>19.7</v>
      </c>
      <c r="I418" s="34">
        <f t="shared" si="12"/>
        <v>100</v>
      </c>
    </row>
    <row r="419" spans="1:9" s="2" customFormat="1" ht="32.25" customHeight="1">
      <c r="A419" s="35" t="s">
        <v>545</v>
      </c>
      <c r="B419" s="31"/>
      <c r="C419" s="48" t="s">
        <v>190</v>
      </c>
      <c r="D419" s="48" t="s">
        <v>169</v>
      </c>
      <c r="E419" s="48" t="s">
        <v>546</v>
      </c>
      <c r="F419" s="62"/>
      <c r="G419" s="34">
        <f>SUM(G420)</f>
        <v>40225.2</v>
      </c>
      <c r="H419" s="34">
        <f>SUM(H420)</f>
        <v>40225.2</v>
      </c>
      <c r="I419" s="34">
        <f t="shared" si="12"/>
        <v>100</v>
      </c>
    </row>
    <row r="420" spans="1:9" s="2" customFormat="1" ht="15">
      <c r="A420" s="49" t="s">
        <v>265</v>
      </c>
      <c r="B420" s="31"/>
      <c r="C420" s="48" t="s">
        <v>190</v>
      </c>
      <c r="D420" s="48" t="s">
        <v>169</v>
      </c>
      <c r="E420" s="48" t="s">
        <v>546</v>
      </c>
      <c r="F420" s="62" t="s">
        <v>266</v>
      </c>
      <c r="G420" s="34">
        <v>40225.2</v>
      </c>
      <c r="H420" s="34">
        <v>40225.2</v>
      </c>
      <c r="I420" s="34">
        <f t="shared" si="12"/>
        <v>100</v>
      </c>
    </row>
    <row r="421" spans="1:9" ht="18" customHeight="1">
      <c r="A421" s="35" t="s">
        <v>547</v>
      </c>
      <c r="B421" s="48"/>
      <c r="C421" s="48" t="s">
        <v>190</v>
      </c>
      <c r="D421" s="48" t="s">
        <v>169</v>
      </c>
      <c r="E421" s="48" t="s">
        <v>548</v>
      </c>
      <c r="F421" s="36"/>
      <c r="G421" s="34">
        <f>SUM(G422)</f>
        <v>23740.899999999998</v>
      </c>
      <c r="H421" s="34">
        <f>SUM(H422)</f>
        <v>23652.600000000002</v>
      </c>
      <c r="I421" s="34">
        <f t="shared" si="12"/>
        <v>99.62806801764046</v>
      </c>
    </row>
    <row r="422" spans="1:9" ht="16.5" customHeight="1">
      <c r="A422" s="35" t="s">
        <v>263</v>
      </c>
      <c r="B422" s="123"/>
      <c r="C422" s="48" t="s">
        <v>190</v>
      </c>
      <c r="D422" s="48" t="s">
        <v>169</v>
      </c>
      <c r="E422" s="48" t="s">
        <v>549</v>
      </c>
      <c r="F422" s="36"/>
      <c r="G422" s="34">
        <f>SUM(G424+G428+G430+G426+G423)</f>
        <v>23740.899999999998</v>
      </c>
      <c r="H422" s="34">
        <f>SUM(H424+H428+H430+H426+H423)</f>
        <v>23652.600000000002</v>
      </c>
      <c r="I422" s="34">
        <f t="shared" si="12"/>
        <v>99.62806801764046</v>
      </c>
    </row>
    <row r="423" spans="1:9" ht="21.75" customHeight="1">
      <c r="A423" s="52" t="s">
        <v>265</v>
      </c>
      <c r="B423" s="69"/>
      <c r="C423" s="48" t="s">
        <v>190</v>
      </c>
      <c r="D423" s="48" t="s">
        <v>169</v>
      </c>
      <c r="E423" s="48" t="s">
        <v>549</v>
      </c>
      <c r="F423" s="37" t="s">
        <v>266</v>
      </c>
      <c r="G423" s="34">
        <v>243.8</v>
      </c>
      <c r="H423" s="34">
        <v>243.7</v>
      </c>
      <c r="I423" s="34">
        <f t="shared" si="12"/>
        <v>99.95898277276454</v>
      </c>
    </row>
    <row r="424" spans="1:9" s="124" customFormat="1" ht="66.75" customHeight="1">
      <c r="A424" s="52" t="s">
        <v>500</v>
      </c>
      <c r="B424" s="69"/>
      <c r="C424" s="48" t="s">
        <v>190</v>
      </c>
      <c r="D424" s="48" t="s">
        <v>169</v>
      </c>
      <c r="E424" s="70" t="s">
        <v>550</v>
      </c>
      <c r="F424" s="37"/>
      <c r="G424" s="34">
        <f>SUM(G425)</f>
        <v>118</v>
      </c>
      <c r="H424" s="34">
        <f>SUM(H425)</f>
        <v>111.6</v>
      </c>
      <c r="I424" s="34">
        <f t="shared" si="12"/>
        <v>94.57627118644068</v>
      </c>
    </row>
    <row r="425" spans="1:9" s="124" customFormat="1" ht="34.5" customHeight="1">
      <c r="A425" s="52" t="s">
        <v>502</v>
      </c>
      <c r="B425" s="69"/>
      <c r="C425" s="48" t="s">
        <v>190</v>
      </c>
      <c r="D425" s="48" t="s">
        <v>169</v>
      </c>
      <c r="E425" s="70" t="s">
        <v>550</v>
      </c>
      <c r="F425" s="37" t="s">
        <v>503</v>
      </c>
      <c r="G425" s="34">
        <v>118</v>
      </c>
      <c r="H425" s="34">
        <v>111.6</v>
      </c>
      <c r="I425" s="34">
        <f t="shared" si="12"/>
        <v>94.57627118644068</v>
      </c>
    </row>
    <row r="426" spans="1:9" s="124" customFormat="1" ht="30.75" customHeight="1">
      <c r="A426" s="52" t="s">
        <v>521</v>
      </c>
      <c r="B426" s="69"/>
      <c r="C426" s="48" t="s">
        <v>190</v>
      </c>
      <c r="D426" s="48" t="s">
        <v>169</v>
      </c>
      <c r="E426" s="70" t="s">
        <v>551</v>
      </c>
      <c r="F426" s="37"/>
      <c r="G426" s="34">
        <f>SUM(G427)</f>
        <v>4.1</v>
      </c>
      <c r="H426" s="34">
        <f>SUM(H427)</f>
        <v>4.1</v>
      </c>
      <c r="I426" s="34">
        <f t="shared" si="12"/>
        <v>100</v>
      </c>
    </row>
    <row r="427" spans="1:9" s="124" customFormat="1" ht="26.25" customHeight="1">
      <c r="A427" s="52" t="s">
        <v>265</v>
      </c>
      <c r="B427" s="69"/>
      <c r="C427" s="48" t="s">
        <v>190</v>
      </c>
      <c r="D427" s="48" t="s">
        <v>169</v>
      </c>
      <c r="E427" s="70" t="s">
        <v>551</v>
      </c>
      <c r="F427" s="37" t="s">
        <v>266</v>
      </c>
      <c r="G427" s="34">
        <v>4.1</v>
      </c>
      <c r="H427" s="34">
        <v>4.1</v>
      </c>
      <c r="I427" s="34">
        <f t="shared" si="12"/>
        <v>100</v>
      </c>
    </row>
    <row r="428" spans="1:9" ht="43.5" customHeight="1">
      <c r="A428" s="52" t="s">
        <v>526</v>
      </c>
      <c r="B428" s="69"/>
      <c r="C428" s="48" t="s">
        <v>190</v>
      </c>
      <c r="D428" s="48" t="s">
        <v>169</v>
      </c>
      <c r="E428" s="48" t="s">
        <v>552</v>
      </c>
      <c r="F428" s="37"/>
      <c r="G428" s="34">
        <f>SUM(G429)</f>
        <v>32</v>
      </c>
      <c r="H428" s="34">
        <f>SUM(H429)</f>
        <v>23.8</v>
      </c>
      <c r="I428" s="34">
        <f t="shared" si="12"/>
        <v>74.375</v>
      </c>
    </row>
    <row r="429" spans="1:9" ht="16.5" customHeight="1">
      <c r="A429" s="52" t="s">
        <v>265</v>
      </c>
      <c r="B429" s="69"/>
      <c r="C429" s="48" t="s">
        <v>190</v>
      </c>
      <c r="D429" s="48" t="s">
        <v>169</v>
      </c>
      <c r="E429" s="48" t="s">
        <v>552</v>
      </c>
      <c r="F429" s="37" t="s">
        <v>266</v>
      </c>
      <c r="G429" s="34">
        <v>32</v>
      </c>
      <c r="H429" s="34">
        <v>23.8</v>
      </c>
      <c r="I429" s="34">
        <f t="shared" si="12"/>
        <v>74.375</v>
      </c>
    </row>
    <row r="430" spans="1:9" ht="89.25" customHeight="1">
      <c r="A430" s="52" t="s">
        <v>553</v>
      </c>
      <c r="B430" s="69"/>
      <c r="C430" s="48" t="s">
        <v>190</v>
      </c>
      <c r="D430" s="48" t="s">
        <v>169</v>
      </c>
      <c r="E430" s="48" t="s">
        <v>554</v>
      </c>
      <c r="F430" s="37"/>
      <c r="G430" s="34">
        <f>SUM(G431)</f>
        <v>23343</v>
      </c>
      <c r="H430" s="34">
        <f>SUM(H431)</f>
        <v>23269.4</v>
      </c>
      <c r="I430" s="34">
        <f t="shared" si="12"/>
        <v>99.68470205200704</v>
      </c>
    </row>
    <row r="431" spans="1:9" ht="16.5" customHeight="1">
      <c r="A431" s="52" t="s">
        <v>265</v>
      </c>
      <c r="B431" s="69"/>
      <c r="C431" s="48" t="s">
        <v>190</v>
      </c>
      <c r="D431" s="48" t="s">
        <v>169</v>
      </c>
      <c r="E431" s="48" t="s">
        <v>554</v>
      </c>
      <c r="F431" s="37" t="s">
        <v>266</v>
      </c>
      <c r="G431" s="34">
        <v>23343</v>
      </c>
      <c r="H431" s="34">
        <v>23269.4</v>
      </c>
      <c r="I431" s="34">
        <f t="shared" si="12"/>
        <v>99.68470205200704</v>
      </c>
    </row>
    <row r="432" spans="1:9" ht="16.5" customHeight="1">
      <c r="A432" s="52" t="s">
        <v>555</v>
      </c>
      <c r="B432" s="69"/>
      <c r="C432" s="48" t="s">
        <v>190</v>
      </c>
      <c r="D432" s="48" t="s">
        <v>169</v>
      </c>
      <c r="E432" s="70" t="s">
        <v>556</v>
      </c>
      <c r="F432" s="37"/>
      <c r="G432" s="125">
        <f>SUM(G433)</f>
        <v>7788</v>
      </c>
      <c r="H432" s="125">
        <f>SUM(H433)</f>
        <v>7788</v>
      </c>
      <c r="I432" s="34">
        <f t="shared" si="12"/>
        <v>100</v>
      </c>
    </row>
    <row r="433" spans="1:9" ht="45" customHeight="1">
      <c r="A433" s="52" t="s">
        <v>557</v>
      </c>
      <c r="B433" s="69"/>
      <c r="C433" s="48" t="s">
        <v>190</v>
      </c>
      <c r="D433" s="48" t="s">
        <v>169</v>
      </c>
      <c r="E433" s="70" t="s">
        <v>558</v>
      </c>
      <c r="F433" s="37"/>
      <c r="G433" s="125">
        <f>SUM(G434)</f>
        <v>7788</v>
      </c>
      <c r="H433" s="125">
        <f>SUM(H434)</f>
        <v>7788</v>
      </c>
      <c r="I433" s="34">
        <f t="shared" si="12"/>
        <v>100</v>
      </c>
    </row>
    <row r="434" spans="1:9" ht="16.5" customHeight="1">
      <c r="A434" s="52" t="s">
        <v>265</v>
      </c>
      <c r="B434" s="69"/>
      <c r="C434" s="48" t="s">
        <v>190</v>
      </c>
      <c r="D434" s="48" t="s">
        <v>169</v>
      </c>
      <c r="E434" s="70" t="s">
        <v>558</v>
      </c>
      <c r="F434" s="37" t="s">
        <v>266</v>
      </c>
      <c r="G434" s="125">
        <v>7788</v>
      </c>
      <c r="H434" s="125">
        <v>7788</v>
      </c>
      <c r="I434" s="34">
        <f t="shared" si="12"/>
        <v>100</v>
      </c>
    </row>
    <row r="435" spans="1:9" ht="32.25" customHeight="1" hidden="1">
      <c r="A435" s="52" t="s">
        <v>559</v>
      </c>
      <c r="B435" s="69"/>
      <c r="C435" s="48" t="s">
        <v>190</v>
      </c>
      <c r="D435" s="48" t="s">
        <v>169</v>
      </c>
      <c r="E435" s="48" t="s">
        <v>560</v>
      </c>
      <c r="F435" s="37"/>
      <c r="G435" s="34">
        <f aca="true" t="shared" si="13" ref="G435:H437">SUM(G436)</f>
        <v>0</v>
      </c>
      <c r="H435" s="34">
        <f t="shared" si="13"/>
        <v>0</v>
      </c>
      <c r="I435" s="34" t="e">
        <f t="shared" si="12"/>
        <v>#DIV/0!</v>
      </c>
    </row>
    <row r="436" spans="1:9" ht="36" customHeight="1" hidden="1">
      <c r="A436" s="52" t="s">
        <v>521</v>
      </c>
      <c r="B436" s="69"/>
      <c r="C436" s="48" t="s">
        <v>190</v>
      </c>
      <c r="D436" s="48" t="s">
        <v>169</v>
      </c>
      <c r="E436" s="48" t="s">
        <v>561</v>
      </c>
      <c r="F436" s="37"/>
      <c r="G436" s="34">
        <f t="shared" si="13"/>
        <v>0</v>
      </c>
      <c r="H436" s="34">
        <f t="shared" si="13"/>
        <v>0</v>
      </c>
      <c r="I436" s="34" t="e">
        <f t="shared" si="12"/>
        <v>#DIV/0!</v>
      </c>
    </row>
    <row r="437" spans="1:9" ht="40.5" customHeight="1" hidden="1">
      <c r="A437" s="52" t="s">
        <v>562</v>
      </c>
      <c r="B437" s="69"/>
      <c r="C437" s="48" t="s">
        <v>190</v>
      </c>
      <c r="D437" s="48" t="s">
        <v>169</v>
      </c>
      <c r="E437" s="48" t="s">
        <v>563</v>
      </c>
      <c r="F437" s="37"/>
      <c r="G437" s="34">
        <f t="shared" si="13"/>
        <v>0</v>
      </c>
      <c r="H437" s="34">
        <f t="shared" si="13"/>
        <v>0</v>
      </c>
      <c r="I437" s="34" t="e">
        <f t="shared" si="12"/>
        <v>#DIV/0!</v>
      </c>
    </row>
    <row r="438" spans="1:9" ht="16.5" customHeight="1" hidden="1">
      <c r="A438" s="52" t="s">
        <v>265</v>
      </c>
      <c r="B438" s="69"/>
      <c r="C438" s="48" t="s">
        <v>190</v>
      </c>
      <c r="D438" s="48" t="s">
        <v>169</v>
      </c>
      <c r="E438" s="48" t="s">
        <v>563</v>
      </c>
      <c r="F438" s="37" t="s">
        <v>266</v>
      </c>
      <c r="G438" s="34"/>
      <c r="H438" s="34"/>
      <c r="I438" s="34" t="e">
        <f t="shared" si="12"/>
        <v>#DIV/0!</v>
      </c>
    </row>
    <row r="439" spans="1:9" ht="20.25" customHeight="1">
      <c r="A439" s="35" t="s">
        <v>491</v>
      </c>
      <c r="B439" s="48"/>
      <c r="C439" s="48" t="s">
        <v>190</v>
      </c>
      <c r="D439" s="48" t="s">
        <v>169</v>
      </c>
      <c r="E439" s="48" t="s">
        <v>564</v>
      </c>
      <c r="F439" s="36"/>
      <c r="G439" s="34">
        <f>SUM(G440)</f>
        <v>11663.9</v>
      </c>
      <c r="H439" s="34">
        <f>SUM(H440)</f>
        <v>11191.1</v>
      </c>
      <c r="I439" s="34">
        <f t="shared" si="12"/>
        <v>95.9464673051038</v>
      </c>
    </row>
    <row r="440" spans="1:9" ht="28.5" customHeight="1">
      <c r="A440" s="49" t="s">
        <v>565</v>
      </c>
      <c r="B440" s="48"/>
      <c r="C440" s="48" t="s">
        <v>190</v>
      </c>
      <c r="D440" s="48" t="s">
        <v>169</v>
      </c>
      <c r="E440" s="48" t="s">
        <v>566</v>
      </c>
      <c r="F440" s="36"/>
      <c r="G440" s="34">
        <f>SUM(G441)</f>
        <v>11663.9</v>
      </c>
      <c r="H440" s="34">
        <f>SUM(H441)</f>
        <v>11191.1</v>
      </c>
      <c r="I440" s="34">
        <f t="shared" si="12"/>
        <v>95.9464673051038</v>
      </c>
    </row>
    <row r="441" spans="1:9" ht="17.25" customHeight="1">
      <c r="A441" s="52" t="s">
        <v>265</v>
      </c>
      <c r="B441" s="48"/>
      <c r="C441" s="48" t="s">
        <v>190</v>
      </c>
      <c r="D441" s="48" t="s">
        <v>169</v>
      </c>
      <c r="E441" s="48" t="s">
        <v>566</v>
      </c>
      <c r="F441" s="36" t="s">
        <v>266</v>
      </c>
      <c r="G441" s="34">
        <v>11663.9</v>
      </c>
      <c r="H441" s="34">
        <v>11191.1</v>
      </c>
      <c r="I441" s="34">
        <f t="shared" si="12"/>
        <v>95.9464673051038</v>
      </c>
    </row>
    <row r="442" spans="1:9" ht="15" customHeight="1" hidden="1">
      <c r="A442" s="126" t="s">
        <v>491</v>
      </c>
      <c r="B442" s="48"/>
      <c r="C442" s="48" t="s">
        <v>190</v>
      </c>
      <c r="D442" s="48" t="s">
        <v>169</v>
      </c>
      <c r="E442" s="48" t="s">
        <v>564</v>
      </c>
      <c r="F442" s="36"/>
      <c r="G442" s="34">
        <f>SUM(G443)</f>
        <v>0</v>
      </c>
      <c r="H442" s="34">
        <f>SUM(H443)</f>
        <v>0</v>
      </c>
      <c r="I442" s="34" t="e">
        <f t="shared" si="12"/>
        <v>#DIV/0!</v>
      </c>
    </row>
    <row r="443" spans="1:9" ht="15" customHeight="1" hidden="1">
      <c r="A443" s="108" t="s">
        <v>567</v>
      </c>
      <c r="B443" s="48"/>
      <c r="C443" s="48" t="s">
        <v>190</v>
      </c>
      <c r="D443" s="48" t="s">
        <v>169</v>
      </c>
      <c r="E443" s="48" t="s">
        <v>564</v>
      </c>
      <c r="F443" s="36" t="s">
        <v>568</v>
      </c>
      <c r="G443" s="34"/>
      <c r="H443" s="34"/>
      <c r="I443" s="34" t="e">
        <f t="shared" si="12"/>
        <v>#DIV/0!</v>
      </c>
    </row>
    <row r="444" spans="1:9" ht="15">
      <c r="A444" s="35" t="s">
        <v>191</v>
      </c>
      <c r="B444" s="39"/>
      <c r="C444" s="32" t="s">
        <v>190</v>
      </c>
      <c r="D444" s="32" t="s">
        <v>190</v>
      </c>
      <c r="E444" s="32"/>
      <c r="F444" s="33"/>
      <c r="G444" s="34">
        <f>SUM(G445+G453)</f>
        <v>9562.5</v>
      </c>
      <c r="H444" s="34">
        <f>SUM(H445+H453)</f>
        <v>9504.1</v>
      </c>
      <c r="I444" s="34">
        <f t="shared" si="12"/>
        <v>99.38928104575164</v>
      </c>
    </row>
    <row r="445" spans="1:9" ht="15">
      <c r="A445" s="46" t="s">
        <v>569</v>
      </c>
      <c r="B445" s="47"/>
      <c r="C445" s="48" t="s">
        <v>190</v>
      </c>
      <c r="D445" s="48" t="s">
        <v>190</v>
      </c>
      <c r="E445" s="48" t="s">
        <v>570</v>
      </c>
      <c r="F445" s="36"/>
      <c r="G445" s="34">
        <f>SUM(G446+G451)</f>
        <v>3293.1000000000004</v>
      </c>
      <c r="H445" s="34">
        <f>SUM(H446+H451)</f>
        <v>3259.3</v>
      </c>
      <c r="I445" s="34">
        <f t="shared" si="12"/>
        <v>98.97361149069266</v>
      </c>
    </row>
    <row r="446" spans="1:9" ht="18" customHeight="1">
      <c r="A446" s="46" t="s">
        <v>571</v>
      </c>
      <c r="B446" s="48"/>
      <c r="C446" s="48" t="s">
        <v>190</v>
      </c>
      <c r="D446" s="48" t="s">
        <v>190</v>
      </c>
      <c r="E446" s="48" t="s">
        <v>572</v>
      </c>
      <c r="F446" s="36"/>
      <c r="G446" s="34">
        <f>SUM(G447:G449)</f>
        <v>1893.4</v>
      </c>
      <c r="H446" s="34">
        <f>SUM(H447:H449)</f>
        <v>1890.7</v>
      </c>
      <c r="I446" s="34">
        <f t="shared" si="12"/>
        <v>99.85739938734551</v>
      </c>
    </row>
    <row r="447" spans="1:9" ht="13.5" customHeight="1">
      <c r="A447" s="52" t="s">
        <v>265</v>
      </c>
      <c r="B447" s="47"/>
      <c r="C447" s="48" t="s">
        <v>190</v>
      </c>
      <c r="D447" s="48" t="s">
        <v>190</v>
      </c>
      <c r="E447" s="48" t="s">
        <v>572</v>
      </c>
      <c r="F447" s="36" t="s">
        <v>266</v>
      </c>
      <c r="G447" s="34">
        <v>1774.4</v>
      </c>
      <c r="H447" s="34">
        <v>1771.7</v>
      </c>
      <c r="I447" s="34">
        <f t="shared" si="12"/>
        <v>99.84783588818755</v>
      </c>
    </row>
    <row r="448" spans="1:9" ht="21" customHeight="1">
      <c r="A448" s="35" t="s">
        <v>174</v>
      </c>
      <c r="B448" s="39"/>
      <c r="C448" s="48" t="s">
        <v>190</v>
      </c>
      <c r="D448" s="48" t="s">
        <v>190</v>
      </c>
      <c r="E448" s="48" t="s">
        <v>572</v>
      </c>
      <c r="F448" s="33" t="s">
        <v>175</v>
      </c>
      <c r="G448" s="34">
        <v>119</v>
      </c>
      <c r="H448" s="34">
        <v>119</v>
      </c>
      <c r="I448" s="34">
        <f t="shared" si="12"/>
        <v>100</v>
      </c>
    </row>
    <row r="449" spans="1:9" ht="17.25" customHeight="1" hidden="1">
      <c r="A449" s="30" t="s">
        <v>263</v>
      </c>
      <c r="B449" s="47"/>
      <c r="C449" s="48" t="s">
        <v>190</v>
      </c>
      <c r="D449" s="48" t="s">
        <v>190</v>
      </c>
      <c r="E449" s="48" t="s">
        <v>573</v>
      </c>
      <c r="F449" s="36"/>
      <c r="G449" s="34">
        <f>SUM(G450)</f>
        <v>0</v>
      </c>
      <c r="H449" s="34">
        <f>SUM(H450)</f>
        <v>0</v>
      </c>
      <c r="I449" s="34" t="e">
        <f t="shared" si="12"/>
        <v>#DIV/0!</v>
      </c>
    </row>
    <row r="450" spans="1:9" ht="17.25" customHeight="1" hidden="1">
      <c r="A450" s="52" t="s">
        <v>265</v>
      </c>
      <c r="B450" s="47"/>
      <c r="C450" s="48" t="s">
        <v>190</v>
      </c>
      <c r="D450" s="48" t="s">
        <v>190</v>
      </c>
      <c r="E450" s="48" t="s">
        <v>573</v>
      </c>
      <c r="F450" s="36" t="s">
        <v>266</v>
      </c>
      <c r="G450" s="34"/>
      <c r="H450" s="34"/>
      <c r="I450" s="34" t="e">
        <f t="shared" si="12"/>
        <v>#DIV/0!</v>
      </c>
    </row>
    <row r="451" spans="1:9" ht="17.25" customHeight="1">
      <c r="A451" s="30" t="s">
        <v>263</v>
      </c>
      <c r="B451" s="47"/>
      <c r="C451" s="48" t="s">
        <v>190</v>
      </c>
      <c r="D451" s="48" t="s">
        <v>190</v>
      </c>
      <c r="E451" s="48" t="s">
        <v>574</v>
      </c>
      <c r="F451" s="36"/>
      <c r="G451" s="34">
        <f>SUM(G452)</f>
        <v>1399.7</v>
      </c>
      <c r="H451" s="34">
        <f>SUM(H452)</f>
        <v>1368.6</v>
      </c>
      <c r="I451" s="34">
        <f t="shared" si="12"/>
        <v>97.77809530613702</v>
      </c>
    </row>
    <row r="452" spans="1:9" ht="18.75" customHeight="1">
      <c r="A452" s="52" t="s">
        <v>265</v>
      </c>
      <c r="B452" s="47"/>
      <c r="C452" s="48" t="s">
        <v>190</v>
      </c>
      <c r="D452" s="48" t="s">
        <v>190</v>
      </c>
      <c r="E452" s="48" t="s">
        <v>574</v>
      </c>
      <c r="F452" s="36" t="s">
        <v>266</v>
      </c>
      <c r="G452" s="34">
        <v>1399.7</v>
      </c>
      <c r="H452" s="34">
        <v>1368.6</v>
      </c>
      <c r="I452" s="34">
        <f t="shared" si="12"/>
        <v>97.77809530613702</v>
      </c>
    </row>
    <row r="453" spans="1:9" ht="28.5">
      <c r="A453" s="49" t="s">
        <v>575</v>
      </c>
      <c r="B453" s="39"/>
      <c r="C453" s="32" t="s">
        <v>190</v>
      </c>
      <c r="D453" s="32" t="s">
        <v>190</v>
      </c>
      <c r="E453" s="32" t="s">
        <v>193</v>
      </c>
      <c r="F453" s="33"/>
      <c r="G453" s="34">
        <f>SUM(G454)</f>
        <v>6269.4</v>
      </c>
      <c r="H453" s="34">
        <f>SUM(H454)</f>
        <v>6244.8</v>
      </c>
      <c r="I453" s="34">
        <f t="shared" si="12"/>
        <v>99.6076179538712</v>
      </c>
    </row>
    <row r="454" spans="1:9" ht="15">
      <c r="A454" s="49" t="s">
        <v>576</v>
      </c>
      <c r="B454" s="39"/>
      <c r="C454" s="32" t="s">
        <v>190</v>
      </c>
      <c r="D454" s="32" t="s">
        <v>190</v>
      </c>
      <c r="E454" s="32" t="s">
        <v>577</v>
      </c>
      <c r="F454" s="33"/>
      <c r="G454" s="34">
        <f>SUM(G455)</f>
        <v>6269.4</v>
      </c>
      <c r="H454" s="34">
        <f>SUM(H455)</f>
        <v>6244.8</v>
      </c>
      <c r="I454" s="34">
        <f t="shared" si="12"/>
        <v>99.6076179538712</v>
      </c>
    </row>
    <row r="455" spans="1:9" ht="17.25" customHeight="1">
      <c r="A455" s="52" t="s">
        <v>265</v>
      </c>
      <c r="B455" s="39"/>
      <c r="C455" s="32" t="s">
        <v>190</v>
      </c>
      <c r="D455" s="32" t="s">
        <v>190</v>
      </c>
      <c r="E455" s="32" t="s">
        <v>577</v>
      </c>
      <c r="F455" s="33" t="s">
        <v>266</v>
      </c>
      <c r="G455" s="34">
        <v>6269.4</v>
      </c>
      <c r="H455" s="34">
        <v>6244.8</v>
      </c>
      <c r="I455" s="34">
        <f t="shared" si="12"/>
        <v>99.6076179538712</v>
      </c>
    </row>
    <row r="456" spans="1:9" ht="0.75" customHeight="1" hidden="1">
      <c r="A456" s="127" t="s">
        <v>578</v>
      </c>
      <c r="B456" s="48"/>
      <c r="C456" s="48" t="s">
        <v>190</v>
      </c>
      <c r="D456" s="32" t="s">
        <v>190</v>
      </c>
      <c r="E456" s="48" t="s">
        <v>579</v>
      </c>
      <c r="F456" s="36"/>
      <c r="G456" s="34">
        <f aca="true" t="shared" si="14" ref="G456:H458">SUM(G457)</f>
        <v>0</v>
      </c>
      <c r="H456" s="34">
        <f t="shared" si="14"/>
        <v>0</v>
      </c>
      <c r="I456" s="34" t="e">
        <f t="shared" si="12"/>
        <v>#DIV/0!</v>
      </c>
    </row>
    <row r="457" spans="1:9" ht="57" customHeight="1" hidden="1">
      <c r="A457" s="52" t="s">
        <v>580</v>
      </c>
      <c r="B457" s="39"/>
      <c r="C457" s="48" t="s">
        <v>190</v>
      </c>
      <c r="D457" s="32" t="s">
        <v>190</v>
      </c>
      <c r="E457" s="48" t="s">
        <v>581</v>
      </c>
      <c r="F457" s="33"/>
      <c r="G457" s="34">
        <f t="shared" si="14"/>
        <v>0</v>
      </c>
      <c r="H457" s="34">
        <f t="shared" si="14"/>
        <v>0</v>
      </c>
      <c r="I457" s="34" t="e">
        <f t="shared" si="12"/>
        <v>#DIV/0!</v>
      </c>
    </row>
    <row r="458" spans="1:9" ht="43.5" customHeight="1" hidden="1">
      <c r="A458" s="52" t="s">
        <v>582</v>
      </c>
      <c r="B458" s="39"/>
      <c r="C458" s="48" t="s">
        <v>190</v>
      </c>
      <c r="D458" s="32" t="s">
        <v>190</v>
      </c>
      <c r="E458" s="48" t="s">
        <v>583</v>
      </c>
      <c r="F458" s="33"/>
      <c r="G458" s="34">
        <f t="shared" si="14"/>
        <v>0</v>
      </c>
      <c r="H458" s="34">
        <f t="shared" si="14"/>
        <v>0</v>
      </c>
      <c r="I458" s="34" t="e">
        <f t="shared" si="12"/>
        <v>#DIV/0!</v>
      </c>
    </row>
    <row r="459" spans="1:9" ht="13.5" customHeight="1" hidden="1">
      <c r="A459" s="52" t="s">
        <v>584</v>
      </c>
      <c r="B459" s="39"/>
      <c r="C459" s="48" t="s">
        <v>190</v>
      </c>
      <c r="D459" s="32" t="s">
        <v>190</v>
      </c>
      <c r="E459" s="48" t="s">
        <v>583</v>
      </c>
      <c r="F459" s="33" t="s">
        <v>585</v>
      </c>
      <c r="G459" s="34"/>
      <c r="H459" s="34"/>
      <c r="I459" s="34" t="e">
        <f t="shared" si="12"/>
        <v>#DIV/0!</v>
      </c>
    </row>
    <row r="460" spans="1:9" ht="15">
      <c r="A460" s="30" t="s">
        <v>586</v>
      </c>
      <c r="B460" s="31"/>
      <c r="C460" s="48" t="s">
        <v>190</v>
      </c>
      <c r="D460" s="48" t="s">
        <v>317</v>
      </c>
      <c r="E460" s="48"/>
      <c r="F460" s="36"/>
      <c r="G460" s="34">
        <f>SUM(G464+G468+G475+G488+G461)</f>
        <v>46920.899999999994</v>
      </c>
      <c r="H460" s="34">
        <f>SUM(H464+H468+H475+H488+H461)</f>
        <v>46632.7</v>
      </c>
      <c r="I460" s="34">
        <f t="shared" si="12"/>
        <v>99.38577478266615</v>
      </c>
    </row>
    <row r="461" spans="1:9" s="50" customFormat="1" ht="28.5">
      <c r="A461" s="46" t="s">
        <v>270</v>
      </c>
      <c r="B461" s="47"/>
      <c r="C461" s="48" t="s">
        <v>190</v>
      </c>
      <c r="D461" s="48" t="s">
        <v>317</v>
      </c>
      <c r="E461" s="48" t="s">
        <v>215</v>
      </c>
      <c r="F461" s="36"/>
      <c r="G461" s="34">
        <f>SUM(G462)</f>
        <v>311.7</v>
      </c>
      <c r="H461" s="34">
        <f>SUM(H462)</f>
        <v>311.7</v>
      </c>
      <c r="I461" s="34">
        <f t="shared" si="12"/>
        <v>100</v>
      </c>
    </row>
    <row r="462" spans="1:9" s="50" customFormat="1" ht="27.75" customHeight="1">
      <c r="A462" s="46" t="s">
        <v>454</v>
      </c>
      <c r="B462" s="47"/>
      <c r="C462" s="48" t="s">
        <v>190</v>
      </c>
      <c r="D462" s="48" t="s">
        <v>317</v>
      </c>
      <c r="E462" s="48" t="s">
        <v>272</v>
      </c>
      <c r="F462" s="36"/>
      <c r="G462" s="34">
        <f>SUM(G463)</f>
        <v>311.7</v>
      </c>
      <c r="H462" s="34">
        <f>SUM(H463)</f>
        <v>311.7</v>
      </c>
      <c r="I462" s="34">
        <f t="shared" si="12"/>
        <v>100</v>
      </c>
    </row>
    <row r="463" spans="1:9" s="50" customFormat="1" ht="18" customHeight="1">
      <c r="A463" s="46" t="s">
        <v>455</v>
      </c>
      <c r="B463" s="47"/>
      <c r="C463" s="48" t="s">
        <v>190</v>
      </c>
      <c r="D463" s="48" t="s">
        <v>317</v>
      </c>
      <c r="E463" s="48" t="s">
        <v>272</v>
      </c>
      <c r="F463" s="36" t="s">
        <v>274</v>
      </c>
      <c r="G463" s="34">
        <v>311.7</v>
      </c>
      <c r="H463" s="34">
        <v>311.7</v>
      </c>
      <c r="I463" s="34">
        <f t="shared" si="12"/>
        <v>100</v>
      </c>
    </row>
    <row r="464" spans="1:9" ht="15">
      <c r="A464" s="96" t="s">
        <v>555</v>
      </c>
      <c r="B464" s="85"/>
      <c r="C464" s="48" t="s">
        <v>190</v>
      </c>
      <c r="D464" s="48" t="s">
        <v>317</v>
      </c>
      <c r="E464" s="48" t="s">
        <v>556</v>
      </c>
      <c r="F464" s="36"/>
      <c r="G464" s="34">
        <f aca="true" t="shared" si="15" ref="G464:H466">SUM(G465)</f>
        <v>2615</v>
      </c>
      <c r="H464" s="34">
        <f t="shared" si="15"/>
        <v>2607.5</v>
      </c>
      <c r="I464" s="34">
        <f t="shared" si="12"/>
        <v>99.7131931166348</v>
      </c>
    </row>
    <row r="465" spans="1:9" ht="19.5" customHeight="1">
      <c r="A465" s="35" t="s">
        <v>587</v>
      </c>
      <c r="B465" s="85"/>
      <c r="C465" s="48" t="s">
        <v>190</v>
      </c>
      <c r="D465" s="48" t="s">
        <v>317</v>
      </c>
      <c r="E465" s="48" t="s">
        <v>588</v>
      </c>
      <c r="F465" s="36"/>
      <c r="G465" s="34">
        <f t="shared" si="15"/>
        <v>2615</v>
      </c>
      <c r="H465" s="34">
        <f t="shared" si="15"/>
        <v>2607.5</v>
      </c>
      <c r="I465" s="34">
        <f t="shared" si="12"/>
        <v>99.7131931166348</v>
      </c>
    </row>
    <row r="466" spans="1:9" ht="30" customHeight="1">
      <c r="A466" s="52" t="s">
        <v>589</v>
      </c>
      <c r="B466" s="85"/>
      <c r="C466" s="48" t="s">
        <v>190</v>
      </c>
      <c r="D466" s="48" t="s">
        <v>317</v>
      </c>
      <c r="E466" s="48" t="s">
        <v>590</v>
      </c>
      <c r="F466" s="36"/>
      <c r="G466" s="34">
        <f t="shared" si="15"/>
        <v>2615</v>
      </c>
      <c r="H466" s="34">
        <f t="shared" si="15"/>
        <v>2607.5</v>
      </c>
      <c r="I466" s="34">
        <f aca="true" t="shared" si="16" ref="I466:I529">SUM(H466/G466*100)</f>
        <v>99.7131931166348</v>
      </c>
    </row>
    <row r="467" spans="1:9" ht="18" customHeight="1">
      <c r="A467" s="35" t="s">
        <v>174</v>
      </c>
      <c r="B467" s="85"/>
      <c r="C467" s="48" t="s">
        <v>190</v>
      </c>
      <c r="D467" s="48" t="s">
        <v>317</v>
      </c>
      <c r="E467" s="48" t="s">
        <v>590</v>
      </c>
      <c r="F467" s="36" t="s">
        <v>175</v>
      </c>
      <c r="G467" s="34">
        <v>2615</v>
      </c>
      <c r="H467" s="34">
        <v>2607.5</v>
      </c>
      <c r="I467" s="34">
        <f t="shared" si="16"/>
        <v>99.7131931166348</v>
      </c>
    </row>
    <row r="468" spans="1:9" ht="57">
      <c r="A468" s="49" t="s">
        <v>591</v>
      </c>
      <c r="B468" s="31"/>
      <c r="C468" s="48" t="s">
        <v>190</v>
      </c>
      <c r="D468" s="48" t="s">
        <v>317</v>
      </c>
      <c r="E468" s="48" t="s">
        <v>592</v>
      </c>
      <c r="F468" s="36"/>
      <c r="G468" s="34">
        <f>SUM(G469)</f>
        <v>25105.3</v>
      </c>
      <c r="H468" s="34">
        <f>SUM(H469)</f>
        <v>24824.7</v>
      </c>
      <c r="I468" s="34">
        <f t="shared" si="16"/>
        <v>98.88230771988385</v>
      </c>
    </row>
    <row r="469" spans="1:9" ht="23.25" customHeight="1">
      <c r="A469" s="35" t="s">
        <v>263</v>
      </c>
      <c r="B469" s="85"/>
      <c r="C469" s="48" t="s">
        <v>190</v>
      </c>
      <c r="D469" s="48" t="s">
        <v>317</v>
      </c>
      <c r="E469" s="48" t="s">
        <v>593</v>
      </c>
      <c r="F469" s="36"/>
      <c r="G469" s="34">
        <f>SUM(G470+G471+G473)</f>
        <v>25105.3</v>
      </c>
      <c r="H469" s="34">
        <f>SUM(H470+H471+H473)</f>
        <v>24824.7</v>
      </c>
      <c r="I469" s="34">
        <f t="shared" si="16"/>
        <v>98.88230771988385</v>
      </c>
    </row>
    <row r="470" spans="1:9" ht="18" customHeight="1">
      <c r="A470" s="52" t="s">
        <v>265</v>
      </c>
      <c r="B470" s="85"/>
      <c r="C470" s="48" t="s">
        <v>190</v>
      </c>
      <c r="D470" s="48" t="s">
        <v>317</v>
      </c>
      <c r="E470" s="48" t="s">
        <v>593</v>
      </c>
      <c r="F470" s="36" t="s">
        <v>266</v>
      </c>
      <c r="G470" s="34">
        <v>24780.8</v>
      </c>
      <c r="H470" s="34">
        <v>24643.3</v>
      </c>
      <c r="I470" s="34">
        <f t="shared" si="16"/>
        <v>99.44513494318183</v>
      </c>
    </row>
    <row r="471" spans="1:9" ht="59.25" customHeight="1">
      <c r="A471" s="49" t="s">
        <v>591</v>
      </c>
      <c r="B471" s="85"/>
      <c r="C471" s="48" t="s">
        <v>190</v>
      </c>
      <c r="D471" s="48" t="s">
        <v>317</v>
      </c>
      <c r="E471" s="48" t="s">
        <v>594</v>
      </c>
      <c r="F471" s="36"/>
      <c r="G471" s="34">
        <f>SUM(G472)</f>
        <v>143.1</v>
      </c>
      <c r="H471" s="34">
        <f>SUM(H472)</f>
        <v>0</v>
      </c>
      <c r="I471" s="34">
        <f t="shared" si="16"/>
        <v>0</v>
      </c>
    </row>
    <row r="472" spans="1:9" ht="21" customHeight="1">
      <c r="A472" s="52" t="s">
        <v>265</v>
      </c>
      <c r="B472" s="85"/>
      <c r="C472" s="48" t="s">
        <v>190</v>
      </c>
      <c r="D472" s="48" t="s">
        <v>317</v>
      </c>
      <c r="E472" s="48" t="s">
        <v>594</v>
      </c>
      <c r="F472" s="36" t="s">
        <v>266</v>
      </c>
      <c r="G472" s="34">
        <v>143.1</v>
      </c>
      <c r="H472" s="34"/>
      <c r="I472" s="34">
        <f t="shared" si="16"/>
        <v>0</v>
      </c>
    </row>
    <row r="473" spans="1:9" ht="62.25" customHeight="1">
      <c r="A473" s="35" t="s">
        <v>508</v>
      </c>
      <c r="B473" s="69"/>
      <c r="C473" s="48" t="s">
        <v>190</v>
      </c>
      <c r="D473" s="48" t="s">
        <v>317</v>
      </c>
      <c r="E473" s="48" t="s">
        <v>595</v>
      </c>
      <c r="F473" s="37"/>
      <c r="G473" s="34">
        <f>SUM(G474)</f>
        <v>181.4</v>
      </c>
      <c r="H473" s="34">
        <f>SUM(H474)</f>
        <v>181.4</v>
      </c>
      <c r="I473" s="34">
        <f t="shared" si="16"/>
        <v>100</v>
      </c>
    </row>
    <row r="474" spans="1:9" ht="18" customHeight="1">
      <c r="A474" s="52" t="s">
        <v>265</v>
      </c>
      <c r="B474" s="85"/>
      <c r="C474" s="48" t="s">
        <v>190</v>
      </c>
      <c r="D474" s="48" t="s">
        <v>317</v>
      </c>
      <c r="E474" s="48" t="s">
        <v>595</v>
      </c>
      <c r="F474" s="36" t="s">
        <v>266</v>
      </c>
      <c r="G474" s="34">
        <v>181.4</v>
      </c>
      <c r="H474" s="34">
        <v>181.4</v>
      </c>
      <c r="I474" s="34">
        <f t="shared" si="16"/>
        <v>100</v>
      </c>
    </row>
    <row r="475" spans="1:9" ht="21.75" customHeight="1">
      <c r="A475" s="35" t="s">
        <v>331</v>
      </c>
      <c r="B475" s="69"/>
      <c r="C475" s="48" t="s">
        <v>190</v>
      </c>
      <c r="D475" s="48" t="s">
        <v>317</v>
      </c>
      <c r="E475" s="48" t="s">
        <v>332</v>
      </c>
      <c r="F475" s="37"/>
      <c r="G475" s="34">
        <f>SUM(G476+G480+G484+G478)+G482</f>
        <v>1532.8000000000002</v>
      </c>
      <c r="H475" s="34">
        <f>SUM(H476+H480+H484+H478)+H482</f>
        <v>1532.8000000000002</v>
      </c>
      <c r="I475" s="34">
        <f t="shared" si="16"/>
        <v>100</v>
      </c>
    </row>
    <row r="476" spans="1:9" ht="46.5" customHeight="1" hidden="1">
      <c r="A476" s="35" t="s">
        <v>0</v>
      </c>
      <c r="B476" s="69"/>
      <c r="C476" s="48" t="s">
        <v>190</v>
      </c>
      <c r="D476" s="48" t="s">
        <v>317</v>
      </c>
      <c r="E476" s="48" t="s">
        <v>1</v>
      </c>
      <c r="F476" s="37"/>
      <c r="G476" s="34">
        <f>SUM(G477)</f>
        <v>0</v>
      </c>
      <c r="H476" s="34">
        <f>SUM(H477)</f>
        <v>0</v>
      </c>
      <c r="I476" s="34" t="e">
        <f t="shared" si="16"/>
        <v>#DIV/0!</v>
      </c>
    </row>
    <row r="477" spans="1:9" ht="18.75" customHeight="1" hidden="1">
      <c r="A477" s="35" t="s">
        <v>2</v>
      </c>
      <c r="B477" s="69"/>
      <c r="C477" s="48" t="s">
        <v>190</v>
      </c>
      <c r="D477" s="48" t="s">
        <v>317</v>
      </c>
      <c r="E477" s="48" t="s">
        <v>1</v>
      </c>
      <c r="F477" s="37" t="s">
        <v>3</v>
      </c>
      <c r="G477" s="34"/>
      <c r="H477" s="34"/>
      <c r="I477" s="34" t="e">
        <f t="shared" si="16"/>
        <v>#DIV/0!</v>
      </c>
    </row>
    <row r="478" spans="1:9" ht="55.5" customHeight="1" hidden="1">
      <c r="A478" s="35" t="s">
        <v>4</v>
      </c>
      <c r="B478" s="69"/>
      <c r="C478" s="48" t="s">
        <v>190</v>
      </c>
      <c r="D478" s="48" t="s">
        <v>317</v>
      </c>
      <c r="E478" s="48" t="s">
        <v>5</v>
      </c>
      <c r="F478" s="37"/>
      <c r="G478" s="34">
        <f>SUM(G479)</f>
        <v>0</v>
      </c>
      <c r="H478" s="34">
        <f>SUM(H479)</f>
        <v>0</v>
      </c>
      <c r="I478" s="34" t="e">
        <f t="shared" si="16"/>
        <v>#DIV/0!</v>
      </c>
    </row>
    <row r="479" spans="1:9" ht="33" customHeight="1" hidden="1">
      <c r="A479" s="35" t="s">
        <v>521</v>
      </c>
      <c r="B479" s="69"/>
      <c r="C479" s="48" t="s">
        <v>190</v>
      </c>
      <c r="D479" s="48" t="s">
        <v>317</v>
      </c>
      <c r="E479" s="48" t="s">
        <v>5</v>
      </c>
      <c r="F479" s="37" t="s">
        <v>6</v>
      </c>
      <c r="G479" s="34"/>
      <c r="H479" s="34"/>
      <c r="I479" s="34" t="e">
        <f t="shared" si="16"/>
        <v>#DIV/0!</v>
      </c>
    </row>
    <row r="480" spans="1:9" ht="47.25" customHeight="1">
      <c r="A480" s="35" t="s">
        <v>510</v>
      </c>
      <c r="B480" s="69"/>
      <c r="C480" s="48" t="s">
        <v>190</v>
      </c>
      <c r="D480" s="48" t="s">
        <v>317</v>
      </c>
      <c r="E480" s="48" t="s">
        <v>511</v>
      </c>
      <c r="F480" s="37"/>
      <c r="G480" s="34">
        <f>SUM(G481)</f>
        <v>1323.4</v>
      </c>
      <c r="H480" s="34">
        <f>SUM(H481)</f>
        <v>1323.4</v>
      </c>
      <c r="I480" s="34">
        <f t="shared" si="16"/>
        <v>100</v>
      </c>
    </row>
    <row r="481" spans="1:9" ht="17.25" customHeight="1">
      <c r="A481" s="52" t="s">
        <v>265</v>
      </c>
      <c r="B481" s="69"/>
      <c r="C481" s="48" t="s">
        <v>190</v>
      </c>
      <c r="D481" s="48" t="s">
        <v>317</v>
      </c>
      <c r="E481" s="48" t="s">
        <v>511</v>
      </c>
      <c r="F481" s="37" t="s">
        <v>266</v>
      </c>
      <c r="G481" s="34">
        <v>1323.4</v>
      </c>
      <c r="H481" s="34">
        <v>1323.4</v>
      </c>
      <c r="I481" s="34">
        <f t="shared" si="16"/>
        <v>100</v>
      </c>
    </row>
    <row r="482" spans="1:9" ht="18.75" customHeight="1" hidden="1">
      <c r="A482" s="52" t="s">
        <v>7</v>
      </c>
      <c r="B482" s="69"/>
      <c r="C482" s="48" t="s">
        <v>190</v>
      </c>
      <c r="D482" s="48" t="s">
        <v>317</v>
      </c>
      <c r="E482" s="48" t="s">
        <v>8</v>
      </c>
      <c r="F482" s="37"/>
      <c r="G482" s="34">
        <f>SUM(G483)</f>
        <v>0</v>
      </c>
      <c r="H482" s="34">
        <f>SUM(H483)</f>
        <v>0</v>
      </c>
      <c r="I482" s="34" t="e">
        <f t="shared" si="16"/>
        <v>#DIV/0!</v>
      </c>
    </row>
    <row r="483" spans="1:9" ht="16.5" customHeight="1" hidden="1">
      <c r="A483" s="35" t="s">
        <v>521</v>
      </c>
      <c r="B483" s="69"/>
      <c r="C483" s="48" t="s">
        <v>190</v>
      </c>
      <c r="D483" s="48" t="s">
        <v>317</v>
      </c>
      <c r="E483" s="48" t="s">
        <v>8</v>
      </c>
      <c r="F483" s="37" t="s">
        <v>6</v>
      </c>
      <c r="G483" s="34"/>
      <c r="H483" s="34"/>
      <c r="I483" s="34" t="e">
        <f t="shared" si="16"/>
        <v>#DIV/0!</v>
      </c>
    </row>
    <row r="484" spans="1:9" ht="29.25">
      <c r="A484" s="35" t="s">
        <v>9</v>
      </c>
      <c r="B484" s="69"/>
      <c r="C484" s="48" t="s">
        <v>190</v>
      </c>
      <c r="D484" s="48" t="s">
        <v>317</v>
      </c>
      <c r="E484" s="48" t="s">
        <v>10</v>
      </c>
      <c r="F484" s="37"/>
      <c r="G484" s="34">
        <f>SUM(G486+G485)</f>
        <v>209.4</v>
      </c>
      <c r="H484" s="34">
        <f>SUM(H486+H485)</f>
        <v>209.4</v>
      </c>
      <c r="I484" s="34">
        <f t="shared" si="16"/>
        <v>100</v>
      </c>
    </row>
    <row r="485" spans="1:9" ht="29.25">
      <c r="A485" s="35" t="s">
        <v>502</v>
      </c>
      <c r="B485" s="69"/>
      <c r="C485" s="48" t="s">
        <v>190</v>
      </c>
      <c r="D485" s="48" t="s">
        <v>317</v>
      </c>
      <c r="E485" s="48" t="s">
        <v>10</v>
      </c>
      <c r="F485" s="37" t="s">
        <v>503</v>
      </c>
      <c r="G485" s="34">
        <v>71.5</v>
      </c>
      <c r="H485" s="34">
        <v>71.5</v>
      </c>
      <c r="I485" s="34">
        <f t="shared" si="16"/>
        <v>100</v>
      </c>
    </row>
    <row r="486" spans="1:9" ht="43.5">
      <c r="A486" s="35" t="s">
        <v>11</v>
      </c>
      <c r="B486" s="69"/>
      <c r="C486" s="48" t="s">
        <v>190</v>
      </c>
      <c r="D486" s="48" t="s">
        <v>317</v>
      </c>
      <c r="E486" s="48" t="s">
        <v>12</v>
      </c>
      <c r="F486" s="37"/>
      <c r="G486" s="34">
        <f>SUM(G487)</f>
        <v>137.9</v>
      </c>
      <c r="H486" s="34">
        <f>SUM(H487)</f>
        <v>137.9</v>
      </c>
      <c r="I486" s="34">
        <f t="shared" si="16"/>
        <v>100</v>
      </c>
    </row>
    <row r="487" spans="1:9" ht="15.75">
      <c r="A487" s="52" t="s">
        <v>265</v>
      </c>
      <c r="B487" s="69"/>
      <c r="C487" s="48" t="s">
        <v>190</v>
      </c>
      <c r="D487" s="48" t="s">
        <v>317</v>
      </c>
      <c r="E487" s="48" t="s">
        <v>12</v>
      </c>
      <c r="F487" s="37" t="s">
        <v>266</v>
      </c>
      <c r="G487" s="34">
        <v>137.9</v>
      </c>
      <c r="H487" s="34">
        <v>137.9</v>
      </c>
      <c r="I487" s="34">
        <f t="shared" si="16"/>
        <v>100</v>
      </c>
    </row>
    <row r="488" spans="1:9" s="129" customFormat="1" ht="15">
      <c r="A488" s="108" t="s">
        <v>278</v>
      </c>
      <c r="B488" s="128"/>
      <c r="C488" s="48" t="s">
        <v>190</v>
      </c>
      <c r="D488" s="48" t="s">
        <v>317</v>
      </c>
      <c r="E488" s="48" t="s">
        <v>279</v>
      </c>
      <c r="F488" s="37"/>
      <c r="G488" s="34">
        <f>SUM(G489)</f>
        <v>17356.1</v>
      </c>
      <c r="H488" s="34">
        <f>SUM(H489)</f>
        <v>17356</v>
      </c>
      <c r="I488" s="34">
        <f t="shared" si="16"/>
        <v>99.99942383369536</v>
      </c>
    </row>
    <row r="489" spans="1:9" s="129" customFormat="1" ht="18.75" customHeight="1">
      <c r="A489" s="108" t="s">
        <v>13</v>
      </c>
      <c r="B489" s="128"/>
      <c r="C489" s="48" t="s">
        <v>190</v>
      </c>
      <c r="D489" s="48" t="s">
        <v>317</v>
      </c>
      <c r="E489" s="48" t="s">
        <v>279</v>
      </c>
      <c r="F489" s="37" t="s">
        <v>14</v>
      </c>
      <c r="G489" s="34">
        <f>SUM(G490:G493)</f>
        <v>17356.1</v>
      </c>
      <c r="H489" s="34">
        <f>SUM(H490:H493)</f>
        <v>17356</v>
      </c>
      <c r="I489" s="34">
        <f t="shared" si="16"/>
        <v>99.99942383369536</v>
      </c>
    </row>
    <row r="490" spans="1:9" s="129" customFormat="1" ht="42" customHeight="1">
      <c r="A490" s="95" t="s">
        <v>973</v>
      </c>
      <c r="B490" s="128"/>
      <c r="C490" s="48" t="s">
        <v>190</v>
      </c>
      <c r="D490" s="48" t="s">
        <v>317</v>
      </c>
      <c r="E490" s="48" t="s">
        <v>974</v>
      </c>
      <c r="F490" s="37" t="s">
        <v>14</v>
      </c>
      <c r="G490" s="34">
        <v>250</v>
      </c>
      <c r="H490" s="34">
        <v>250</v>
      </c>
      <c r="I490" s="34">
        <f t="shared" si="16"/>
        <v>100</v>
      </c>
    </row>
    <row r="491" spans="1:9" ht="14.25" customHeight="1">
      <c r="A491" s="95" t="s">
        <v>975</v>
      </c>
      <c r="B491" s="31"/>
      <c r="C491" s="48" t="s">
        <v>190</v>
      </c>
      <c r="D491" s="48" t="s">
        <v>317</v>
      </c>
      <c r="E491" s="48" t="s">
        <v>976</v>
      </c>
      <c r="F491" s="37" t="s">
        <v>14</v>
      </c>
      <c r="G491" s="77">
        <v>13505</v>
      </c>
      <c r="H491" s="77">
        <v>13505</v>
      </c>
      <c r="I491" s="34">
        <f t="shared" si="16"/>
        <v>100</v>
      </c>
    </row>
    <row r="492" spans="1:9" ht="75.75" customHeight="1">
      <c r="A492" s="95" t="s">
        <v>977</v>
      </c>
      <c r="B492" s="31"/>
      <c r="C492" s="48" t="s">
        <v>190</v>
      </c>
      <c r="D492" s="48" t="s">
        <v>317</v>
      </c>
      <c r="E492" s="48" t="s">
        <v>978</v>
      </c>
      <c r="F492" s="37" t="s">
        <v>14</v>
      </c>
      <c r="G492" s="77">
        <v>2630</v>
      </c>
      <c r="H492" s="77">
        <v>2629.9</v>
      </c>
      <c r="I492" s="34">
        <f t="shared" si="16"/>
        <v>99.99619771863118</v>
      </c>
    </row>
    <row r="493" spans="1:9" ht="18" customHeight="1">
      <c r="A493" s="95" t="s">
        <v>979</v>
      </c>
      <c r="B493" s="31"/>
      <c r="C493" s="48" t="s">
        <v>190</v>
      </c>
      <c r="D493" s="48" t="s">
        <v>317</v>
      </c>
      <c r="E493" s="48" t="s">
        <v>980</v>
      </c>
      <c r="F493" s="37" t="s">
        <v>14</v>
      </c>
      <c r="G493" s="77">
        <v>971.1</v>
      </c>
      <c r="H493" s="77">
        <v>971.1</v>
      </c>
      <c r="I493" s="34">
        <f t="shared" si="16"/>
        <v>100</v>
      </c>
    </row>
    <row r="494" spans="1:9" s="29" customFormat="1" ht="30">
      <c r="A494" s="53" t="s">
        <v>981</v>
      </c>
      <c r="B494" s="54"/>
      <c r="C494" s="55" t="s">
        <v>203</v>
      </c>
      <c r="D494" s="55"/>
      <c r="E494" s="55"/>
      <c r="F494" s="56"/>
      <c r="G494" s="57">
        <f>SUM(G495+G519)</f>
        <v>47178.102000000006</v>
      </c>
      <c r="H494" s="57">
        <f>SUM(H495+H519)</f>
        <v>46123.602000000006</v>
      </c>
      <c r="I494" s="57">
        <f t="shared" si="16"/>
        <v>97.76485285482659</v>
      </c>
    </row>
    <row r="495" spans="1:9" ht="15">
      <c r="A495" s="30" t="s">
        <v>982</v>
      </c>
      <c r="B495" s="31"/>
      <c r="C495" s="48" t="s">
        <v>203</v>
      </c>
      <c r="D495" s="48" t="s">
        <v>167</v>
      </c>
      <c r="E495" s="48"/>
      <c r="F495" s="36"/>
      <c r="G495" s="34">
        <f>SUM(G508+G502+G496+G516)</f>
        <v>38874.600000000006</v>
      </c>
      <c r="H495" s="34">
        <f>SUM(H508+H502+H496+H516)</f>
        <v>38060.100000000006</v>
      </c>
      <c r="I495" s="34">
        <f t="shared" si="16"/>
        <v>97.90480159281381</v>
      </c>
    </row>
    <row r="496" spans="1:9" ht="28.5">
      <c r="A496" s="30" t="s">
        <v>275</v>
      </c>
      <c r="B496" s="31"/>
      <c r="C496" s="48" t="s">
        <v>203</v>
      </c>
      <c r="D496" s="48" t="s">
        <v>167</v>
      </c>
      <c r="E496" s="48" t="s">
        <v>276</v>
      </c>
      <c r="F496" s="36"/>
      <c r="G496" s="34">
        <f>SUM(G497)</f>
        <v>20127.2</v>
      </c>
      <c r="H496" s="34">
        <f>SUM(H497)</f>
        <v>19896.9</v>
      </c>
      <c r="I496" s="34">
        <f t="shared" si="16"/>
        <v>98.85577725664773</v>
      </c>
    </row>
    <row r="497" spans="1:9" ht="24.75" customHeight="1">
      <c r="A497" s="35" t="s">
        <v>263</v>
      </c>
      <c r="B497" s="123"/>
      <c r="C497" s="48" t="s">
        <v>203</v>
      </c>
      <c r="D497" s="48" t="s">
        <v>167</v>
      </c>
      <c r="E497" s="48" t="s">
        <v>277</v>
      </c>
      <c r="F497" s="36"/>
      <c r="G497" s="34">
        <f>SUM(G498:G500)</f>
        <v>20127.2</v>
      </c>
      <c r="H497" s="34">
        <f>SUM(H498:H500)</f>
        <v>19896.9</v>
      </c>
      <c r="I497" s="34">
        <f t="shared" si="16"/>
        <v>98.85577725664773</v>
      </c>
    </row>
    <row r="498" spans="1:9" ht="15.75" customHeight="1">
      <c r="A498" s="52" t="s">
        <v>265</v>
      </c>
      <c r="B498" s="69"/>
      <c r="C498" s="48" t="s">
        <v>203</v>
      </c>
      <c r="D498" s="48" t="s">
        <v>167</v>
      </c>
      <c r="E498" s="48" t="s">
        <v>277</v>
      </c>
      <c r="F498" s="37" t="s">
        <v>266</v>
      </c>
      <c r="G498" s="34">
        <v>17265</v>
      </c>
      <c r="H498" s="34">
        <v>17034.7</v>
      </c>
      <c r="I498" s="34">
        <f t="shared" si="16"/>
        <v>98.66608746017957</v>
      </c>
    </row>
    <row r="499" spans="1:9" ht="46.5" customHeight="1" hidden="1">
      <c r="A499" s="52" t="s">
        <v>618</v>
      </c>
      <c r="B499" s="69"/>
      <c r="C499" s="48" t="s">
        <v>203</v>
      </c>
      <c r="D499" s="48" t="s">
        <v>167</v>
      </c>
      <c r="E499" s="48" t="s">
        <v>277</v>
      </c>
      <c r="F499" s="37" t="s">
        <v>619</v>
      </c>
      <c r="G499" s="34"/>
      <c r="H499" s="34"/>
      <c r="I499" s="34" t="e">
        <f t="shared" si="16"/>
        <v>#DIV/0!</v>
      </c>
    </row>
    <row r="500" spans="1:9" ht="57.75" customHeight="1">
      <c r="A500" s="35" t="s">
        <v>508</v>
      </c>
      <c r="B500" s="39"/>
      <c r="C500" s="48" t="s">
        <v>203</v>
      </c>
      <c r="D500" s="48" t="s">
        <v>167</v>
      </c>
      <c r="E500" s="48" t="s">
        <v>620</v>
      </c>
      <c r="F500" s="37"/>
      <c r="G500" s="34">
        <f>SUM(G501)</f>
        <v>2862.2</v>
      </c>
      <c r="H500" s="34">
        <f>SUM(H501)</f>
        <v>2862.2</v>
      </c>
      <c r="I500" s="34">
        <f t="shared" si="16"/>
        <v>100</v>
      </c>
    </row>
    <row r="501" spans="1:9" ht="22.5" customHeight="1">
      <c r="A501" s="52" t="s">
        <v>265</v>
      </c>
      <c r="B501" s="69"/>
      <c r="C501" s="48" t="s">
        <v>203</v>
      </c>
      <c r="D501" s="48" t="s">
        <v>167</v>
      </c>
      <c r="E501" s="48" t="s">
        <v>620</v>
      </c>
      <c r="F501" s="37" t="s">
        <v>266</v>
      </c>
      <c r="G501" s="34">
        <v>2862.2</v>
      </c>
      <c r="H501" s="34">
        <v>2862.2</v>
      </c>
      <c r="I501" s="34">
        <f t="shared" si="16"/>
        <v>100</v>
      </c>
    </row>
    <row r="502" spans="1:9" ht="15">
      <c r="A502" s="30" t="s">
        <v>621</v>
      </c>
      <c r="B502" s="31"/>
      <c r="C502" s="48" t="s">
        <v>203</v>
      </c>
      <c r="D502" s="48" t="s">
        <v>167</v>
      </c>
      <c r="E502" s="48" t="s">
        <v>622</v>
      </c>
      <c r="F502" s="36"/>
      <c r="G502" s="34">
        <f>SUM(G503)</f>
        <v>2902.2000000000003</v>
      </c>
      <c r="H502" s="34">
        <f>SUM(H503)</f>
        <v>2824.7000000000003</v>
      </c>
      <c r="I502" s="34">
        <f t="shared" si="16"/>
        <v>97.32961201846875</v>
      </c>
    </row>
    <row r="503" spans="1:9" ht="19.5" customHeight="1">
      <c r="A503" s="35" t="s">
        <v>263</v>
      </c>
      <c r="B503" s="123"/>
      <c r="C503" s="48" t="s">
        <v>203</v>
      </c>
      <c r="D503" s="48" t="s">
        <v>167</v>
      </c>
      <c r="E503" s="48" t="s">
        <v>623</v>
      </c>
      <c r="F503" s="36"/>
      <c r="G503" s="34">
        <f>SUM(G504)+G506</f>
        <v>2902.2000000000003</v>
      </c>
      <c r="H503" s="34">
        <f>SUM(H504)+H506</f>
        <v>2824.7000000000003</v>
      </c>
      <c r="I503" s="34">
        <f t="shared" si="16"/>
        <v>97.32961201846875</v>
      </c>
    </row>
    <row r="504" spans="1:9" ht="18" customHeight="1">
      <c r="A504" s="52" t="s">
        <v>265</v>
      </c>
      <c r="B504" s="69"/>
      <c r="C504" s="48" t="s">
        <v>203</v>
      </c>
      <c r="D504" s="48" t="s">
        <v>167</v>
      </c>
      <c r="E504" s="48" t="s">
        <v>623</v>
      </c>
      <c r="F504" s="37" t="s">
        <v>266</v>
      </c>
      <c r="G504" s="34">
        <v>2813.9</v>
      </c>
      <c r="H504" s="34">
        <v>2736.4</v>
      </c>
      <c r="I504" s="34">
        <f t="shared" si="16"/>
        <v>97.2458154163261</v>
      </c>
    </row>
    <row r="505" spans="1:9" ht="46.5" customHeight="1" hidden="1">
      <c r="A505" s="52" t="s">
        <v>618</v>
      </c>
      <c r="B505" s="69"/>
      <c r="C505" s="48" t="s">
        <v>203</v>
      </c>
      <c r="D505" s="48" t="s">
        <v>167</v>
      </c>
      <c r="E505" s="48" t="s">
        <v>623</v>
      </c>
      <c r="F505" s="37" t="s">
        <v>619</v>
      </c>
      <c r="G505" s="34"/>
      <c r="H505" s="34"/>
      <c r="I505" s="34" t="e">
        <f t="shared" si="16"/>
        <v>#DIV/0!</v>
      </c>
    </row>
    <row r="506" spans="1:9" ht="57" customHeight="1">
      <c r="A506" s="35" t="s">
        <v>508</v>
      </c>
      <c r="B506" s="39"/>
      <c r="C506" s="48" t="s">
        <v>203</v>
      </c>
      <c r="D506" s="48" t="s">
        <v>167</v>
      </c>
      <c r="E506" s="48" t="s">
        <v>624</v>
      </c>
      <c r="F506" s="37"/>
      <c r="G506" s="34">
        <f>SUM(G507)</f>
        <v>88.3</v>
      </c>
      <c r="H506" s="34">
        <f>SUM(H507)</f>
        <v>88.3</v>
      </c>
      <c r="I506" s="34">
        <f t="shared" si="16"/>
        <v>100</v>
      </c>
    </row>
    <row r="507" spans="1:9" ht="18.75" customHeight="1">
      <c r="A507" s="52" t="s">
        <v>265</v>
      </c>
      <c r="B507" s="69"/>
      <c r="C507" s="48" t="s">
        <v>203</v>
      </c>
      <c r="D507" s="48" t="s">
        <v>167</v>
      </c>
      <c r="E507" s="48" t="s">
        <v>624</v>
      </c>
      <c r="F507" s="37" t="s">
        <v>266</v>
      </c>
      <c r="G507" s="34">
        <v>88.3</v>
      </c>
      <c r="H507" s="34">
        <v>88.3</v>
      </c>
      <c r="I507" s="34">
        <f t="shared" si="16"/>
        <v>100</v>
      </c>
    </row>
    <row r="508" spans="1:9" ht="15">
      <c r="A508" s="30" t="s">
        <v>625</v>
      </c>
      <c r="B508" s="31"/>
      <c r="C508" s="48" t="s">
        <v>203</v>
      </c>
      <c r="D508" s="48" t="s">
        <v>167</v>
      </c>
      <c r="E508" s="48" t="s">
        <v>626</v>
      </c>
      <c r="F508" s="36"/>
      <c r="G508" s="34">
        <f>SUM(G509)</f>
        <v>15331.2</v>
      </c>
      <c r="H508" s="34">
        <f>SUM(H509)</f>
        <v>14944.5</v>
      </c>
      <c r="I508" s="34">
        <f t="shared" si="16"/>
        <v>97.47769254852848</v>
      </c>
    </row>
    <row r="509" spans="1:9" ht="19.5" customHeight="1">
      <c r="A509" s="35" t="s">
        <v>263</v>
      </c>
      <c r="B509" s="123"/>
      <c r="C509" s="48" t="s">
        <v>203</v>
      </c>
      <c r="D509" s="48" t="s">
        <v>167</v>
      </c>
      <c r="E509" s="48" t="s">
        <v>627</v>
      </c>
      <c r="F509" s="36"/>
      <c r="G509" s="34">
        <f>SUM(G510+G512+G514)</f>
        <v>15331.2</v>
      </c>
      <c r="H509" s="34">
        <f>SUM(H510+H512+H514)</f>
        <v>14944.5</v>
      </c>
      <c r="I509" s="34">
        <f t="shared" si="16"/>
        <v>97.47769254852848</v>
      </c>
    </row>
    <row r="510" spans="1:9" ht="16.5" customHeight="1">
      <c r="A510" s="52" t="s">
        <v>265</v>
      </c>
      <c r="B510" s="69"/>
      <c r="C510" s="48" t="s">
        <v>203</v>
      </c>
      <c r="D510" s="48" t="s">
        <v>167</v>
      </c>
      <c r="E510" s="48" t="s">
        <v>627</v>
      </c>
      <c r="F510" s="37" t="s">
        <v>266</v>
      </c>
      <c r="G510" s="34">
        <v>12912</v>
      </c>
      <c r="H510" s="34">
        <v>12817.4</v>
      </c>
      <c r="I510" s="34">
        <f t="shared" si="16"/>
        <v>99.2673482032218</v>
      </c>
    </row>
    <row r="511" spans="1:9" ht="43.5" customHeight="1" hidden="1">
      <c r="A511" s="52" t="s">
        <v>618</v>
      </c>
      <c r="B511" s="69"/>
      <c r="C511" s="48" t="s">
        <v>203</v>
      </c>
      <c r="D511" s="48" t="s">
        <v>167</v>
      </c>
      <c r="E511" s="48" t="s">
        <v>627</v>
      </c>
      <c r="F511" s="37" t="s">
        <v>619</v>
      </c>
      <c r="G511" s="34"/>
      <c r="H511" s="34"/>
      <c r="I511" s="34" t="e">
        <f t="shared" si="16"/>
        <v>#DIV/0!</v>
      </c>
    </row>
    <row r="512" spans="1:9" ht="57.75" customHeight="1">
      <c r="A512" s="35" t="s">
        <v>508</v>
      </c>
      <c r="B512" s="39"/>
      <c r="C512" s="48" t="s">
        <v>203</v>
      </c>
      <c r="D512" s="48" t="s">
        <v>167</v>
      </c>
      <c r="E512" s="48" t="s">
        <v>628</v>
      </c>
      <c r="F512" s="37"/>
      <c r="G512" s="34">
        <f>SUM(G513)</f>
        <v>367.9</v>
      </c>
      <c r="H512" s="34">
        <f>SUM(H513)</f>
        <v>367.9</v>
      </c>
      <c r="I512" s="34">
        <f t="shared" si="16"/>
        <v>100</v>
      </c>
    </row>
    <row r="513" spans="1:9" ht="16.5" customHeight="1">
      <c r="A513" s="52" t="s">
        <v>265</v>
      </c>
      <c r="B513" s="69"/>
      <c r="C513" s="48" t="s">
        <v>203</v>
      </c>
      <c r="D513" s="48" t="s">
        <v>167</v>
      </c>
      <c r="E513" s="48" t="s">
        <v>628</v>
      </c>
      <c r="F513" s="37" t="s">
        <v>266</v>
      </c>
      <c r="G513" s="34">
        <v>367.9</v>
      </c>
      <c r="H513" s="34">
        <v>367.9</v>
      </c>
      <c r="I513" s="34">
        <f t="shared" si="16"/>
        <v>100</v>
      </c>
    </row>
    <row r="514" spans="1:9" ht="60" customHeight="1">
      <c r="A514" s="52" t="s">
        <v>629</v>
      </c>
      <c r="B514" s="69"/>
      <c r="C514" s="48" t="s">
        <v>203</v>
      </c>
      <c r="D514" s="48" t="s">
        <v>167</v>
      </c>
      <c r="E514" s="48" t="s">
        <v>630</v>
      </c>
      <c r="F514" s="37"/>
      <c r="G514" s="34">
        <f>SUM(G515)</f>
        <v>2051.3</v>
      </c>
      <c r="H514" s="34">
        <f>SUM(H515)</f>
        <v>1759.2</v>
      </c>
      <c r="I514" s="34">
        <f t="shared" si="16"/>
        <v>85.76024959781601</v>
      </c>
    </row>
    <row r="515" spans="1:9" ht="16.5" customHeight="1">
      <c r="A515" s="52" t="s">
        <v>265</v>
      </c>
      <c r="B515" s="69"/>
      <c r="C515" s="48" t="s">
        <v>203</v>
      </c>
      <c r="D515" s="48" t="s">
        <v>167</v>
      </c>
      <c r="E515" s="48" t="s">
        <v>630</v>
      </c>
      <c r="F515" s="37" t="s">
        <v>266</v>
      </c>
      <c r="G515" s="34">
        <v>2051.3</v>
      </c>
      <c r="H515" s="34">
        <v>1759.2</v>
      </c>
      <c r="I515" s="34">
        <f t="shared" si="16"/>
        <v>85.76024959781601</v>
      </c>
    </row>
    <row r="516" spans="1:9" ht="30" customHeight="1">
      <c r="A516" s="52" t="s">
        <v>631</v>
      </c>
      <c r="B516" s="69"/>
      <c r="C516" s="48" t="s">
        <v>203</v>
      </c>
      <c r="D516" s="48" t="s">
        <v>167</v>
      </c>
      <c r="E516" s="48" t="s">
        <v>632</v>
      </c>
      <c r="F516" s="37"/>
      <c r="G516" s="34">
        <f>SUM(G518)</f>
        <v>514</v>
      </c>
      <c r="H516" s="34">
        <f>SUM(H518)</f>
        <v>394</v>
      </c>
      <c r="I516" s="34">
        <f t="shared" si="16"/>
        <v>76.65369649805449</v>
      </c>
    </row>
    <row r="517" spans="1:9" ht="42" customHeight="1">
      <c r="A517" s="52" t="s">
        <v>633</v>
      </c>
      <c r="B517" s="69"/>
      <c r="C517" s="48" t="s">
        <v>203</v>
      </c>
      <c r="D517" s="48" t="s">
        <v>167</v>
      </c>
      <c r="E517" s="48" t="s">
        <v>634</v>
      </c>
      <c r="F517" s="37"/>
      <c r="G517" s="34">
        <f>SUM(G518)</f>
        <v>514</v>
      </c>
      <c r="H517" s="34">
        <f>SUM(H518)</f>
        <v>394</v>
      </c>
      <c r="I517" s="34">
        <f t="shared" si="16"/>
        <v>76.65369649805449</v>
      </c>
    </row>
    <row r="518" spans="1:9" ht="21" customHeight="1">
      <c r="A518" s="52" t="s">
        <v>265</v>
      </c>
      <c r="B518" s="69"/>
      <c r="C518" s="48" t="s">
        <v>203</v>
      </c>
      <c r="D518" s="48" t="s">
        <v>167</v>
      </c>
      <c r="E518" s="48" t="s">
        <v>634</v>
      </c>
      <c r="F518" s="37" t="s">
        <v>266</v>
      </c>
      <c r="G518" s="34">
        <v>514</v>
      </c>
      <c r="H518" s="34">
        <v>394</v>
      </c>
      <c r="I518" s="34">
        <f t="shared" si="16"/>
        <v>76.65369649805449</v>
      </c>
    </row>
    <row r="519" spans="1:9" ht="29.25">
      <c r="A519" s="49" t="s">
        <v>635</v>
      </c>
      <c r="B519" s="54"/>
      <c r="C519" s="43" t="s">
        <v>203</v>
      </c>
      <c r="D519" s="43" t="s">
        <v>237</v>
      </c>
      <c r="E519" s="43"/>
      <c r="F519" s="130"/>
      <c r="G519" s="34">
        <f>SUM(G523+G526)+G520</f>
        <v>8303.502</v>
      </c>
      <c r="H519" s="34">
        <f>SUM(H523+H526)+H520</f>
        <v>8063.502</v>
      </c>
      <c r="I519" s="34">
        <f t="shared" si="16"/>
        <v>97.10965325232654</v>
      </c>
    </row>
    <row r="520" spans="1:9" ht="28.5" customHeight="1">
      <c r="A520" s="46" t="s">
        <v>270</v>
      </c>
      <c r="B520" s="47"/>
      <c r="C520" s="43" t="s">
        <v>203</v>
      </c>
      <c r="D520" s="43" t="s">
        <v>237</v>
      </c>
      <c r="E520" s="48" t="s">
        <v>215</v>
      </c>
      <c r="F520" s="36"/>
      <c r="G520" s="131">
        <f>SUM(G521)</f>
        <v>0.002</v>
      </c>
      <c r="H520" s="131">
        <f>SUM(H521)</f>
        <v>0.002</v>
      </c>
      <c r="I520" s="34">
        <f t="shared" si="16"/>
        <v>100</v>
      </c>
    </row>
    <row r="521" spans="1:9" ht="36" customHeight="1">
      <c r="A521" s="46" t="s">
        <v>454</v>
      </c>
      <c r="B521" s="47"/>
      <c r="C521" s="43" t="s">
        <v>203</v>
      </c>
      <c r="D521" s="43" t="s">
        <v>237</v>
      </c>
      <c r="E521" s="48" t="s">
        <v>272</v>
      </c>
      <c r="F521" s="36"/>
      <c r="G521" s="131">
        <f>SUM(G522)</f>
        <v>0.002</v>
      </c>
      <c r="H521" s="131">
        <f>SUM(H522)</f>
        <v>0.002</v>
      </c>
      <c r="I521" s="34">
        <f t="shared" si="16"/>
        <v>100</v>
      </c>
    </row>
    <row r="522" spans="1:9" ht="15.75" customHeight="1">
      <c r="A522" s="46" t="s">
        <v>455</v>
      </c>
      <c r="B522" s="47"/>
      <c r="C522" s="43" t="s">
        <v>203</v>
      </c>
      <c r="D522" s="43" t="s">
        <v>237</v>
      </c>
      <c r="E522" s="48" t="s">
        <v>272</v>
      </c>
      <c r="F522" s="36" t="s">
        <v>274</v>
      </c>
      <c r="G522" s="131">
        <v>0.002</v>
      </c>
      <c r="H522" s="131">
        <v>0.002</v>
      </c>
      <c r="I522" s="34">
        <f t="shared" si="16"/>
        <v>100</v>
      </c>
    </row>
    <row r="523" spans="1:9" ht="57.75">
      <c r="A523" s="49" t="s">
        <v>591</v>
      </c>
      <c r="B523" s="123"/>
      <c r="C523" s="48" t="s">
        <v>203</v>
      </c>
      <c r="D523" s="48" t="s">
        <v>237</v>
      </c>
      <c r="E523" s="48" t="s">
        <v>592</v>
      </c>
      <c r="F523" s="36"/>
      <c r="G523" s="34">
        <f>SUM(G524)</f>
        <v>4252.7</v>
      </c>
      <c r="H523" s="34">
        <f>SUM(H524)</f>
        <v>4186.8</v>
      </c>
      <c r="I523" s="34">
        <f t="shared" si="16"/>
        <v>98.45039621887273</v>
      </c>
    </row>
    <row r="524" spans="1:9" ht="22.5" customHeight="1">
      <c r="A524" s="35" t="s">
        <v>263</v>
      </c>
      <c r="B524" s="123"/>
      <c r="C524" s="48" t="s">
        <v>203</v>
      </c>
      <c r="D524" s="48" t="s">
        <v>237</v>
      </c>
      <c r="E524" s="48" t="s">
        <v>593</v>
      </c>
      <c r="F524" s="36"/>
      <c r="G524" s="34">
        <f>SUM(G525)</f>
        <v>4252.7</v>
      </c>
      <c r="H524" s="34">
        <f>SUM(H525)</f>
        <v>4186.8</v>
      </c>
      <c r="I524" s="34">
        <f t="shared" si="16"/>
        <v>98.45039621887273</v>
      </c>
    </row>
    <row r="525" spans="1:9" ht="17.25" customHeight="1">
      <c r="A525" s="52" t="s">
        <v>265</v>
      </c>
      <c r="B525" s="69"/>
      <c r="C525" s="48" t="s">
        <v>203</v>
      </c>
      <c r="D525" s="48" t="s">
        <v>237</v>
      </c>
      <c r="E525" s="48" t="s">
        <v>593</v>
      </c>
      <c r="F525" s="37" t="s">
        <v>266</v>
      </c>
      <c r="G525" s="34">
        <v>4252.7</v>
      </c>
      <c r="H525" s="34">
        <v>4186.8</v>
      </c>
      <c r="I525" s="34">
        <f t="shared" si="16"/>
        <v>98.45039621887273</v>
      </c>
    </row>
    <row r="526" spans="1:9" ht="15.75">
      <c r="A526" s="108" t="s">
        <v>278</v>
      </c>
      <c r="B526" s="54"/>
      <c r="C526" s="43" t="s">
        <v>203</v>
      </c>
      <c r="D526" s="43" t="s">
        <v>237</v>
      </c>
      <c r="E526" s="43" t="s">
        <v>279</v>
      </c>
      <c r="F526" s="130"/>
      <c r="G526" s="34">
        <f>SUM(G527)</f>
        <v>4050.8</v>
      </c>
      <c r="H526" s="34">
        <f>SUM(H527)</f>
        <v>3876.7</v>
      </c>
      <c r="I526" s="34">
        <f t="shared" si="16"/>
        <v>95.702083539054</v>
      </c>
    </row>
    <row r="527" spans="1:9" ht="42.75" customHeight="1">
      <c r="A527" s="30" t="s">
        <v>636</v>
      </c>
      <c r="B527" s="54"/>
      <c r="C527" s="43" t="s">
        <v>203</v>
      </c>
      <c r="D527" s="43" t="s">
        <v>237</v>
      </c>
      <c r="E527" s="43" t="s">
        <v>279</v>
      </c>
      <c r="F527" s="130" t="s">
        <v>637</v>
      </c>
      <c r="G527" s="34">
        <f>SUM(G528:G531)</f>
        <v>4050.8</v>
      </c>
      <c r="H527" s="34">
        <f>SUM(H528:H531)</f>
        <v>3876.7</v>
      </c>
      <c r="I527" s="34">
        <f t="shared" si="16"/>
        <v>95.702083539054</v>
      </c>
    </row>
    <row r="528" spans="1:9" ht="29.25" customHeight="1" hidden="1">
      <c r="A528" s="95" t="s">
        <v>973</v>
      </c>
      <c r="B528" s="54"/>
      <c r="C528" s="43" t="s">
        <v>203</v>
      </c>
      <c r="D528" s="43" t="s">
        <v>237</v>
      </c>
      <c r="E528" s="43" t="s">
        <v>974</v>
      </c>
      <c r="F528" s="130" t="s">
        <v>637</v>
      </c>
      <c r="G528" s="34"/>
      <c r="H528" s="34"/>
      <c r="I528" s="34" t="e">
        <f t="shared" si="16"/>
        <v>#DIV/0!</v>
      </c>
    </row>
    <row r="529" spans="1:9" s="132" customFormat="1" ht="28.5" hidden="1">
      <c r="A529" s="41" t="s">
        <v>638</v>
      </c>
      <c r="B529" s="54"/>
      <c r="C529" s="43" t="s">
        <v>203</v>
      </c>
      <c r="D529" s="43" t="s">
        <v>237</v>
      </c>
      <c r="E529" s="43" t="s">
        <v>639</v>
      </c>
      <c r="F529" s="130" t="s">
        <v>637</v>
      </c>
      <c r="G529" s="77"/>
      <c r="H529" s="77"/>
      <c r="I529" s="34" t="e">
        <f t="shared" si="16"/>
        <v>#DIV/0!</v>
      </c>
    </row>
    <row r="530" spans="1:9" s="132" customFormat="1" ht="71.25" hidden="1">
      <c r="A530" s="41" t="s">
        <v>640</v>
      </c>
      <c r="B530" s="54"/>
      <c r="C530" s="43" t="s">
        <v>203</v>
      </c>
      <c r="D530" s="43" t="s">
        <v>237</v>
      </c>
      <c r="E530" s="43" t="s">
        <v>641</v>
      </c>
      <c r="F530" s="130" t="s">
        <v>637</v>
      </c>
      <c r="G530" s="77"/>
      <c r="H530" s="77"/>
      <c r="I530" s="34" t="e">
        <f aca="true" t="shared" si="17" ref="I530:I593">SUM(H530/G530*100)</f>
        <v>#DIV/0!</v>
      </c>
    </row>
    <row r="531" spans="1:9" s="132" customFormat="1" ht="36" customHeight="1">
      <c r="A531" s="41" t="s">
        <v>642</v>
      </c>
      <c r="B531" s="54"/>
      <c r="C531" s="43" t="s">
        <v>203</v>
      </c>
      <c r="D531" s="43" t="s">
        <v>237</v>
      </c>
      <c r="E531" s="43" t="s">
        <v>643</v>
      </c>
      <c r="F531" s="130" t="s">
        <v>637</v>
      </c>
      <c r="G531" s="77">
        <v>4050.8</v>
      </c>
      <c r="H531" s="77">
        <v>3876.7</v>
      </c>
      <c r="I531" s="34">
        <f t="shared" si="17"/>
        <v>95.702083539054</v>
      </c>
    </row>
    <row r="532" spans="1:9" ht="15.75" customHeight="1" hidden="1">
      <c r="A532" s="30" t="s">
        <v>189</v>
      </c>
      <c r="B532" s="123"/>
      <c r="C532" s="48" t="s">
        <v>190</v>
      </c>
      <c r="D532" s="48"/>
      <c r="E532" s="48"/>
      <c r="F532" s="36"/>
      <c r="G532" s="34">
        <f>SUM(G533)+G536</f>
        <v>0</v>
      </c>
      <c r="H532" s="34">
        <f>SUM(H533)+H536</f>
        <v>0</v>
      </c>
      <c r="I532" s="34" t="e">
        <f t="shared" si="17"/>
        <v>#DIV/0!</v>
      </c>
    </row>
    <row r="533" spans="1:9" ht="15.75" customHeight="1" hidden="1">
      <c r="A533" s="35" t="s">
        <v>191</v>
      </c>
      <c r="B533" s="39"/>
      <c r="C533" s="32" t="s">
        <v>190</v>
      </c>
      <c r="D533" s="32" t="s">
        <v>190</v>
      </c>
      <c r="E533" s="32"/>
      <c r="F533" s="33"/>
      <c r="G533" s="34">
        <f>SUM(G534)</f>
        <v>0</v>
      </c>
      <c r="H533" s="34">
        <f>SUM(H534)</f>
        <v>0</v>
      </c>
      <c r="I533" s="34" t="e">
        <f t="shared" si="17"/>
        <v>#DIV/0!</v>
      </c>
    </row>
    <row r="534" spans="1:9" ht="27.75" customHeight="1" hidden="1">
      <c r="A534" s="35" t="s">
        <v>192</v>
      </c>
      <c r="B534" s="39"/>
      <c r="C534" s="32" t="s">
        <v>190</v>
      </c>
      <c r="D534" s="32" t="s">
        <v>190</v>
      </c>
      <c r="E534" s="32" t="s">
        <v>193</v>
      </c>
      <c r="F534" s="33"/>
      <c r="G534" s="34">
        <f>SUM(G535)</f>
        <v>0</v>
      </c>
      <c r="H534" s="34">
        <f>SUM(H535)</f>
        <v>0</v>
      </c>
      <c r="I534" s="34" t="e">
        <f t="shared" si="17"/>
        <v>#DIV/0!</v>
      </c>
    </row>
    <row r="535" spans="1:9" ht="13.5" customHeight="1" hidden="1">
      <c r="A535" s="35" t="s">
        <v>194</v>
      </c>
      <c r="B535" s="39"/>
      <c r="C535" s="32" t="s">
        <v>190</v>
      </c>
      <c r="D535" s="32" t="s">
        <v>190</v>
      </c>
      <c r="E535" s="32" t="s">
        <v>193</v>
      </c>
      <c r="F535" s="33" t="s">
        <v>195</v>
      </c>
      <c r="G535" s="34"/>
      <c r="H535" s="34"/>
      <c r="I535" s="34" t="e">
        <f t="shared" si="17"/>
        <v>#DIV/0!</v>
      </c>
    </row>
    <row r="536" spans="1:9" ht="13.5" customHeight="1" hidden="1">
      <c r="A536" s="108" t="s">
        <v>586</v>
      </c>
      <c r="B536" s="39"/>
      <c r="C536" s="32" t="s">
        <v>190</v>
      </c>
      <c r="D536" s="32" t="s">
        <v>317</v>
      </c>
      <c r="E536" s="32"/>
      <c r="F536" s="33"/>
      <c r="G536" s="34">
        <f>SUM(G537)</f>
        <v>0</v>
      </c>
      <c r="H536" s="34">
        <f>SUM(H537)</f>
        <v>0</v>
      </c>
      <c r="I536" s="34" t="e">
        <f t="shared" si="17"/>
        <v>#DIV/0!</v>
      </c>
    </row>
    <row r="537" spans="1:9" ht="13.5" customHeight="1" hidden="1">
      <c r="A537" s="108" t="s">
        <v>278</v>
      </c>
      <c r="B537" s="39"/>
      <c r="C537" s="32" t="s">
        <v>190</v>
      </c>
      <c r="D537" s="32" t="s">
        <v>317</v>
      </c>
      <c r="E537" s="32" t="s">
        <v>279</v>
      </c>
      <c r="F537" s="33"/>
      <c r="G537" s="34">
        <f>SUM(G538)</f>
        <v>0</v>
      </c>
      <c r="H537" s="34">
        <f>SUM(H538)</f>
        <v>0</v>
      </c>
      <c r="I537" s="34" t="e">
        <f t="shared" si="17"/>
        <v>#DIV/0!</v>
      </c>
    </row>
    <row r="538" spans="1:9" ht="13.5" customHeight="1" hidden="1">
      <c r="A538" s="35" t="s">
        <v>644</v>
      </c>
      <c r="B538" s="39"/>
      <c r="C538" s="32" t="s">
        <v>190</v>
      </c>
      <c r="D538" s="32" t="s">
        <v>317</v>
      </c>
      <c r="E538" s="32" t="s">
        <v>279</v>
      </c>
      <c r="F538" s="33" t="s">
        <v>645</v>
      </c>
      <c r="G538" s="34"/>
      <c r="H538" s="34"/>
      <c r="I538" s="34" t="e">
        <f t="shared" si="17"/>
        <v>#DIV/0!</v>
      </c>
    </row>
    <row r="539" spans="1:9" s="29" customFormat="1" ht="15.75">
      <c r="A539" s="53" t="s">
        <v>646</v>
      </c>
      <c r="B539" s="54"/>
      <c r="C539" s="55" t="s">
        <v>317</v>
      </c>
      <c r="D539" s="55"/>
      <c r="E539" s="55"/>
      <c r="F539" s="56"/>
      <c r="G539" s="57">
        <f>SUM(G540+G553+G572+G577+G585+G592)</f>
        <v>187083.9</v>
      </c>
      <c r="H539" s="57">
        <f>SUM(H540+H553+H572+H577+H585+H592)</f>
        <v>182727.7</v>
      </c>
      <c r="I539" s="57">
        <f t="shared" si="17"/>
        <v>97.67152598379658</v>
      </c>
    </row>
    <row r="540" spans="1:9" ht="19.5" customHeight="1">
      <c r="A540" s="30" t="s">
        <v>647</v>
      </c>
      <c r="B540" s="31"/>
      <c r="C540" s="48" t="s">
        <v>317</v>
      </c>
      <c r="D540" s="48" t="s">
        <v>167</v>
      </c>
      <c r="E540" s="48"/>
      <c r="F540" s="36"/>
      <c r="G540" s="34">
        <f>SUM(G544+G546)</f>
        <v>69314.09999999999</v>
      </c>
      <c r="H540" s="34">
        <f>SUM(H544+H546)</f>
        <v>67313.99999999999</v>
      </c>
      <c r="I540" s="34">
        <f t="shared" si="17"/>
        <v>97.11443991915064</v>
      </c>
    </row>
    <row r="541" spans="1:9" ht="20.25" customHeight="1" hidden="1">
      <c r="A541" s="75" t="s">
        <v>648</v>
      </c>
      <c r="B541" s="31"/>
      <c r="C541" s="48" t="s">
        <v>317</v>
      </c>
      <c r="D541" s="48" t="s">
        <v>167</v>
      </c>
      <c r="E541" s="48" t="s">
        <v>649</v>
      </c>
      <c r="F541" s="36"/>
      <c r="G541" s="34">
        <f>SUM(G542)</f>
        <v>0</v>
      </c>
      <c r="H541" s="34">
        <f>SUM(H542)</f>
        <v>0</v>
      </c>
      <c r="I541" s="34" t="e">
        <f t="shared" si="17"/>
        <v>#DIV/0!</v>
      </c>
    </row>
    <row r="542" spans="1:9" ht="17.25" customHeight="1" hidden="1">
      <c r="A542" s="35" t="s">
        <v>263</v>
      </c>
      <c r="B542" s="31"/>
      <c r="C542" s="48" t="s">
        <v>317</v>
      </c>
      <c r="D542" s="48" t="s">
        <v>167</v>
      </c>
      <c r="E542" s="48" t="s">
        <v>650</v>
      </c>
      <c r="F542" s="36"/>
      <c r="G542" s="34">
        <f>SUM(G543)</f>
        <v>0</v>
      </c>
      <c r="H542" s="34">
        <f>SUM(H543)</f>
        <v>0</v>
      </c>
      <c r="I542" s="34" t="e">
        <f t="shared" si="17"/>
        <v>#DIV/0!</v>
      </c>
    </row>
    <row r="543" spans="1:9" ht="17.25" customHeight="1" hidden="1">
      <c r="A543" s="52" t="s">
        <v>265</v>
      </c>
      <c r="B543" s="31"/>
      <c r="C543" s="48" t="s">
        <v>317</v>
      </c>
      <c r="D543" s="48" t="s">
        <v>167</v>
      </c>
      <c r="E543" s="48" t="s">
        <v>650</v>
      </c>
      <c r="F543" s="36" t="s">
        <v>266</v>
      </c>
      <c r="G543" s="34"/>
      <c r="H543" s="34"/>
      <c r="I543" s="34" t="e">
        <f t="shared" si="17"/>
        <v>#DIV/0!</v>
      </c>
    </row>
    <row r="544" spans="1:9" ht="15.75" customHeight="1">
      <c r="A544" s="30" t="s">
        <v>255</v>
      </c>
      <c r="B544" s="31"/>
      <c r="C544" s="48" t="s">
        <v>317</v>
      </c>
      <c r="D544" s="48" t="s">
        <v>167</v>
      </c>
      <c r="E544" s="48" t="s">
        <v>256</v>
      </c>
      <c r="F544" s="36"/>
      <c r="G544" s="34">
        <f>SUM(G545)</f>
        <v>720</v>
      </c>
      <c r="H544" s="34">
        <f>SUM(H545)</f>
        <v>718.9</v>
      </c>
      <c r="I544" s="34">
        <f t="shared" si="17"/>
        <v>99.84722222222221</v>
      </c>
    </row>
    <row r="545" spans="1:9" ht="17.25" customHeight="1">
      <c r="A545" s="52" t="s">
        <v>265</v>
      </c>
      <c r="B545" s="31"/>
      <c r="C545" s="48" t="s">
        <v>317</v>
      </c>
      <c r="D545" s="48" t="s">
        <v>167</v>
      </c>
      <c r="E545" s="48" t="s">
        <v>256</v>
      </c>
      <c r="F545" s="36" t="s">
        <v>266</v>
      </c>
      <c r="G545" s="34">
        <v>720</v>
      </c>
      <c r="H545" s="34">
        <v>718.9</v>
      </c>
      <c r="I545" s="34">
        <f t="shared" si="17"/>
        <v>99.84722222222221</v>
      </c>
    </row>
    <row r="546" spans="1:9" ht="15">
      <c r="A546" s="30" t="s">
        <v>651</v>
      </c>
      <c r="B546" s="31"/>
      <c r="C546" s="48" t="s">
        <v>317</v>
      </c>
      <c r="D546" s="48" t="s">
        <v>167</v>
      </c>
      <c r="E546" s="48" t="s">
        <v>652</v>
      </c>
      <c r="F546" s="36"/>
      <c r="G546" s="34">
        <f>SUM(G547)</f>
        <v>68594.09999999999</v>
      </c>
      <c r="H546" s="34">
        <f>SUM(H547)</f>
        <v>66595.09999999999</v>
      </c>
      <c r="I546" s="34">
        <f t="shared" si="17"/>
        <v>97.08575518885735</v>
      </c>
    </row>
    <row r="547" spans="1:9" ht="18" customHeight="1">
      <c r="A547" s="35" t="s">
        <v>263</v>
      </c>
      <c r="B547" s="31"/>
      <c r="C547" s="48" t="s">
        <v>317</v>
      </c>
      <c r="D547" s="48" t="s">
        <v>167</v>
      </c>
      <c r="E547" s="48" t="s">
        <v>653</v>
      </c>
      <c r="F547" s="36"/>
      <c r="G547" s="34">
        <f>SUM(G548:G551)</f>
        <v>68594.09999999999</v>
      </c>
      <c r="H547" s="34">
        <f>SUM(H548:H551)</f>
        <v>66595.09999999999</v>
      </c>
      <c r="I547" s="34">
        <f t="shared" si="17"/>
        <v>97.08575518885735</v>
      </c>
    </row>
    <row r="548" spans="1:9" ht="13.5" customHeight="1">
      <c r="A548" s="52" t="s">
        <v>265</v>
      </c>
      <c r="B548" s="31"/>
      <c r="C548" s="48" t="s">
        <v>654</v>
      </c>
      <c r="D548" s="48" t="s">
        <v>167</v>
      </c>
      <c r="E548" s="48" t="s">
        <v>653</v>
      </c>
      <c r="F548" s="36" t="s">
        <v>266</v>
      </c>
      <c r="G548" s="34">
        <v>57369.2</v>
      </c>
      <c r="H548" s="34">
        <v>55370.2</v>
      </c>
      <c r="I548" s="34">
        <f t="shared" si="17"/>
        <v>96.51555189892834</v>
      </c>
    </row>
    <row r="549" spans="1:9" ht="42" customHeight="1" hidden="1">
      <c r="A549" s="52" t="s">
        <v>655</v>
      </c>
      <c r="B549" s="31"/>
      <c r="C549" s="48" t="s">
        <v>654</v>
      </c>
      <c r="D549" s="48" t="s">
        <v>167</v>
      </c>
      <c r="E549" s="48" t="s">
        <v>653</v>
      </c>
      <c r="F549" s="36" t="s">
        <v>656</v>
      </c>
      <c r="G549" s="34"/>
      <c r="H549" s="34"/>
      <c r="I549" s="34" t="e">
        <f t="shared" si="17"/>
        <v>#DIV/0!</v>
      </c>
    </row>
    <row r="550" spans="1:9" ht="48" customHeight="1" hidden="1">
      <c r="A550" s="52" t="s">
        <v>518</v>
      </c>
      <c r="B550" s="31"/>
      <c r="C550" s="48" t="s">
        <v>654</v>
      </c>
      <c r="D550" s="48" t="s">
        <v>167</v>
      </c>
      <c r="E550" s="48" t="s">
        <v>653</v>
      </c>
      <c r="F550" s="36" t="s">
        <v>519</v>
      </c>
      <c r="G550" s="34"/>
      <c r="H550" s="34"/>
      <c r="I550" s="34" t="e">
        <f t="shared" si="17"/>
        <v>#DIV/0!</v>
      </c>
    </row>
    <row r="551" spans="1:9" ht="57.75" customHeight="1">
      <c r="A551" s="35" t="s">
        <v>508</v>
      </c>
      <c r="B551" s="31"/>
      <c r="C551" s="48" t="s">
        <v>654</v>
      </c>
      <c r="D551" s="48" t="s">
        <v>167</v>
      </c>
      <c r="E551" s="48" t="s">
        <v>657</v>
      </c>
      <c r="F551" s="36"/>
      <c r="G551" s="34">
        <v>11224.9</v>
      </c>
      <c r="H551" s="34">
        <v>11224.9</v>
      </c>
      <c r="I551" s="34">
        <f t="shared" si="17"/>
        <v>100</v>
      </c>
    </row>
    <row r="552" spans="1:9" ht="14.25" customHeight="1">
      <c r="A552" s="52" t="s">
        <v>265</v>
      </c>
      <c r="B552" s="31"/>
      <c r="C552" s="48" t="s">
        <v>654</v>
      </c>
      <c r="D552" s="48" t="s">
        <v>167</v>
      </c>
      <c r="E552" s="48" t="s">
        <v>657</v>
      </c>
      <c r="F552" s="36" t="s">
        <v>266</v>
      </c>
      <c r="G552" s="34">
        <v>11224.9</v>
      </c>
      <c r="H552" s="34">
        <v>11224.9</v>
      </c>
      <c r="I552" s="34">
        <f t="shared" si="17"/>
        <v>100</v>
      </c>
    </row>
    <row r="553" spans="1:9" ht="18.75" customHeight="1">
      <c r="A553" s="30" t="s">
        <v>658</v>
      </c>
      <c r="B553" s="31"/>
      <c r="C553" s="48" t="s">
        <v>317</v>
      </c>
      <c r="D553" s="48" t="s">
        <v>169</v>
      </c>
      <c r="E553" s="48"/>
      <c r="F553" s="36"/>
      <c r="G553" s="34">
        <f>SUM(G554+G561+G565+G569)</f>
        <v>46439.5</v>
      </c>
      <c r="H553" s="34">
        <f>SUM(H554+H561+H565+H569)</f>
        <v>44779.3</v>
      </c>
      <c r="I553" s="34">
        <f t="shared" si="17"/>
        <v>96.42502610923891</v>
      </c>
    </row>
    <row r="554" spans="1:9" ht="18.75" customHeight="1">
      <c r="A554" s="30" t="s">
        <v>651</v>
      </c>
      <c r="B554" s="31"/>
      <c r="C554" s="48" t="s">
        <v>317</v>
      </c>
      <c r="D554" s="48" t="s">
        <v>169</v>
      </c>
      <c r="E554" s="48" t="s">
        <v>652</v>
      </c>
      <c r="F554" s="36"/>
      <c r="G554" s="34">
        <f>SUM(G555)</f>
        <v>33468.1</v>
      </c>
      <c r="H554" s="34">
        <f>SUM(H555)</f>
        <v>32348.9</v>
      </c>
      <c r="I554" s="34">
        <f t="shared" si="17"/>
        <v>96.65592011497517</v>
      </c>
    </row>
    <row r="555" spans="1:9" ht="21" customHeight="1">
      <c r="A555" s="35" t="s">
        <v>263</v>
      </c>
      <c r="B555" s="31"/>
      <c r="C555" s="48" t="s">
        <v>317</v>
      </c>
      <c r="D555" s="48" t="s">
        <v>169</v>
      </c>
      <c r="E555" s="48" t="s">
        <v>653</v>
      </c>
      <c r="F555" s="36"/>
      <c r="G555" s="34">
        <f>SUM(G556:G559)</f>
        <v>33468.1</v>
      </c>
      <c r="H555" s="34">
        <f>SUM(H556:H559)</f>
        <v>32348.9</v>
      </c>
      <c r="I555" s="34">
        <f t="shared" si="17"/>
        <v>96.65592011497517</v>
      </c>
    </row>
    <row r="556" spans="1:9" ht="16.5" customHeight="1">
      <c r="A556" s="52" t="s">
        <v>265</v>
      </c>
      <c r="B556" s="31"/>
      <c r="C556" s="48" t="s">
        <v>317</v>
      </c>
      <c r="D556" s="48" t="s">
        <v>169</v>
      </c>
      <c r="E556" s="48" t="s">
        <v>653</v>
      </c>
      <c r="F556" s="36" t="s">
        <v>266</v>
      </c>
      <c r="G556" s="34">
        <v>27457.9</v>
      </c>
      <c r="H556" s="34">
        <v>26338.7</v>
      </c>
      <c r="I556" s="34">
        <f t="shared" si="17"/>
        <v>95.92394174354193</v>
      </c>
    </row>
    <row r="557" spans="1:9" ht="45.75" customHeight="1" hidden="1">
      <c r="A557" s="52" t="s">
        <v>655</v>
      </c>
      <c r="B557" s="31"/>
      <c r="C557" s="48" t="s">
        <v>317</v>
      </c>
      <c r="D557" s="48" t="s">
        <v>169</v>
      </c>
      <c r="E557" s="48" t="s">
        <v>653</v>
      </c>
      <c r="F557" s="36" t="s">
        <v>656</v>
      </c>
      <c r="G557" s="34"/>
      <c r="H557" s="34"/>
      <c r="I557" s="34" t="e">
        <f t="shared" si="17"/>
        <v>#DIV/0!</v>
      </c>
    </row>
    <row r="558" spans="1:9" ht="41.25" customHeight="1" hidden="1">
      <c r="A558" s="52" t="s">
        <v>518</v>
      </c>
      <c r="B558" s="31"/>
      <c r="C558" s="48" t="s">
        <v>317</v>
      </c>
      <c r="D558" s="48" t="s">
        <v>169</v>
      </c>
      <c r="E558" s="48" t="s">
        <v>653</v>
      </c>
      <c r="F558" s="36" t="s">
        <v>519</v>
      </c>
      <c r="G558" s="34"/>
      <c r="H558" s="34"/>
      <c r="I558" s="34" t="e">
        <f t="shared" si="17"/>
        <v>#DIV/0!</v>
      </c>
    </row>
    <row r="559" spans="1:9" ht="57" customHeight="1">
      <c r="A559" s="35" t="s">
        <v>508</v>
      </c>
      <c r="B559" s="31"/>
      <c r="C559" s="48" t="s">
        <v>317</v>
      </c>
      <c r="D559" s="48" t="s">
        <v>169</v>
      </c>
      <c r="E559" s="48" t="s">
        <v>657</v>
      </c>
      <c r="F559" s="36"/>
      <c r="G559" s="34">
        <f>SUM(G560)</f>
        <v>6010.2</v>
      </c>
      <c r="H559" s="34">
        <f>SUM(H560)</f>
        <v>6010.2</v>
      </c>
      <c r="I559" s="34">
        <f t="shared" si="17"/>
        <v>100</v>
      </c>
    </row>
    <row r="560" spans="1:9" ht="17.25" customHeight="1">
      <c r="A560" s="52" t="s">
        <v>265</v>
      </c>
      <c r="B560" s="31"/>
      <c r="C560" s="48" t="s">
        <v>317</v>
      </c>
      <c r="D560" s="48" t="s">
        <v>169</v>
      </c>
      <c r="E560" s="48" t="s">
        <v>657</v>
      </c>
      <c r="F560" s="36" t="s">
        <v>266</v>
      </c>
      <c r="G560" s="34">
        <v>6010.2</v>
      </c>
      <c r="H560" s="34">
        <v>6010.2</v>
      </c>
      <c r="I560" s="34">
        <f t="shared" si="17"/>
        <v>100</v>
      </c>
    </row>
    <row r="561" spans="1:9" ht="15.75" customHeight="1">
      <c r="A561" s="30" t="s">
        <v>659</v>
      </c>
      <c r="B561" s="31"/>
      <c r="C561" s="48" t="s">
        <v>317</v>
      </c>
      <c r="D561" s="48" t="s">
        <v>169</v>
      </c>
      <c r="E561" s="48" t="s">
        <v>660</v>
      </c>
      <c r="F561" s="36"/>
      <c r="G561" s="34">
        <f>SUM(G562)</f>
        <v>10453.1</v>
      </c>
      <c r="H561" s="34">
        <f>SUM(H562)</f>
        <v>10065.4</v>
      </c>
      <c r="I561" s="34">
        <f t="shared" si="17"/>
        <v>96.29105241507303</v>
      </c>
    </row>
    <row r="562" spans="1:9" ht="14.25" customHeight="1">
      <c r="A562" s="35" t="s">
        <v>263</v>
      </c>
      <c r="B562" s="31"/>
      <c r="C562" s="48" t="s">
        <v>317</v>
      </c>
      <c r="D562" s="48" t="s">
        <v>169</v>
      </c>
      <c r="E562" s="48" t="s">
        <v>661</v>
      </c>
      <c r="F562" s="36"/>
      <c r="G562" s="34">
        <f>SUM(G563:G564)</f>
        <v>10453.1</v>
      </c>
      <c r="H562" s="34">
        <f>SUM(H563:H564)</f>
        <v>10065.4</v>
      </c>
      <c r="I562" s="34">
        <f t="shared" si="17"/>
        <v>96.29105241507303</v>
      </c>
    </row>
    <row r="563" spans="1:9" ht="13.5" customHeight="1">
      <c r="A563" s="52" t="s">
        <v>265</v>
      </c>
      <c r="B563" s="31"/>
      <c r="C563" s="48" t="s">
        <v>317</v>
      </c>
      <c r="D563" s="48" t="s">
        <v>169</v>
      </c>
      <c r="E563" s="48" t="s">
        <v>661</v>
      </c>
      <c r="F563" s="36" t="s">
        <v>266</v>
      </c>
      <c r="G563" s="34">
        <v>10453.1</v>
      </c>
      <c r="H563" s="34">
        <v>10065.4</v>
      </c>
      <c r="I563" s="34">
        <f t="shared" si="17"/>
        <v>96.29105241507303</v>
      </c>
    </row>
    <row r="564" spans="1:9" ht="56.25" customHeight="1" hidden="1">
      <c r="A564" s="35" t="s">
        <v>508</v>
      </c>
      <c r="B564" s="31"/>
      <c r="C564" s="48" t="s">
        <v>317</v>
      </c>
      <c r="D564" s="48" t="s">
        <v>169</v>
      </c>
      <c r="E564" s="48" t="s">
        <v>661</v>
      </c>
      <c r="F564" s="36" t="s">
        <v>662</v>
      </c>
      <c r="G564" s="34"/>
      <c r="H564" s="34"/>
      <c r="I564" s="34" t="e">
        <f t="shared" si="17"/>
        <v>#DIV/0!</v>
      </c>
    </row>
    <row r="565" spans="1:9" ht="14.25" customHeight="1">
      <c r="A565" s="30" t="s">
        <v>663</v>
      </c>
      <c r="B565" s="31"/>
      <c r="C565" s="48" t="s">
        <v>317</v>
      </c>
      <c r="D565" s="48" t="s">
        <v>169</v>
      </c>
      <c r="E565" s="48" t="s">
        <v>664</v>
      </c>
      <c r="F565" s="36"/>
      <c r="G565" s="34">
        <f>SUM(G566)</f>
        <v>1996.4</v>
      </c>
      <c r="H565" s="34">
        <f>SUM(H566)</f>
        <v>1843.2</v>
      </c>
      <c r="I565" s="34">
        <f t="shared" si="17"/>
        <v>92.32618713684631</v>
      </c>
    </row>
    <row r="566" spans="1:9" ht="14.25" customHeight="1">
      <c r="A566" s="35" t="s">
        <v>263</v>
      </c>
      <c r="B566" s="31"/>
      <c r="C566" s="48" t="s">
        <v>317</v>
      </c>
      <c r="D566" s="48" t="s">
        <v>169</v>
      </c>
      <c r="E566" s="48" t="s">
        <v>665</v>
      </c>
      <c r="F566" s="36"/>
      <c r="G566" s="34">
        <f>SUM(G567:G568)</f>
        <v>1996.4</v>
      </c>
      <c r="H566" s="34">
        <f>SUM(H567:H568)</f>
        <v>1843.2</v>
      </c>
      <c r="I566" s="34">
        <f t="shared" si="17"/>
        <v>92.32618713684631</v>
      </c>
    </row>
    <row r="567" spans="1:9" ht="13.5" customHeight="1">
      <c r="A567" s="52" t="s">
        <v>265</v>
      </c>
      <c r="B567" s="31"/>
      <c r="C567" s="48" t="s">
        <v>317</v>
      </c>
      <c r="D567" s="48" t="s">
        <v>169</v>
      </c>
      <c r="E567" s="48" t="s">
        <v>665</v>
      </c>
      <c r="F567" s="36" t="s">
        <v>266</v>
      </c>
      <c r="G567" s="34">
        <v>1996.4</v>
      </c>
      <c r="H567" s="34">
        <v>1843.2</v>
      </c>
      <c r="I567" s="34">
        <f t="shared" si="17"/>
        <v>92.32618713684631</v>
      </c>
    </row>
    <row r="568" spans="1:9" ht="55.5" customHeight="1" hidden="1">
      <c r="A568" s="35" t="s">
        <v>508</v>
      </c>
      <c r="B568" s="31"/>
      <c r="C568" s="48" t="s">
        <v>317</v>
      </c>
      <c r="D568" s="48" t="s">
        <v>169</v>
      </c>
      <c r="E568" s="48" t="s">
        <v>665</v>
      </c>
      <c r="F568" s="36" t="s">
        <v>662</v>
      </c>
      <c r="G568" s="34"/>
      <c r="H568" s="34"/>
      <c r="I568" s="34" t="e">
        <f t="shared" si="17"/>
        <v>#DIV/0!</v>
      </c>
    </row>
    <row r="569" spans="1:9" ht="14.25" customHeight="1">
      <c r="A569" s="95" t="s">
        <v>491</v>
      </c>
      <c r="B569" s="31"/>
      <c r="C569" s="48" t="s">
        <v>317</v>
      </c>
      <c r="D569" s="48" t="s">
        <v>169</v>
      </c>
      <c r="E569" s="48" t="s">
        <v>492</v>
      </c>
      <c r="F569" s="36"/>
      <c r="G569" s="34">
        <f>SUM(G570)</f>
        <v>521.9</v>
      </c>
      <c r="H569" s="34">
        <f>SUM(H570)</f>
        <v>521.8</v>
      </c>
      <c r="I569" s="34">
        <f t="shared" si="17"/>
        <v>99.98083924123394</v>
      </c>
    </row>
    <row r="570" spans="1:9" ht="42" customHeight="1">
      <c r="A570" s="49" t="s">
        <v>666</v>
      </c>
      <c r="B570" s="31"/>
      <c r="C570" s="48" t="s">
        <v>317</v>
      </c>
      <c r="D570" s="48" t="s">
        <v>169</v>
      </c>
      <c r="E570" s="48" t="s">
        <v>667</v>
      </c>
      <c r="F570" s="36"/>
      <c r="G570" s="34">
        <f>SUM(G571)</f>
        <v>521.9</v>
      </c>
      <c r="H570" s="34">
        <f>SUM(H571)</f>
        <v>521.8</v>
      </c>
      <c r="I570" s="34">
        <f t="shared" si="17"/>
        <v>99.98083924123394</v>
      </c>
    </row>
    <row r="571" spans="1:9" ht="14.25" customHeight="1">
      <c r="A571" s="52" t="s">
        <v>265</v>
      </c>
      <c r="B571" s="31"/>
      <c r="C571" s="48" t="s">
        <v>317</v>
      </c>
      <c r="D571" s="48" t="s">
        <v>169</v>
      </c>
      <c r="E571" s="48" t="s">
        <v>667</v>
      </c>
      <c r="F571" s="36" t="s">
        <v>266</v>
      </c>
      <c r="G571" s="34">
        <v>521.9</v>
      </c>
      <c r="H571" s="34">
        <v>521.8</v>
      </c>
      <c r="I571" s="34">
        <f t="shared" si="17"/>
        <v>99.98083924123394</v>
      </c>
    </row>
    <row r="572" spans="1:9" ht="14.25" customHeight="1">
      <c r="A572" s="133" t="s">
        <v>668</v>
      </c>
      <c r="B572" s="85"/>
      <c r="C572" s="48" t="s">
        <v>317</v>
      </c>
      <c r="D572" s="48" t="s">
        <v>177</v>
      </c>
      <c r="E572" s="48"/>
      <c r="F572" s="36"/>
      <c r="G572" s="34">
        <f>SUM(G573)</f>
        <v>485.1</v>
      </c>
      <c r="H572" s="34">
        <f>SUM(H573)</f>
        <v>465.2</v>
      </c>
      <c r="I572" s="34">
        <f t="shared" si="17"/>
        <v>95.89775304061018</v>
      </c>
    </row>
    <row r="573" spans="1:9" ht="20.25" customHeight="1">
      <c r="A573" s="133" t="s">
        <v>669</v>
      </c>
      <c r="B573" s="85"/>
      <c r="C573" s="48" t="s">
        <v>317</v>
      </c>
      <c r="D573" s="48" t="s">
        <v>177</v>
      </c>
      <c r="E573" s="48" t="s">
        <v>652</v>
      </c>
      <c r="F573" s="36"/>
      <c r="G573" s="34">
        <f>SUM(G574)</f>
        <v>485.1</v>
      </c>
      <c r="H573" s="34">
        <f>SUM(H574)</f>
        <v>465.2</v>
      </c>
      <c r="I573" s="34">
        <f t="shared" si="17"/>
        <v>95.89775304061018</v>
      </c>
    </row>
    <row r="574" spans="1:9" ht="14.25" customHeight="1">
      <c r="A574" s="134" t="s">
        <v>263</v>
      </c>
      <c r="B574" s="85"/>
      <c r="C574" s="48" t="s">
        <v>317</v>
      </c>
      <c r="D574" s="48" t="s">
        <v>177</v>
      </c>
      <c r="E574" s="48" t="s">
        <v>653</v>
      </c>
      <c r="F574" s="36"/>
      <c r="G574" s="34">
        <f>SUM(G575:G576)</f>
        <v>485.1</v>
      </c>
      <c r="H574" s="34">
        <f>SUM(H575:H576)</f>
        <v>465.2</v>
      </c>
      <c r="I574" s="34">
        <f t="shared" si="17"/>
        <v>95.89775304061018</v>
      </c>
    </row>
    <row r="575" spans="1:9" ht="14.25" customHeight="1">
      <c r="A575" s="134" t="s">
        <v>265</v>
      </c>
      <c r="B575" s="85"/>
      <c r="C575" s="48" t="s">
        <v>317</v>
      </c>
      <c r="D575" s="48" t="s">
        <v>177</v>
      </c>
      <c r="E575" s="48" t="s">
        <v>653</v>
      </c>
      <c r="F575" s="36" t="s">
        <v>266</v>
      </c>
      <c r="G575" s="34">
        <v>485.1</v>
      </c>
      <c r="H575" s="34">
        <v>465.2</v>
      </c>
      <c r="I575" s="34">
        <f t="shared" si="17"/>
        <v>95.89775304061018</v>
      </c>
    </row>
    <row r="576" spans="1:9" ht="14.25" customHeight="1" hidden="1">
      <c r="A576" s="35" t="s">
        <v>508</v>
      </c>
      <c r="B576" s="31"/>
      <c r="C576" s="48" t="s">
        <v>317</v>
      </c>
      <c r="D576" s="48" t="s">
        <v>177</v>
      </c>
      <c r="E576" s="48" t="s">
        <v>661</v>
      </c>
      <c r="F576" s="36" t="s">
        <v>662</v>
      </c>
      <c r="G576" s="34"/>
      <c r="H576" s="34"/>
      <c r="I576" s="34" t="e">
        <f t="shared" si="17"/>
        <v>#DIV/0!</v>
      </c>
    </row>
    <row r="577" spans="1:9" ht="15">
      <c r="A577" s="52" t="s">
        <v>670</v>
      </c>
      <c r="B577" s="31"/>
      <c r="C577" s="48" t="s">
        <v>317</v>
      </c>
      <c r="D577" s="48" t="s">
        <v>201</v>
      </c>
      <c r="E577" s="48"/>
      <c r="F577" s="36"/>
      <c r="G577" s="34">
        <f>SUM(G578+G582)</f>
        <v>54803.799999999996</v>
      </c>
      <c r="H577" s="34">
        <f>SUM(H578+H582)</f>
        <v>54302.4</v>
      </c>
      <c r="I577" s="34">
        <f t="shared" si="17"/>
        <v>99.08509993832546</v>
      </c>
    </row>
    <row r="578" spans="1:9" ht="15" customHeight="1">
      <c r="A578" s="30" t="s">
        <v>671</v>
      </c>
      <c r="B578" s="31"/>
      <c r="C578" s="48" t="s">
        <v>317</v>
      </c>
      <c r="D578" s="48" t="s">
        <v>201</v>
      </c>
      <c r="E578" s="48" t="s">
        <v>672</v>
      </c>
      <c r="F578" s="36"/>
      <c r="G578" s="34">
        <f>SUM(G579)</f>
        <v>46398.7</v>
      </c>
      <c r="H578" s="34">
        <f>SUM(H579)</f>
        <v>46142.9</v>
      </c>
      <c r="I578" s="34">
        <f t="shared" si="17"/>
        <v>99.44869145040703</v>
      </c>
    </row>
    <row r="579" spans="1:9" ht="18" customHeight="1">
      <c r="A579" s="35" t="s">
        <v>263</v>
      </c>
      <c r="B579" s="31"/>
      <c r="C579" s="48" t="s">
        <v>317</v>
      </c>
      <c r="D579" s="48" t="s">
        <v>201</v>
      </c>
      <c r="E579" s="48" t="s">
        <v>673</v>
      </c>
      <c r="F579" s="36"/>
      <c r="G579" s="34">
        <f>SUM(G580:G581)</f>
        <v>46398.7</v>
      </c>
      <c r="H579" s="34">
        <f>SUM(H580:H581)</f>
        <v>46142.9</v>
      </c>
      <c r="I579" s="34">
        <f t="shared" si="17"/>
        <v>99.44869145040703</v>
      </c>
    </row>
    <row r="580" spans="1:9" ht="17.25" customHeight="1">
      <c r="A580" s="52" t="s">
        <v>265</v>
      </c>
      <c r="B580" s="31"/>
      <c r="C580" s="48" t="s">
        <v>317</v>
      </c>
      <c r="D580" s="48" t="s">
        <v>201</v>
      </c>
      <c r="E580" s="48" t="s">
        <v>673</v>
      </c>
      <c r="F580" s="36" t="s">
        <v>266</v>
      </c>
      <c r="G580" s="34">
        <v>46398.7</v>
      </c>
      <c r="H580" s="34">
        <v>46142.9</v>
      </c>
      <c r="I580" s="34">
        <f t="shared" si="17"/>
        <v>99.44869145040703</v>
      </c>
    </row>
    <row r="581" spans="1:9" ht="57" hidden="1">
      <c r="A581" s="35" t="s">
        <v>508</v>
      </c>
      <c r="B581" s="31"/>
      <c r="C581" s="48" t="s">
        <v>317</v>
      </c>
      <c r="D581" s="48" t="s">
        <v>201</v>
      </c>
      <c r="E581" s="48" t="s">
        <v>673</v>
      </c>
      <c r="F581" s="36" t="s">
        <v>662</v>
      </c>
      <c r="G581" s="34"/>
      <c r="H581" s="34"/>
      <c r="I581" s="34" t="e">
        <f t="shared" si="17"/>
        <v>#DIV/0!</v>
      </c>
    </row>
    <row r="582" spans="1:9" ht="27" customHeight="1">
      <c r="A582" s="95" t="s">
        <v>491</v>
      </c>
      <c r="B582" s="31"/>
      <c r="C582" s="48" t="s">
        <v>317</v>
      </c>
      <c r="D582" s="48" t="s">
        <v>201</v>
      </c>
      <c r="E582" s="48" t="s">
        <v>492</v>
      </c>
      <c r="F582" s="36"/>
      <c r="G582" s="34">
        <f>SUM(G583)</f>
        <v>8405.1</v>
      </c>
      <c r="H582" s="34">
        <f>SUM(H583)</f>
        <v>8159.5</v>
      </c>
      <c r="I582" s="34">
        <f t="shared" si="17"/>
        <v>97.07796456913064</v>
      </c>
    </row>
    <row r="583" spans="1:9" s="135" customFormat="1" ht="41.25" customHeight="1">
      <c r="A583" s="49" t="s">
        <v>666</v>
      </c>
      <c r="B583" s="31"/>
      <c r="C583" s="48" t="s">
        <v>317</v>
      </c>
      <c r="D583" s="48" t="s">
        <v>201</v>
      </c>
      <c r="E583" s="48" t="s">
        <v>667</v>
      </c>
      <c r="F583" s="36"/>
      <c r="G583" s="34">
        <f>SUM(G584)</f>
        <v>8405.1</v>
      </c>
      <c r="H583" s="34">
        <f>SUM(H584)</f>
        <v>8159.5</v>
      </c>
      <c r="I583" s="34">
        <f t="shared" si="17"/>
        <v>97.07796456913064</v>
      </c>
    </row>
    <row r="584" spans="1:9" ht="15">
      <c r="A584" s="52" t="s">
        <v>265</v>
      </c>
      <c r="B584" s="31"/>
      <c r="C584" s="48" t="s">
        <v>317</v>
      </c>
      <c r="D584" s="48" t="s">
        <v>201</v>
      </c>
      <c r="E584" s="48" t="s">
        <v>667</v>
      </c>
      <c r="F584" s="36" t="s">
        <v>266</v>
      </c>
      <c r="G584" s="34">
        <v>8405.1</v>
      </c>
      <c r="H584" s="34">
        <v>8159.5</v>
      </c>
      <c r="I584" s="34">
        <f t="shared" si="17"/>
        <v>97.07796456913064</v>
      </c>
    </row>
    <row r="585" spans="1:9" ht="15">
      <c r="A585" s="30" t="s">
        <v>674</v>
      </c>
      <c r="B585" s="31"/>
      <c r="C585" s="32" t="s">
        <v>317</v>
      </c>
      <c r="D585" s="32" t="s">
        <v>203</v>
      </c>
      <c r="E585" s="32"/>
      <c r="F585" s="33"/>
      <c r="G585" s="34">
        <f>SUM(G586+G589)</f>
        <v>3023.8999999999996</v>
      </c>
      <c r="H585" s="34">
        <f>SUM(H586+H589)</f>
        <v>2994.2</v>
      </c>
      <c r="I585" s="34">
        <f t="shared" si="17"/>
        <v>99.017824663514</v>
      </c>
    </row>
    <row r="586" spans="1:9" ht="28.5">
      <c r="A586" s="30" t="s">
        <v>675</v>
      </c>
      <c r="B586" s="31"/>
      <c r="C586" s="32" t="s">
        <v>317</v>
      </c>
      <c r="D586" s="32" t="s">
        <v>203</v>
      </c>
      <c r="E586" s="58" t="s">
        <v>560</v>
      </c>
      <c r="F586" s="33"/>
      <c r="G586" s="34">
        <f>SUM(G587)</f>
        <v>583.2</v>
      </c>
      <c r="H586" s="34">
        <f>SUM(H587)</f>
        <v>583.1</v>
      </c>
      <c r="I586" s="34">
        <f t="shared" si="17"/>
        <v>99.98285322359396</v>
      </c>
    </row>
    <row r="587" spans="1:9" ht="26.25" customHeight="1">
      <c r="A587" s="30" t="s">
        <v>521</v>
      </c>
      <c r="B587" s="31"/>
      <c r="C587" s="32" t="s">
        <v>317</v>
      </c>
      <c r="D587" s="32" t="s">
        <v>203</v>
      </c>
      <c r="E587" s="58" t="s">
        <v>561</v>
      </c>
      <c r="F587" s="33"/>
      <c r="G587" s="34">
        <f>SUM(G588)</f>
        <v>583.2</v>
      </c>
      <c r="H587" s="34">
        <f>SUM(H588)</f>
        <v>583.1</v>
      </c>
      <c r="I587" s="34">
        <f t="shared" si="17"/>
        <v>99.98285322359396</v>
      </c>
    </row>
    <row r="588" spans="1:9" ht="15" customHeight="1">
      <c r="A588" s="35" t="s">
        <v>174</v>
      </c>
      <c r="B588" s="31"/>
      <c r="C588" s="32" t="s">
        <v>317</v>
      </c>
      <c r="D588" s="32" t="s">
        <v>203</v>
      </c>
      <c r="E588" s="58" t="s">
        <v>561</v>
      </c>
      <c r="F588" s="33" t="s">
        <v>175</v>
      </c>
      <c r="G588" s="34">
        <v>583.2</v>
      </c>
      <c r="H588" s="34">
        <v>583.1</v>
      </c>
      <c r="I588" s="34">
        <f t="shared" si="17"/>
        <v>99.98285322359396</v>
      </c>
    </row>
    <row r="589" spans="1:9" ht="15">
      <c r="A589" s="108" t="s">
        <v>278</v>
      </c>
      <c r="B589" s="47"/>
      <c r="C589" s="32" t="s">
        <v>317</v>
      </c>
      <c r="D589" s="32" t="s">
        <v>203</v>
      </c>
      <c r="E589" s="48" t="s">
        <v>279</v>
      </c>
      <c r="F589" s="36"/>
      <c r="G589" s="34">
        <f>SUM(G590)</f>
        <v>2440.7</v>
      </c>
      <c r="H589" s="34">
        <f>SUM(H590)</f>
        <v>2411.1</v>
      </c>
      <c r="I589" s="34">
        <f t="shared" si="17"/>
        <v>98.78723317081166</v>
      </c>
    </row>
    <row r="590" spans="1:9" ht="15.75" customHeight="1">
      <c r="A590" s="35" t="s">
        <v>174</v>
      </c>
      <c r="B590" s="109"/>
      <c r="C590" s="32" t="s">
        <v>317</v>
      </c>
      <c r="D590" s="32" t="s">
        <v>203</v>
      </c>
      <c r="E590" s="70" t="s">
        <v>279</v>
      </c>
      <c r="F590" s="37" t="s">
        <v>175</v>
      </c>
      <c r="G590" s="34">
        <f>SUM(G591)</f>
        <v>2440.7</v>
      </c>
      <c r="H590" s="34">
        <f>SUM(H591)</f>
        <v>2411.1</v>
      </c>
      <c r="I590" s="34">
        <f t="shared" si="17"/>
        <v>98.78723317081166</v>
      </c>
    </row>
    <row r="591" spans="1:9" ht="28.5" customHeight="1">
      <c r="A591" s="35" t="s">
        <v>676</v>
      </c>
      <c r="B591" s="31"/>
      <c r="C591" s="32" t="s">
        <v>317</v>
      </c>
      <c r="D591" s="32" t="s">
        <v>203</v>
      </c>
      <c r="E591" s="70" t="s">
        <v>677</v>
      </c>
      <c r="F591" s="37" t="s">
        <v>175</v>
      </c>
      <c r="G591" s="34">
        <v>2440.7</v>
      </c>
      <c r="H591" s="34">
        <v>2411.1</v>
      </c>
      <c r="I591" s="34">
        <f t="shared" si="17"/>
        <v>98.78723317081166</v>
      </c>
    </row>
    <row r="592" spans="1:9" ht="28.5">
      <c r="A592" s="30" t="s">
        <v>678</v>
      </c>
      <c r="B592" s="31"/>
      <c r="C592" s="48" t="s">
        <v>317</v>
      </c>
      <c r="D592" s="48" t="s">
        <v>339</v>
      </c>
      <c r="E592" s="48"/>
      <c r="F592" s="36"/>
      <c r="G592" s="34">
        <f>SUM(G593+G596+G603+G605+G601)</f>
        <v>13017.5</v>
      </c>
      <c r="H592" s="34">
        <f>SUM(H593+H596+H603+H605+H601)</f>
        <v>12872.599999999999</v>
      </c>
      <c r="I592" s="34">
        <f t="shared" si="17"/>
        <v>98.88688304205876</v>
      </c>
    </row>
    <row r="593" spans="1:9" ht="15.75" customHeight="1">
      <c r="A593" s="46" t="s">
        <v>270</v>
      </c>
      <c r="B593" s="47"/>
      <c r="C593" s="48" t="s">
        <v>317</v>
      </c>
      <c r="D593" s="48" t="s">
        <v>339</v>
      </c>
      <c r="E593" s="48" t="s">
        <v>215</v>
      </c>
      <c r="F593" s="36"/>
      <c r="G593" s="34">
        <f>SUM(G594)</f>
        <v>250</v>
      </c>
      <c r="H593" s="34">
        <f>SUM(H594)</f>
        <v>250</v>
      </c>
      <c r="I593" s="34">
        <f t="shared" si="17"/>
        <v>100</v>
      </c>
    </row>
    <row r="594" spans="1:9" ht="15.75" customHeight="1">
      <c r="A594" s="46" t="s">
        <v>454</v>
      </c>
      <c r="B594" s="47"/>
      <c r="C594" s="48" t="s">
        <v>317</v>
      </c>
      <c r="D594" s="48" t="s">
        <v>339</v>
      </c>
      <c r="E594" s="48" t="s">
        <v>272</v>
      </c>
      <c r="F594" s="36"/>
      <c r="G594" s="34">
        <f>SUM(G595)</f>
        <v>250</v>
      </c>
      <c r="H594" s="34">
        <f>SUM(H595)</f>
        <v>250</v>
      </c>
      <c r="I594" s="34">
        <f aca="true" t="shared" si="18" ref="I594:I657">SUM(H594/G594*100)</f>
        <v>100</v>
      </c>
    </row>
    <row r="595" spans="1:9" ht="15.75" customHeight="1">
      <c r="A595" s="46" t="s">
        <v>455</v>
      </c>
      <c r="B595" s="47"/>
      <c r="C595" s="48" t="s">
        <v>317</v>
      </c>
      <c r="D595" s="48" t="s">
        <v>339</v>
      </c>
      <c r="E595" s="48" t="s">
        <v>272</v>
      </c>
      <c r="F595" s="36" t="s">
        <v>274</v>
      </c>
      <c r="G595" s="34">
        <v>250</v>
      </c>
      <c r="H595" s="34">
        <v>250</v>
      </c>
      <c r="I595" s="34">
        <f t="shared" si="18"/>
        <v>100</v>
      </c>
    </row>
    <row r="596" spans="1:9" ht="28.5">
      <c r="A596" s="75" t="s">
        <v>648</v>
      </c>
      <c r="B596" s="31"/>
      <c r="C596" s="48" t="s">
        <v>317</v>
      </c>
      <c r="D596" s="48" t="s">
        <v>339</v>
      </c>
      <c r="E596" s="48" t="s">
        <v>649</v>
      </c>
      <c r="F596" s="36"/>
      <c r="G596" s="34">
        <f>SUM(G597)</f>
        <v>9373.2</v>
      </c>
      <c r="H596" s="34">
        <f>SUM(H597)</f>
        <v>9228.3</v>
      </c>
      <c r="I596" s="34">
        <f t="shared" si="18"/>
        <v>98.45410318781205</v>
      </c>
    </row>
    <row r="597" spans="1:9" ht="18.75" customHeight="1">
      <c r="A597" s="35" t="s">
        <v>263</v>
      </c>
      <c r="B597" s="31"/>
      <c r="C597" s="48" t="s">
        <v>317</v>
      </c>
      <c r="D597" s="48" t="s">
        <v>339</v>
      </c>
      <c r="E597" s="48" t="s">
        <v>650</v>
      </c>
      <c r="F597" s="36"/>
      <c r="G597" s="34">
        <f>SUM(G598:G599)</f>
        <v>9373.2</v>
      </c>
      <c r="H597" s="34">
        <f>SUM(H598:H599)</f>
        <v>9228.3</v>
      </c>
      <c r="I597" s="34">
        <f t="shared" si="18"/>
        <v>98.45410318781205</v>
      </c>
    </row>
    <row r="598" spans="1:9" ht="15" customHeight="1">
      <c r="A598" s="52" t="s">
        <v>265</v>
      </c>
      <c r="B598" s="31"/>
      <c r="C598" s="48" t="s">
        <v>317</v>
      </c>
      <c r="D598" s="48" t="s">
        <v>339</v>
      </c>
      <c r="E598" s="48" t="s">
        <v>650</v>
      </c>
      <c r="F598" s="36" t="s">
        <v>266</v>
      </c>
      <c r="G598" s="34">
        <v>9373.2</v>
      </c>
      <c r="H598" s="34">
        <v>9228.3</v>
      </c>
      <c r="I598" s="34">
        <f t="shared" si="18"/>
        <v>98.45410318781205</v>
      </c>
    </row>
    <row r="599" spans="1:9" ht="0.75" customHeight="1" hidden="1">
      <c r="A599" s="35" t="s">
        <v>508</v>
      </c>
      <c r="B599" s="31"/>
      <c r="C599" s="48" t="s">
        <v>317</v>
      </c>
      <c r="D599" s="48" t="s">
        <v>339</v>
      </c>
      <c r="E599" s="48" t="s">
        <v>650</v>
      </c>
      <c r="F599" s="36" t="s">
        <v>662</v>
      </c>
      <c r="G599" s="34"/>
      <c r="H599" s="34"/>
      <c r="I599" s="34" t="e">
        <f t="shared" si="18"/>
        <v>#DIV/0!</v>
      </c>
    </row>
    <row r="600" spans="1:9" ht="15" hidden="1">
      <c r="A600" s="35" t="s">
        <v>331</v>
      </c>
      <c r="B600" s="31"/>
      <c r="C600" s="48" t="s">
        <v>317</v>
      </c>
      <c r="D600" s="48" t="s">
        <v>339</v>
      </c>
      <c r="E600" s="48" t="s">
        <v>332</v>
      </c>
      <c r="F600" s="36"/>
      <c r="G600" s="34">
        <f>SUM(G601+G603)</f>
        <v>0</v>
      </c>
      <c r="H600" s="34">
        <f>SUM(H601+H603)</f>
        <v>0</v>
      </c>
      <c r="I600" s="34" t="e">
        <f t="shared" si="18"/>
        <v>#DIV/0!</v>
      </c>
    </row>
    <row r="601" spans="1:9" ht="29.25" hidden="1">
      <c r="A601" s="52" t="s">
        <v>7</v>
      </c>
      <c r="B601" s="69"/>
      <c r="C601" s="48" t="s">
        <v>317</v>
      </c>
      <c r="D601" s="48" t="s">
        <v>339</v>
      </c>
      <c r="E601" s="48" t="s">
        <v>8</v>
      </c>
      <c r="F601" s="37"/>
      <c r="G601" s="34">
        <f>SUM(G602)</f>
        <v>0</v>
      </c>
      <c r="H601" s="34">
        <f>SUM(H602)</f>
        <v>0</v>
      </c>
      <c r="I601" s="34" t="e">
        <f t="shared" si="18"/>
        <v>#DIV/0!</v>
      </c>
    </row>
    <row r="602" spans="1:9" ht="29.25" hidden="1">
      <c r="A602" s="35" t="s">
        <v>521</v>
      </c>
      <c r="B602" s="69"/>
      <c r="C602" s="48" t="s">
        <v>317</v>
      </c>
      <c r="D602" s="48" t="s">
        <v>339</v>
      </c>
      <c r="E602" s="48" t="s">
        <v>8</v>
      </c>
      <c r="F602" s="37" t="s">
        <v>6</v>
      </c>
      <c r="G602" s="34"/>
      <c r="H602" s="34"/>
      <c r="I602" s="34" t="e">
        <f t="shared" si="18"/>
        <v>#DIV/0!</v>
      </c>
    </row>
    <row r="603" spans="1:9" ht="31.5" customHeight="1" hidden="1">
      <c r="A603" s="35" t="s">
        <v>679</v>
      </c>
      <c r="B603" s="31"/>
      <c r="C603" s="48" t="s">
        <v>317</v>
      </c>
      <c r="D603" s="48" t="s">
        <v>339</v>
      </c>
      <c r="E603" s="48" t="s">
        <v>680</v>
      </c>
      <c r="F603" s="36"/>
      <c r="G603" s="34">
        <f>SUM(G604)</f>
        <v>0</v>
      </c>
      <c r="H603" s="34">
        <f>SUM(H604)</f>
        <v>0</v>
      </c>
      <c r="I603" s="34" t="e">
        <f t="shared" si="18"/>
        <v>#DIV/0!</v>
      </c>
    </row>
    <row r="604" spans="1:9" ht="28.5" hidden="1">
      <c r="A604" s="35" t="s">
        <v>521</v>
      </c>
      <c r="B604" s="31"/>
      <c r="C604" s="48" t="s">
        <v>317</v>
      </c>
      <c r="D604" s="48" t="s">
        <v>339</v>
      </c>
      <c r="E604" s="48" t="s">
        <v>680</v>
      </c>
      <c r="F604" s="36" t="s">
        <v>6</v>
      </c>
      <c r="G604" s="34"/>
      <c r="H604" s="34"/>
      <c r="I604" s="34" t="e">
        <f t="shared" si="18"/>
        <v>#DIV/0!</v>
      </c>
    </row>
    <row r="605" spans="1:9" ht="19.5" customHeight="1">
      <c r="A605" s="108" t="s">
        <v>278</v>
      </c>
      <c r="B605" s="47"/>
      <c r="C605" s="48" t="s">
        <v>317</v>
      </c>
      <c r="D605" s="48" t="s">
        <v>339</v>
      </c>
      <c r="E605" s="48" t="s">
        <v>279</v>
      </c>
      <c r="F605" s="36"/>
      <c r="G605" s="34">
        <f>SUM(G607+G614)</f>
        <v>3394.3</v>
      </c>
      <c r="H605" s="34">
        <f>SUM(H607+H614)</f>
        <v>3394.3</v>
      </c>
      <c r="I605" s="34">
        <f t="shared" si="18"/>
        <v>100</v>
      </c>
    </row>
    <row r="606" spans="1:9" ht="28.5" customHeight="1" hidden="1">
      <c r="A606" s="30" t="s">
        <v>521</v>
      </c>
      <c r="B606" s="47"/>
      <c r="C606" s="48" t="s">
        <v>317</v>
      </c>
      <c r="D606" s="48" t="s">
        <v>339</v>
      </c>
      <c r="E606" s="48" t="s">
        <v>279</v>
      </c>
      <c r="F606" s="36" t="s">
        <v>6</v>
      </c>
      <c r="G606" s="34"/>
      <c r="H606" s="34"/>
      <c r="I606" s="34" t="e">
        <f t="shared" si="18"/>
        <v>#DIV/0!</v>
      </c>
    </row>
    <row r="607" spans="1:9" ht="32.25" customHeight="1">
      <c r="A607" s="30" t="s">
        <v>681</v>
      </c>
      <c r="B607" s="47"/>
      <c r="C607" s="48" t="s">
        <v>317</v>
      </c>
      <c r="D607" s="48" t="s">
        <v>339</v>
      </c>
      <c r="E607" s="48" t="s">
        <v>682</v>
      </c>
      <c r="F607" s="36"/>
      <c r="G607" s="34">
        <f>SUM(G608:G609)</f>
        <v>3388.3</v>
      </c>
      <c r="H607" s="34">
        <f>SUM(H608:H609)</f>
        <v>3388.3</v>
      </c>
      <c r="I607" s="34">
        <f t="shared" si="18"/>
        <v>100</v>
      </c>
    </row>
    <row r="608" spans="1:9" ht="17.25" customHeight="1">
      <c r="A608" s="46" t="s">
        <v>455</v>
      </c>
      <c r="B608" s="31"/>
      <c r="C608" s="48" t="s">
        <v>317</v>
      </c>
      <c r="D608" s="48" t="s">
        <v>339</v>
      </c>
      <c r="E608" s="48" t="s">
        <v>682</v>
      </c>
      <c r="F608" s="36" t="s">
        <v>274</v>
      </c>
      <c r="G608" s="34">
        <v>309.5</v>
      </c>
      <c r="H608" s="34">
        <v>309.5</v>
      </c>
      <c r="I608" s="34">
        <f t="shared" si="18"/>
        <v>100</v>
      </c>
    </row>
    <row r="609" spans="1:9" s="111" customFormat="1" ht="27" customHeight="1">
      <c r="A609" s="30" t="s">
        <v>521</v>
      </c>
      <c r="B609" s="136"/>
      <c r="C609" s="48" t="s">
        <v>317</v>
      </c>
      <c r="D609" s="48" t="s">
        <v>339</v>
      </c>
      <c r="E609" s="48" t="s">
        <v>682</v>
      </c>
      <c r="F609" s="36" t="s">
        <v>6</v>
      </c>
      <c r="G609" s="77">
        <v>3078.8</v>
      </c>
      <c r="H609" s="77">
        <v>3078.8</v>
      </c>
      <c r="I609" s="34">
        <f t="shared" si="18"/>
        <v>100</v>
      </c>
    </row>
    <row r="610" spans="1:9" ht="15.75" customHeight="1" hidden="1">
      <c r="A610" s="35" t="s">
        <v>174</v>
      </c>
      <c r="B610" s="109"/>
      <c r="C610" s="70" t="s">
        <v>317</v>
      </c>
      <c r="D610" s="43" t="s">
        <v>339</v>
      </c>
      <c r="E610" s="48" t="s">
        <v>682</v>
      </c>
      <c r="F610" s="37" t="s">
        <v>175</v>
      </c>
      <c r="G610" s="34"/>
      <c r="H610" s="34"/>
      <c r="I610" s="34" t="e">
        <f t="shared" si="18"/>
        <v>#DIV/0!</v>
      </c>
    </row>
    <row r="611" spans="1:9" ht="27.75" customHeight="1" hidden="1">
      <c r="A611" s="30" t="s">
        <v>521</v>
      </c>
      <c r="B611" s="109"/>
      <c r="C611" s="43" t="s">
        <v>317</v>
      </c>
      <c r="D611" s="43" t="s">
        <v>339</v>
      </c>
      <c r="E611" s="43" t="s">
        <v>279</v>
      </c>
      <c r="F611" s="130" t="s">
        <v>6</v>
      </c>
      <c r="G611" s="34"/>
      <c r="H611" s="34"/>
      <c r="I611" s="34" t="e">
        <f t="shared" si="18"/>
        <v>#DIV/0!</v>
      </c>
    </row>
    <row r="612" spans="1:9" s="132" customFormat="1" ht="42" customHeight="1" hidden="1">
      <c r="A612" s="41" t="s">
        <v>683</v>
      </c>
      <c r="B612" s="137"/>
      <c r="C612" s="43" t="s">
        <v>317</v>
      </c>
      <c r="D612" s="43" t="s">
        <v>339</v>
      </c>
      <c r="E612" s="43" t="s">
        <v>684</v>
      </c>
      <c r="F612" s="130" t="s">
        <v>6</v>
      </c>
      <c r="G612" s="77"/>
      <c r="H612" s="77"/>
      <c r="I612" s="34" t="e">
        <f t="shared" si="18"/>
        <v>#DIV/0!</v>
      </c>
    </row>
    <row r="613" spans="1:9" s="132" customFormat="1" ht="20.25" customHeight="1" hidden="1">
      <c r="A613" s="126" t="s">
        <v>685</v>
      </c>
      <c r="B613" s="137"/>
      <c r="C613" s="43" t="s">
        <v>317</v>
      </c>
      <c r="D613" s="43" t="s">
        <v>339</v>
      </c>
      <c r="E613" s="43" t="s">
        <v>686</v>
      </c>
      <c r="F613" s="130" t="s">
        <v>6</v>
      </c>
      <c r="G613" s="77"/>
      <c r="H613" s="77"/>
      <c r="I613" s="34" t="e">
        <f t="shared" si="18"/>
        <v>#DIV/0!</v>
      </c>
    </row>
    <row r="614" spans="1:9" s="132" customFormat="1" ht="29.25" customHeight="1">
      <c r="A614" s="126" t="s">
        <v>687</v>
      </c>
      <c r="B614" s="137"/>
      <c r="C614" s="43" t="s">
        <v>317</v>
      </c>
      <c r="D614" s="43" t="s">
        <v>339</v>
      </c>
      <c r="E614" s="43" t="s">
        <v>688</v>
      </c>
      <c r="F614" s="130" t="s">
        <v>6</v>
      </c>
      <c r="G614" s="77">
        <v>6</v>
      </c>
      <c r="H614" s="77">
        <v>6</v>
      </c>
      <c r="I614" s="34">
        <f t="shared" si="18"/>
        <v>100</v>
      </c>
    </row>
    <row r="615" spans="1:9" s="132" customFormat="1" ht="24" customHeight="1" hidden="1">
      <c r="A615" s="126" t="s">
        <v>689</v>
      </c>
      <c r="B615" s="137"/>
      <c r="C615" s="43" t="s">
        <v>317</v>
      </c>
      <c r="D615" s="43" t="s">
        <v>339</v>
      </c>
      <c r="E615" s="43" t="s">
        <v>690</v>
      </c>
      <c r="F615" s="130" t="s">
        <v>6</v>
      </c>
      <c r="G615" s="77"/>
      <c r="H615" s="77"/>
      <c r="I615" s="34" t="e">
        <f t="shared" si="18"/>
        <v>#DIV/0!</v>
      </c>
    </row>
    <row r="616" spans="1:9" s="132" customFormat="1" ht="22.5" customHeight="1" hidden="1">
      <c r="A616" s="30" t="s">
        <v>521</v>
      </c>
      <c r="B616" s="31"/>
      <c r="C616" s="48" t="s">
        <v>317</v>
      </c>
      <c r="D616" s="48" t="s">
        <v>339</v>
      </c>
      <c r="E616" s="48" t="s">
        <v>974</v>
      </c>
      <c r="F616" s="130" t="s">
        <v>6</v>
      </c>
      <c r="G616" s="77">
        <f>SUM('[1]Ведомств.'!F339+'[1]Ведомств.'!F700)</f>
        <v>158</v>
      </c>
      <c r="H616" s="77">
        <f>SUM('[1]Ведомств.'!G339+'[1]Ведомств.'!G700)</f>
        <v>0</v>
      </c>
      <c r="I616" s="34">
        <f t="shared" si="18"/>
        <v>0</v>
      </c>
    </row>
    <row r="617" spans="1:9" s="132" customFormat="1" ht="18" customHeight="1" hidden="1">
      <c r="A617" s="95" t="s">
        <v>691</v>
      </c>
      <c r="B617" s="31"/>
      <c r="C617" s="48" t="s">
        <v>317</v>
      </c>
      <c r="D617" s="48" t="s">
        <v>339</v>
      </c>
      <c r="E617" s="48" t="s">
        <v>692</v>
      </c>
      <c r="F617" s="130" t="s">
        <v>6</v>
      </c>
      <c r="G617" s="77">
        <f>SUM('[1]Ведомств.'!F701)</f>
        <v>0</v>
      </c>
      <c r="H617" s="77">
        <f>SUM('[1]Ведомств.'!G701)</f>
        <v>0</v>
      </c>
      <c r="I617" s="34" t="e">
        <f t="shared" si="18"/>
        <v>#DIV/0!</v>
      </c>
    </row>
    <row r="618" spans="1:9" s="138" customFormat="1" ht="15.75">
      <c r="A618" s="53" t="s">
        <v>693</v>
      </c>
      <c r="B618" s="54"/>
      <c r="C618" s="72" t="s">
        <v>339</v>
      </c>
      <c r="D618" s="72" t="s">
        <v>694</v>
      </c>
      <c r="E618" s="72"/>
      <c r="F618" s="73"/>
      <c r="G618" s="57">
        <f>SUM(G619+G623+G634+G716+G735)</f>
        <v>523891.7</v>
      </c>
      <c r="H618" s="57">
        <f>SUM(H619+H623+H634+H716+H735)</f>
        <v>501729.19999999995</v>
      </c>
      <c r="I618" s="57">
        <f t="shared" si="18"/>
        <v>95.76964093914829</v>
      </c>
    </row>
    <row r="619" spans="1:9" s="50" customFormat="1" ht="15">
      <c r="A619" s="41" t="s">
        <v>695</v>
      </c>
      <c r="B619" s="31"/>
      <c r="C619" s="110" t="s">
        <v>339</v>
      </c>
      <c r="D619" s="110" t="s">
        <v>167</v>
      </c>
      <c r="E619" s="110"/>
      <c r="F619" s="62"/>
      <c r="G619" s="77">
        <f aca="true" t="shared" si="19" ref="G619:H621">SUM(G620)</f>
        <v>1464.8</v>
      </c>
      <c r="H619" s="77">
        <f t="shared" si="19"/>
        <v>1464.6</v>
      </c>
      <c r="I619" s="34">
        <f t="shared" si="18"/>
        <v>99.98634625887493</v>
      </c>
    </row>
    <row r="620" spans="1:9" s="50" customFormat="1" ht="28.5">
      <c r="A620" s="96" t="s">
        <v>696</v>
      </c>
      <c r="B620" s="31"/>
      <c r="C620" s="32" t="s">
        <v>339</v>
      </c>
      <c r="D620" s="32" t="s">
        <v>167</v>
      </c>
      <c r="E620" s="32" t="s">
        <v>697</v>
      </c>
      <c r="F620" s="62"/>
      <c r="G620" s="34">
        <f t="shared" si="19"/>
        <v>1464.8</v>
      </c>
      <c r="H620" s="34">
        <f t="shared" si="19"/>
        <v>1464.6</v>
      </c>
      <c r="I620" s="34">
        <f t="shared" si="18"/>
        <v>99.98634625887493</v>
      </c>
    </row>
    <row r="621" spans="1:9" s="50" customFormat="1" ht="28.5">
      <c r="A621" s="96" t="s">
        <v>698</v>
      </c>
      <c r="B621" s="85"/>
      <c r="C621" s="32" t="s">
        <v>339</v>
      </c>
      <c r="D621" s="32" t="s">
        <v>167</v>
      </c>
      <c r="E621" s="32" t="s">
        <v>699</v>
      </c>
      <c r="F621" s="62"/>
      <c r="G621" s="34">
        <f t="shared" si="19"/>
        <v>1464.8</v>
      </c>
      <c r="H621" s="34">
        <f t="shared" si="19"/>
        <v>1464.6</v>
      </c>
      <c r="I621" s="34">
        <f t="shared" si="18"/>
        <v>99.98634625887493</v>
      </c>
    </row>
    <row r="622" spans="1:9" s="50" customFormat="1" ht="15">
      <c r="A622" s="30" t="s">
        <v>309</v>
      </c>
      <c r="B622" s="31"/>
      <c r="C622" s="32" t="s">
        <v>339</v>
      </c>
      <c r="D622" s="32" t="s">
        <v>167</v>
      </c>
      <c r="E622" s="32" t="s">
        <v>699</v>
      </c>
      <c r="F622" s="62" t="s">
        <v>310</v>
      </c>
      <c r="G622" s="34">
        <v>1464.8</v>
      </c>
      <c r="H622" s="34">
        <v>1464.6</v>
      </c>
      <c r="I622" s="34">
        <f t="shared" si="18"/>
        <v>99.98634625887493</v>
      </c>
    </row>
    <row r="623" spans="1:9" s="50" customFormat="1" ht="14.25" customHeight="1">
      <c r="A623" s="30" t="s">
        <v>700</v>
      </c>
      <c r="B623" s="31"/>
      <c r="C623" s="43" t="s">
        <v>339</v>
      </c>
      <c r="D623" s="43" t="s">
        <v>169</v>
      </c>
      <c r="E623" s="32"/>
      <c r="F623" s="62"/>
      <c r="G623" s="77">
        <f>SUM(G624+G629)</f>
        <v>25010.1</v>
      </c>
      <c r="H623" s="77">
        <f>SUM(H624+H629)</f>
        <v>25009.8</v>
      </c>
      <c r="I623" s="34">
        <f t="shared" si="18"/>
        <v>99.99880048460422</v>
      </c>
    </row>
    <row r="624" spans="1:9" s="50" customFormat="1" ht="5.25" customHeight="1" hidden="1">
      <c r="A624" s="139" t="s">
        <v>701</v>
      </c>
      <c r="B624" s="31"/>
      <c r="C624" s="43" t="s">
        <v>339</v>
      </c>
      <c r="D624" s="43" t="s">
        <v>169</v>
      </c>
      <c r="E624" s="43" t="s">
        <v>702</v>
      </c>
      <c r="F624" s="130"/>
      <c r="G624" s="77">
        <f>SUM(G625)+G627</f>
        <v>0</v>
      </c>
      <c r="H624" s="77">
        <f>SUM(H625)+H627</f>
        <v>0</v>
      </c>
      <c r="I624" s="34" t="e">
        <f t="shared" si="18"/>
        <v>#DIV/0!</v>
      </c>
    </row>
    <row r="625" spans="1:9" s="50" customFormat="1" ht="10.5" customHeight="1" hidden="1">
      <c r="A625" s="139" t="s">
        <v>703</v>
      </c>
      <c r="B625" s="31"/>
      <c r="C625" s="48" t="s">
        <v>339</v>
      </c>
      <c r="D625" s="48" t="s">
        <v>169</v>
      </c>
      <c r="E625" s="48" t="s">
        <v>704</v>
      </c>
      <c r="F625" s="36"/>
      <c r="G625" s="34">
        <f>SUM(G626)</f>
        <v>0</v>
      </c>
      <c r="H625" s="34">
        <f>SUM(H626)</f>
        <v>0</v>
      </c>
      <c r="I625" s="34" t="e">
        <f t="shared" si="18"/>
        <v>#DIV/0!</v>
      </c>
    </row>
    <row r="626" spans="1:9" s="50" customFormat="1" ht="10.5" customHeight="1" hidden="1">
      <c r="A626" s="46" t="s">
        <v>265</v>
      </c>
      <c r="B626" s="31"/>
      <c r="C626" s="48" t="s">
        <v>339</v>
      </c>
      <c r="D626" s="48" t="s">
        <v>169</v>
      </c>
      <c r="E626" s="48" t="s">
        <v>704</v>
      </c>
      <c r="F626" s="130" t="s">
        <v>266</v>
      </c>
      <c r="G626" s="34"/>
      <c r="H626" s="34"/>
      <c r="I626" s="34" t="e">
        <f t="shared" si="18"/>
        <v>#DIV/0!</v>
      </c>
    </row>
    <row r="627" spans="1:9" s="50" customFormat="1" ht="15" customHeight="1" hidden="1">
      <c r="A627" s="139" t="s">
        <v>705</v>
      </c>
      <c r="B627" s="31"/>
      <c r="C627" s="48" t="s">
        <v>339</v>
      </c>
      <c r="D627" s="48" t="s">
        <v>169</v>
      </c>
      <c r="E627" s="48" t="s">
        <v>706</v>
      </c>
      <c r="F627" s="36"/>
      <c r="G627" s="34">
        <f>SUM(G628)</f>
        <v>0</v>
      </c>
      <c r="H627" s="34">
        <f>SUM(H628)</f>
        <v>0</v>
      </c>
      <c r="I627" s="34" t="e">
        <f t="shared" si="18"/>
        <v>#DIV/0!</v>
      </c>
    </row>
    <row r="628" spans="1:9" s="50" customFormat="1" ht="15" customHeight="1" hidden="1">
      <c r="A628" s="46" t="s">
        <v>265</v>
      </c>
      <c r="B628" s="31"/>
      <c r="C628" s="48" t="s">
        <v>339</v>
      </c>
      <c r="D628" s="48" t="s">
        <v>169</v>
      </c>
      <c r="E628" s="48" t="s">
        <v>706</v>
      </c>
      <c r="F628" s="130" t="s">
        <v>266</v>
      </c>
      <c r="G628" s="34"/>
      <c r="H628" s="34"/>
      <c r="I628" s="34" t="e">
        <f t="shared" si="18"/>
        <v>#DIV/0!</v>
      </c>
    </row>
    <row r="629" spans="1:9" s="50" customFormat="1" ht="18.75" customHeight="1">
      <c r="A629" s="139" t="s">
        <v>701</v>
      </c>
      <c r="B629" s="31"/>
      <c r="C629" s="43" t="s">
        <v>339</v>
      </c>
      <c r="D629" s="43" t="s">
        <v>169</v>
      </c>
      <c r="E629" s="43" t="s">
        <v>707</v>
      </c>
      <c r="F629" s="130"/>
      <c r="G629" s="34">
        <f>SUM(G630+G632)</f>
        <v>25010.1</v>
      </c>
      <c r="H629" s="34">
        <f>SUM(H630+H632)</f>
        <v>25009.8</v>
      </c>
      <c r="I629" s="34">
        <f t="shared" si="18"/>
        <v>99.99880048460422</v>
      </c>
    </row>
    <row r="630" spans="1:9" s="50" customFormat="1" ht="30.75" customHeight="1">
      <c r="A630" s="46" t="s">
        <v>705</v>
      </c>
      <c r="B630" s="31"/>
      <c r="C630" s="48" t="s">
        <v>339</v>
      </c>
      <c r="D630" s="48" t="s">
        <v>169</v>
      </c>
      <c r="E630" s="48" t="s">
        <v>708</v>
      </c>
      <c r="F630" s="130"/>
      <c r="G630" s="34">
        <f>SUM(G631)</f>
        <v>1104.5</v>
      </c>
      <c r="H630" s="34">
        <f>SUM(H631)</f>
        <v>1104.2</v>
      </c>
      <c r="I630" s="34">
        <f t="shared" si="18"/>
        <v>99.97283838841105</v>
      </c>
    </row>
    <row r="631" spans="1:9" s="50" customFormat="1" ht="15" customHeight="1">
      <c r="A631" s="46" t="s">
        <v>265</v>
      </c>
      <c r="B631" s="31"/>
      <c r="C631" s="48" t="s">
        <v>339</v>
      </c>
      <c r="D631" s="48" t="s">
        <v>169</v>
      </c>
      <c r="E631" s="48" t="s">
        <v>708</v>
      </c>
      <c r="F631" s="130" t="s">
        <v>266</v>
      </c>
      <c r="G631" s="34">
        <v>1104.5</v>
      </c>
      <c r="H631" s="34">
        <v>1104.2</v>
      </c>
      <c r="I631" s="34">
        <f t="shared" si="18"/>
        <v>99.97283838841105</v>
      </c>
    </row>
    <row r="632" spans="1:9" s="50" customFormat="1" ht="42.75" customHeight="1">
      <c r="A632" s="46" t="s">
        <v>709</v>
      </c>
      <c r="B632" s="31"/>
      <c r="C632" s="48" t="s">
        <v>339</v>
      </c>
      <c r="D632" s="48" t="s">
        <v>169</v>
      </c>
      <c r="E632" s="48" t="s">
        <v>710</v>
      </c>
      <c r="F632" s="130"/>
      <c r="G632" s="34">
        <f>SUM(G633)</f>
        <v>23905.6</v>
      </c>
      <c r="H632" s="34">
        <f>SUM(H633)</f>
        <v>23905.6</v>
      </c>
      <c r="I632" s="34">
        <f t="shared" si="18"/>
        <v>100</v>
      </c>
    </row>
    <row r="633" spans="1:9" s="50" customFormat="1" ht="15" customHeight="1">
      <c r="A633" s="46" t="s">
        <v>265</v>
      </c>
      <c r="B633" s="31"/>
      <c r="C633" s="48" t="s">
        <v>339</v>
      </c>
      <c r="D633" s="48" t="s">
        <v>169</v>
      </c>
      <c r="E633" s="48" t="s">
        <v>710</v>
      </c>
      <c r="F633" s="130" t="s">
        <v>266</v>
      </c>
      <c r="G633" s="34">
        <v>23905.6</v>
      </c>
      <c r="H633" s="34">
        <v>23905.6</v>
      </c>
      <c r="I633" s="34">
        <f t="shared" si="18"/>
        <v>100</v>
      </c>
    </row>
    <row r="634" spans="1:9" s="50" customFormat="1" ht="14.25" customHeight="1">
      <c r="A634" s="41" t="s">
        <v>711</v>
      </c>
      <c r="B634" s="31"/>
      <c r="C634" s="110" t="s">
        <v>339</v>
      </c>
      <c r="D634" s="110" t="s">
        <v>177</v>
      </c>
      <c r="E634" s="110"/>
      <c r="F634" s="62"/>
      <c r="G634" s="77">
        <f>SUM(G638+G699+G702+G709+G635)</f>
        <v>424680.7</v>
      </c>
      <c r="H634" s="77">
        <f>SUM(H638+H699+H702+H709+H635)</f>
        <v>416522.79999999993</v>
      </c>
      <c r="I634" s="34">
        <f t="shared" si="18"/>
        <v>98.07905091990287</v>
      </c>
    </row>
    <row r="635" spans="1:9" s="50" customFormat="1" ht="14.25" customHeight="1">
      <c r="A635" s="49" t="s">
        <v>712</v>
      </c>
      <c r="B635" s="31"/>
      <c r="C635" s="32" t="s">
        <v>339</v>
      </c>
      <c r="D635" s="48" t="s">
        <v>177</v>
      </c>
      <c r="E635" s="32" t="s">
        <v>457</v>
      </c>
      <c r="F635" s="33"/>
      <c r="G635" s="34">
        <f>SUM(G636)</f>
        <v>1690.6</v>
      </c>
      <c r="H635" s="34">
        <f>SUM(H636)</f>
        <v>1690.6</v>
      </c>
      <c r="I635" s="34">
        <f t="shared" si="18"/>
        <v>100</v>
      </c>
    </row>
    <row r="636" spans="1:9" s="50" customFormat="1" ht="14.25" customHeight="1">
      <c r="A636" s="49" t="s">
        <v>713</v>
      </c>
      <c r="B636" s="31"/>
      <c r="C636" s="32" t="s">
        <v>339</v>
      </c>
      <c r="D636" s="48" t="s">
        <v>177</v>
      </c>
      <c r="E636" s="32" t="s">
        <v>714</v>
      </c>
      <c r="F636" s="33"/>
      <c r="G636" s="34">
        <f>SUM(G637)</f>
        <v>1690.6</v>
      </c>
      <c r="H636" s="34">
        <f>SUM(H637)</f>
        <v>1690.6</v>
      </c>
      <c r="I636" s="34">
        <f t="shared" si="18"/>
        <v>100</v>
      </c>
    </row>
    <row r="637" spans="1:9" s="50" customFormat="1" ht="14.25" customHeight="1">
      <c r="A637" s="49" t="s">
        <v>715</v>
      </c>
      <c r="B637" s="31"/>
      <c r="C637" s="32" t="s">
        <v>339</v>
      </c>
      <c r="D637" s="48" t="s">
        <v>177</v>
      </c>
      <c r="E637" s="32" t="s">
        <v>714</v>
      </c>
      <c r="F637" s="33" t="s">
        <v>716</v>
      </c>
      <c r="G637" s="34">
        <v>1690.6</v>
      </c>
      <c r="H637" s="34">
        <v>1690.6</v>
      </c>
      <c r="I637" s="34">
        <f t="shared" si="18"/>
        <v>100</v>
      </c>
    </row>
    <row r="638" spans="1:9" ht="18.75" customHeight="1">
      <c r="A638" s="30" t="s">
        <v>717</v>
      </c>
      <c r="B638" s="31"/>
      <c r="C638" s="32" t="s">
        <v>339</v>
      </c>
      <c r="D638" s="32" t="s">
        <v>177</v>
      </c>
      <c r="E638" s="32" t="s">
        <v>718</v>
      </c>
      <c r="F638" s="33"/>
      <c r="G638" s="34">
        <f>SUM(G639+G641+G643+G649+G651+G661+G665+G670+G674+G676+G695)+G697+G653+G655+G657+G659+G663+G668+G672</f>
        <v>413896.4</v>
      </c>
      <c r="H638" s="34">
        <f>SUM(H639+H641+H643+H649+H651+H661+H665+H670+H674+H676+H695)+H697+H653+H655+H657+H659+H663+H668+H672</f>
        <v>405635.1</v>
      </c>
      <c r="I638" s="34">
        <f t="shared" si="18"/>
        <v>98.00401743044877</v>
      </c>
    </row>
    <row r="639" spans="1:9" ht="55.5" customHeight="1" hidden="1">
      <c r="A639" s="140" t="s">
        <v>719</v>
      </c>
      <c r="B639" s="31"/>
      <c r="C639" s="32" t="s">
        <v>339</v>
      </c>
      <c r="D639" s="32" t="s">
        <v>177</v>
      </c>
      <c r="E639" s="32" t="s">
        <v>720</v>
      </c>
      <c r="F639" s="33"/>
      <c r="G639" s="34">
        <f>SUM(G640:G640)</f>
        <v>0</v>
      </c>
      <c r="H639" s="34">
        <f>SUM(H640:H640)</f>
        <v>0</v>
      </c>
      <c r="I639" s="34" t="e">
        <f t="shared" si="18"/>
        <v>#DIV/0!</v>
      </c>
    </row>
    <row r="640" spans="1:9" ht="20.25" customHeight="1" hidden="1">
      <c r="A640" s="30" t="s">
        <v>309</v>
      </c>
      <c r="B640" s="31"/>
      <c r="C640" s="32" t="s">
        <v>339</v>
      </c>
      <c r="D640" s="32" t="s">
        <v>177</v>
      </c>
      <c r="E640" s="32" t="s">
        <v>720</v>
      </c>
      <c r="F640" s="33" t="s">
        <v>310</v>
      </c>
      <c r="G640" s="34"/>
      <c r="H640" s="34"/>
      <c r="I640" s="34" t="e">
        <f t="shared" si="18"/>
        <v>#DIV/0!</v>
      </c>
    </row>
    <row r="641" spans="1:9" s="50" customFormat="1" ht="42.75" hidden="1">
      <c r="A641" s="30" t="s">
        <v>721</v>
      </c>
      <c r="B641" s="31"/>
      <c r="C641" s="32" t="s">
        <v>339</v>
      </c>
      <c r="D641" s="32" t="s">
        <v>177</v>
      </c>
      <c r="E641" s="32" t="s">
        <v>722</v>
      </c>
      <c r="F641" s="33"/>
      <c r="G641" s="34">
        <f>SUM(G642:G642)</f>
        <v>0</v>
      </c>
      <c r="H641" s="34">
        <f>SUM(H642:H642)</f>
        <v>0</v>
      </c>
      <c r="I641" s="34" t="e">
        <f t="shared" si="18"/>
        <v>#DIV/0!</v>
      </c>
    </row>
    <row r="642" spans="1:9" s="50" customFormat="1" ht="15" hidden="1">
      <c r="A642" s="30" t="s">
        <v>309</v>
      </c>
      <c r="B642" s="31"/>
      <c r="C642" s="32" t="s">
        <v>339</v>
      </c>
      <c r="D642" s="32" t="s">
        <v>177</v>
      </c>
      <c r="E642" s="32" t="s">
        <v>722</v>
      </c>
      <c r="F642" s="33" t="s">
        <v>310</v>
      </c>
      <c r="G642" s="34"/>
      <c r="H642" s="34"/>
      <c r="I642" s="34" t="e">
        <f t="shared" si="18"/>
        <v>#DIV/0!</v>
      </c>
    </row>
    <row r="643" spans="1:9" s="50" customFormat="1" ht="42.75" hidden="1">
      <c r="A643" s="30" t="s">
        <v>723</v>
      </c>
      <c r="B643" s="39"/>
      <c r="C643" s="48" t="s">
        <v>339</v>
      </c>
      <c r="D643" s="32" t="s">
        <v>177</v>
      </c>
      <c r="E643" s="32" t="s">
        <v>724</v>
      </c>
      <c r="F643" s="33"/>
      <c r="G643" s="34">
        <f>SUM(G644)</f>
        <v>0</v>
      </c>
      <c r="H643" s="34">
        <f>SUM(H644)</f>
        <v>0</v>
      </c>
      <c r="I643" s="34" t="e">
        <f t="shared" si="18"/>
        <v>#DIV/0!</v>
      </c>
    </row>
    <row r="644" spans="1:9" s="50" customFormat="1" ht="15" hidden="1">
      <c r="A644" s="30" t="s">
        <v>309</v>
      </c>
      <c r="B644" s="39"/>
      <c r="C644" s="48" t="s">
        <v>339</v>
      </c>
      <c r="D644" s="32" t="s">
        <v>177</v>
      </c>
      <c r="E644" s="32" t="s">
        <v>724</v>
      </c>
      <c r="F644" s="33" t="s">
        <v>310</v>
      </c>
      <c r="G644" s="34"/>
      <c r="H644" s="34"/>
      <c r="I644" s="34" t="e">
        <f t="shared" si="18"/>
        <v>#DIV/0!</v>
      </c>
    </row>
    <row r="645" spans="1:9" s="50" customFormat="1" ht="71.25" hidden="1">
      <c r="A645" s="30" t="s">
        <v>725</v>
      </c>
      <c r="B645" s="39"/>
      <c r="C645" s="48" t="s">
        <v>339</v>
      </c>
      <c r="D645" s="32" t="s">
        <v>177</v>
      </c>
      <c r="E645" s="32" t="s">
        <v>726</v>
      </c>
      <c r="F645" s="33"/>
      <c r="G645" s="34">
        <f>SUM(G646)</f>
        <v>0</v>
      </c>
      <c r="H645" s="34">
        <f>SUM(H646)</f>
        <v>0</v>
      </c>
      <c r="I645" s="34" t="e">
        <f t="shared" si="18"/>
        <v>#DIV/0!</v>
      </c>
    </row>
    <row r="646" spans="1:9" s="50" customFormat="1" ht="15" hidden="1">
      <c r="A646" s="30" t="s">
        <v>309</v>
      </c>
      <c r="B646" s="39"/>
      <c r="C646" s="48" t="s">
        <v>339</v>
      </c>
      <c r="D646" s="32" t="s">
        <v>177</v>
      </c>
      <c r="E646" s="32" t="s">
        <v>726</v>
      </c>
      <c r="F646" s="33" t="s">
        <v>310</v>
      </c>
      <c r="G646" s="34"/>
      <c r="H646" s="34"/>
      <c r="I646" s="34" t="e">
        <f t="shared" si="18"/>
        <v>#DIV/0!</v>
      </c>
    </row>
    <row r="647" spans="1:9" s="50" customFormat="1" ht="71.25" hidden="1">
      <c r="A647" s="30" t="s">
        <v>727</v>
      </c>
      <c r="B647" s="39"/>
      <c r="C647" s="48" t="s">
        <v>339</v>
      </c>
      <c r="D647" s="32" t="s">
        <v>177</v>
      </c>
      <c r="E647" s="32" t="s">
        <v>728</v>
      </c>
      <c r="F647" s="33"/>
      <c r="G647" s="34">
        <f>SUM(G648)</f>
        <v>0</v>
      </c>
      <c r="H647" s="34">
        <f>SUM(H648)</f>
        <v>0</v>
      </c>
      <c r="I647" s="34" t="e">
        <f t="shared" si="18"/>
        <v>#DIV/0!</v>
      </c>
    </row>
    <row r="648" spans="1:9" s="50" customFormat="1" ht="15" hidden="1">
      <c r="A648" s="30" t="s">
        <v>309</v>
      </c>
      <c r="B648" s="39"/>
      <c r="C648" s="48" t="s">
        <v>339</v>
      </c>
      <c r="D648" s="32" t="s">
        <v>177</v>
      </c>
      <c r="E648" s="32" t="s">
        <v>728</v>
      </c>
      <c r="F648" s="33" t="s">
        <v>310</v>
      </c>
      <c r="G648" s="34"/>
      <c r="H648" s="34"/>
      <c r="I648" s="34" t="e">
        <f t="shared" si="18"/>
        <v>#DIV/0!</v>
      </c>
    </row>
    <row r="649" spans="1:9" s="50" customFormat="1" ht="71.25">
      <c r="A649" s="49" t="s">
        <v>729</v>
      </c>
      <c r="B649" s="31"/>
      <c r="C649" s="48" t="s">
        <v>339</v>
      </c>
      <c r="D649" s="32" t="s">
        <v>177</v>
      </c>
      <c r="E649" s="32" t="s">
        <v>730</v>
      </c>
      <c r="F649" s="33"/>
      <c r="G649" s="34">
        <f>SUM(G650)</f>
        <v>1370.4</v>
      </c>
      <c r="H649" s="34">
        <f>SUM(H650)</f>
        <v>1370.4</v>
      </c>
      <c r="I649" s="34">
        <f t="shared" si="18"/>
        <v>100</v>
      </c>
    </row>
    <row r="650" spans="1:9" s="50" customFormat="1" ht="15">
      <c r="A650" s="30" t="s">
        <v>309</v>
      </c>
      <c r="B650" s="31"/>
      <c r="C650" s="48" t="s">
        <v>339</v>
      </c>
      <c r="D650" s="32" t="s">
        <v>177</v>
      </c>
      <c r="E650" s="32" t="s">
        <v>730</v>
      </c>
      <c r="F650" s="33" t="s">
        <v>310</v>
      </c>
      <c r="G650" s="34">
        <v>1370.4</v>
      </c>
      <c r="H650" s="34">
        <v>1370.4</v>
      </c>
      <c r="I650" s="34">
        <f t="shared" si="18"/>
        <v>100</v>
      </c>
    </row>
    <row r="651" spans="1:9" s="50" customFormat="1" ht="42.75">
      <c r="A651" s="141" t="s">
        <v>731</v>
      </c>
      <c r="B651" s="31"/>
      <c r="C651" s="48" t="s">
        <v>339</v>
      </c>
      <c r="D651" s="32" t="s">
        <v>177</v>
      </c>
      <c r="E651" s="32" t="s">
        <v>732</v>
      </c>
      <c r="F651" s="33"/>
      <c r="G651" s="34">
        <f>SUM(G652)</f>
        <v>7516</v>
      </c>
      <c r="H651" s="34">
        <f>SUM(H652)</f>
        <v>8367.6</v>
      </c>
      <c r="I651" s="34">
        <f t="shared" si="18"/>
        <v>111.33049494411922</v>
      </c>
    </row>
    <row r="652" spans="1:9" s="50" customFormat="1" ht="15">
      <c r="A652" s="30" t="s">
        <v>309</v>
      </c>
      <c r="B652" s="31"/>
      <c r="C652" s="48" t="s">
        <v>339</v>
      </c>
      <c r="D652" s="32" t="s">
        <v>177</v>
      </c>
      <c r="E652" s="32" t="s">
        <v>732</v>
      </c>
      <c r="F652" s="33" t="s">
        <v>310</v>
      </c>
      <c r="G652" s="34">
        <v>7516</v>
      </c>
      <c r="H652" s="34">
        <v>8367.6</v>
      </c>
      <c r="I652" s="34">
        <f t="shared" si="18"/>
        <v>111.33049494411922</v>
      </c>
    </row>
    <row r="653" spans="1:9" s="50" customFormat="1" ht="57" customHeight="1">
      <c r="A653" s="30" t="s">
        <v>733</v>
      </c>
      <c r="B653" s="31"/>
      <c r="C653" s="48" t="s">
        <v>339</v>
      </c>
      <c r="D653" s="32" t="s">
        <v>177</v>
      </c>
      <c r="E653" s="32" t="s">
        <v>734</v>
      </c>
      <c r="F653" s="33"/>
      <c r="G653" s="34">
        <f>SUM(G654)</f>
        <v>21632.6</v>
      </c>
      <c r="H653" s="34">
        <f>SUM(H654)</f>
        <v>21632.6</v>
      </c>
      <c r="I653" s="34">
        <f t="shared" si="18"/>
        <v>100</v>
      </c>
    </row>
    <row r="654" spans="1:9" s="50" customFormat="1" ht="18.75" customHeight="1">
      <c r="A654" s="30" t="s">
        <v>309</v>
      </c>
      <c r="B654" s="31"/>
      <c r="C654" s="48" t="s">
        <v>339</v>
      </c>
      <c r="D654" s="32" t="s">
        <v>177</v>
      </c>
      <c r="E654" s="32" t="s">
        <v>734</v>
      </c>
      <c r="F654" s="33" t="s">
        <v>310</v>
      </c>
      <c r="G654" s="34">
        <v>21632.6</v>
      </c>
      <c r="H654" s="34">
        <v>21632.6</v>
      </c>
      <c r="I654" s="34">
        <f t="shared" si="18"/>
        <v>100</v>
      </c>
    </row>
    <row r="655" spans="1:9" s="50" customFormat="1" ht="72" customHeight="1">
      <c r="A655" s="30" t="s">
        <v>735</v>
      </c>
      <c r="B655" s="31"/>
      <c r="C655" s="48" t="s">
        <v>339</v>
      </c>
      <c r="D655" s="32" t="s">
        <v>177</v>
      </c>
      <c r="E655" s="32" t="s">
        <v>736</v>
      </c>
      <c r="F655" s="33"/>
      <c r="G655" s="34">
        <f>SUM(G656)</f>
        <v>42799.8</v>
      </c>
      <c r="H655" s="34">
        <f>SUM(H656)</f>
        <v>42799.8</v>
      </c>
      <c r="I655" s="34">
        <f t="shared" si="18"/>
        <v>100</v>
      </c>
    </row>
    <row r="656" spans="1:9" s="50" customFormat="1" ht="20.25" customHeight="1">
      <c r="A656" s="30" t="s">
        <v>309</v>
      </c>
      <c r="B656" s="31"/>
      <c r="C656" s="48" t="s">
        <v>339</v>
      </c>
      <c r="D656" s="32" t="s">
        <v>177</v>
      </c>
      <c r="E656" s="32" t="s">
        <v>736</v>
      </c>
      <c r="F656" s="33" t="s">
        <v>310</v>
      </c>
      <c r="G656" s="34">
        <v>42799.8</v>
      </c>
      <c r="H656" s="34">
        <v>42799.8</v>
      </c>
      <c r="I656" s="34">
        <f t="shared" si="18"/>
        <v>100</v>
      </c>
    </row>
    <row r="657" spans="1:9" s="50" customFormat="1" ht="60.75" customHeight="1">
      <c r="A657" s="30" t="s">
        <v>737</v>
      </c>
      <c r="B657" s="31"/>
      <c r="C657" s="48" t="s">
        <v>339</v>
      </c>
      <c r="D657" s="32" t="s">
        <v>177</v>
      </c>
      <c r="E657" s="32" t="s">
        <v>738</v>
      </c>
      <c r="F657" s="33"/>
      <c r="G657" s="34">
        <f>SUM(G658)</f>
        <v>7098.4</v>
      </c>
      <c r="H657" s="34">
        <f>SUM(H658)</f>
        <v>5390.2</v>
      </c>
      <c r="I657" s="34">
        <f t="shared" si="18"/>
        <v>75.93542206694467</v>
      </c>
    </row>
    <row r="658" spans="1:9" s="50" customFormat="1" ht="18" customHeight="1">
      <c r="A658" s="30" t="s">
        <v>309</v>
      </c>
      <c r="B658" s="31"/>
      <c r="C658" s="48" t="s">
        <v>339</v>
      </c>
      <c r="D658" s="32" t="s">
        <v>177</v>
      </c>
      <c r="E658" s="32" t="s">
        <v>738</v>
      </c>
      <c r="F658" s="33" t="s">
        <v>310</v>
      </c>
      <c r="G658" s="34">
        <v>7098.4</v>
      </c>
      <c r="H658" s="34">
        <v>5390.2</v>
      </c>
      <c r="I658" s="34">
        <f aca="true" t="shared" si="20" ref="I658:I721">SUM(H658/G658*100)</f>
        <v>75.93542206694467</v>
      </c>
    </row>
    <row r="659" spans="1:9" s="50" customFormat="1" ht="44.25" customHeight="1">
      <c r="A659" s="30" t="s">
        <v>721</v>
      </c>
      <c r="B659" s="31"/>
      <c r="C659" s="48" t="s">
        <v>339</v>
      </c>
      <c r="D659" s="32" t="s">
        <v>177</v>
      </c>
      <c r="E659" s="32" t="s">
        <v>739</v>
      </c>
      <c r="F659" s="33"/>
      <c r="G659" s="34">
        <f>SUM(G660)</f>
        <v>1562</v>
      </c>
      <c r="H659" s="34">
        <f>SUM(H660)</f>
        <v>1317.4</v>
      </c>
      <c r="I659" s="34">
        <f t="shared" si="20"/>
        <v>84.34058898847631</v>
      </c>
    </row>
    <row r="660" spans="1:9" s="50" customFormat="1" ht="15">
      <c r="A660" s="30" t="s">
        <v>309</v>
      </c>
      <c r="B660" s="31"/>
      <c r="C660" s="48" t="s">
        <v>339</v>
      </c>
      <c r="D660" s="32" t="s">
        <v>177</v>
      </c>
      <c r="E660" s="32" t="s">
        <v>739</v>
      </c>
      <c r="F660" s="33" t="s">
        <v>310</v>
      </c>
      <c r="G660" s="34">
        <v>1562</v>
      </c>
      <c r="H660" s="34">
        <v>1317.4</v>
      </c>
      <c r="I660" s="34">
        <f t="shared" si="20"/>
        <v>84.34058898847631</v>
      </c>
    </row>
    <row r="661" spans="1:9" s="50" customFormat="1" ht="15">
      <c r="A661" s="140" t="s">
        <v>740</v>
      </c>
      <c r="B661" s="109"/>
      <c r="C661" s="70" t="s">
        <v>339</v>
      </c>
      <c r="D661" s="70" t="s">
        <v>177</v>
      </c>
      <c r="E661" s="70" t="s">
        <v>741</v>
      </c>
      <c r="F661" s="37"/>
      <c r="G661" s="34">
        <f>SUM(G662)</f>
        <v>2053.9</v>
      </c>
      <c r="H661" s="34">
        <f>SUM(H662)</f>
        <v>1984.4</v>
      </c>
      <c r="I661" s="34">
        <f t="shared" si="20"/>
        <v>96.61619358293977</v>
      </c>
    </row>
    <row r="662" spans="1:9" s="50" customFormat="1" ht="15">
      <c r="A662" s="30" t="s">
        <v>309</v>
      </c>
      <c r="B662" s="109"/>
      <c r="C662" s="70" t="s">
        <v>339</v>
      </c>
      <c r="D662" s="70" t="s">
        <v>177</v>
      </c>
      <c r="E662" s="70" t="s">
        <v>741</v>
      </c>
      <c r="F662" s="37" t="s">
        <v>310</v>
      </c>
      <c r="G662" s="34">
        <v>2053.9</v>
      </c>
      <c r="H662" s="34">
        <v>1984.4</v>
      </c>
      <c r="I662" s="34">
        <f t="shared" si="20"/>
        <v>96.61619358293977</v>
      </c>
    </row>
    <row r="663" spans="1:9" s="50" customFormat="1" ht="33" customHeight="1">
      <c r="A663" s="30" t="s">
        <v>742</v>
      </c>
      <c r="B663" s="109"/>
      <c r="C663" s="70" t="s">
        <v>339</v>
      </c>
      <c r="D663" s="70" t="s">
        <v>177</v>
      </c>
      <c r="E663" s="70" t="s">
        <v>743</v>
      </c>
      <c r="F663" s="37"/>
      <c r="G663" s="34">
        <f>SUM(G664)</f>
        <v>6200.8</v>
      </c>
      <c r="H663" s="34">
        <f>SUM(H664)</f>
        <v>5500.3</v>
      </c>
      <c r="I663" s="34">
        <f t="shared" si="20"/>
        <v>88.70307057153916</v>
      </c>
    </row>
    <row r="664" spans="1:9" s="50" customFormat="1" ht="15">
      <c r="A664" s="30" t="s">
        <v>309</v>
      </c>
      <c r="B664" s="109"/>
      <c r="C664" s="70" t="s">
        <v>339</v>
      </c>
      <c r="D664" s="70" t="s">
        <v>177</v>
      </c>
      <c r="E664" s="70" t="s">
        <v>743</v>
      </c>
      <c r="F664" s="37" t="s">
        <v>310</v>
      </c>
      <c r="G664" s="34">
        <v>6200.8</v>
      </c>
      <c r="H664" s="34">
        <v>5500.3</v>
      </c>
      <c r="I664" s="34">
        <f t="shared" si="20"/>
        <v>88.70307057153916</v>
      </c>
    </row>
    <row r="665" spans="1:9" s="50" customFormat="1" ht="57">
      <c r="A665" s="30" t="s">
        <v>744</v>
      </c>
      <c r="B665" s="31"/>
      <c r="C665" s="48" t="s">
        <v>339</v>
      </c>
      <c r="D665" s="48" t="s">
        <v>177</v>
      </c>
      <c r="E665" s="32" t="s">
        <v>745</v>
      </c>
      <c r="F665" s="33"/>
      <c r="G665" s="34">
        <f>SUM(G666)</f>
        <v>12633.3</v>
      </c>
      <c r="H665" s="34">
        <f>SUM(H666)</f>
        <v>12633.3</v>
      </c>
      <c r="I665" s="34">
        <f t="shared" si="20"/>
        <v>100</v>
      </c>
    </row>
    <row r="666" spans="1:9" s="50" customFormat="1" ht="57">
      <c r="A666" s="49" t="s">
        <v>746</v>
      </c>
      <c r="B666" s="31"/>
      <c r="C666" s="48" t="s">
        <v>339</v>
      </c>
      <c r="D666" s="48" t="s">
        <v>177</v>
      </c>
      <c r="E666" s="32" t="s">
        <v>747</v>
      </c>
      <c r="F666" s="36"/>
      <c r="G666" s="34">
        <f>SUM(G667)</f>
        <v>12633.3</v>
      </c>
      <c r="H666" s="34">
        <f>SUM(H667)</f>
        <v>12633.3</v>
      </c>
      <c r="I666" s="34">
        <f t="shared" si="20"/>
        <v>100</v>
      </c>
    </row>
    <row r="667" spans="1:9" s="50" customFormat="1" ht="15">
      <c r="A667" s="30" t="s">
        <v>309</v>
      </c>
      <c r="B667" s="118"/>
      <c r="C667" s="48" t="s">
        <v>339</v>
      </c>
      <c r="D667" s="48" t="s">
        <v>177</v>
      </c>
      <c r="E667" s="32" t="s">
        <v>747</v>
      </c>
      <c r="F667" s="130" t="s">
        <v>310</v>
      </c>
      <c r="G667" s="77">
        <v>12633.3</v>
      </c>
      <c r="H667" s="77">
        <v>12633.3</v>
      </c>
      <c r="I667" s="34">
        <f t="shared" si="20"/>
        <v>100</v>
      </c>
    </row>
    <row r="668" spans="1:9" s="50" customFormat="1" ht="40.5" customHeight="1">
      <c r="A668" s="49" t="s">
        <v>748</v>
      </c>
      <c r="B668" s="31"/>
      <c r="C668" s="48" t="s">
        <v>339</v>
      </c>
      <c r="D668" s="48" t="s">
        <v>177</v>
      </c>
      <c r="E668" s="48" t="s">
        <v>749</v>
      </c>
      <c r="F668" s="36"/>
      <c r="G668" s="34">
        <f>SUM(G669)</f>
        <v>22</v>
      </c>
      <c r="H668" s="34">
        <f>SUM(H669)</f>
        <v>16.8</v>
      </c>
      <c r="I668" s="34">
        <f t="shared" si="20"/>
        <v>76.36363636363637</v>
      </c>
    </row>
    <row r="669" spans="1:9" s="50" customFormat="1" ht="23.25" customHeight="1">
      <c r="A669" s="30" t="s">
        <v>309</v>
      </c>
      <c r="B669" s="31"/>
      <c r="C669" s="48" t="s">
        <v>339</v>
      </c>
      <c r="D669" s="48" t="s">
        <v>177</v>
      </c>
      <c r="E669" s="48" t="s">
        <v>749</v>
      </c>
      <c r="F669" s="36" t="s">
        <v>310</v>
      </c>
      <c r="G669" s="34">
        <v>22</v>
      </c>
      <c r="H669" s="34">
        <v>16.8</v>
      </c>
      <c r="I669" s="34">
        <f t="shared" si="20"/>
        <v>76.36363636363637</v>
      </c>
    </row>
    <row r="670" spans="1:9" s="50" customFormat="1" ht="28.5">
      <c r="A670" s="96" t="s">
        <v>750</v>
      </c>
      <c r="B670" s="31"/>
      <c r="C670" s="48" t="s">
        <v>339</v>
      </c>
      <c r="D670" s="48" t="s">
        <v>177</v>
      </c>
      <c r="E670" s="48" t="s">
        <v>751</v>
      </c>
      <c r="F670" s="36"/>
      <c r="G670" s="34">
        <f>SUM(G671)</f>
        <v>68046.6</v>
      </c>
      <c r="H670" s="34">
        <f>SUM(H671)</f>
        <v>64440.3</v>
      </c>
      <c r="I670" s="34">
        <f t="shared" si="20"/>
        <v>94.70024953487757</v>
      </c>
    </row>
    <row r="671" spans="1:9" s="50" customFormat="1" ht="15">
      <c r="A671" s="30" t="s">
        <v>309</v>
      </c>
      <c r="B671" s="47"/>
      <c r="C671" s="48" t="s">
        <v>339</v>
      </c>
      <c r="D671" s="48" t="s">
        <v>177</v>
      </c>
      <c r="E671" s="48" t="s">
        <v>751</v>
      </c>
      <c r="F671" s="36" t="s">
        <v>310</v>
      </c>
      <c r="G671" s="34">
        <v>68046.6</v>
      </c>
      <c r="H671" s="34">
        <v>64440.3</v>
      </c>
      <c r="I671" s="34">
        <f t="shared" si="20"/>
        <v>94.70024953487757</v>
      </c>
    </row>
    <row r="672" spans="1:9" s="50" customFormat="1" ht="114">
      <c r="A672" s="30" t="s">
        <v>752</v>
      </c>
      <c r="B672" s="47"/>
      <c r="C672" s="48" t="s">
        <v>339</v>
      </c>
      <c r="D672" s="48" t="s">
        <v>177</v>
      </c>
      <c r="E672" s="48" t="s">
        <v>753</v>
      </c>
      <c r="F672" s="36"/>
      <c r="G672" s="34">
        <f>SUM(G673)</f>
        <v>37.4</v>
      </c>
      <c r="H672" s="34">
        <f>SUM(H673)</f>
        <v>37.4</v>
      </c>
      <c r="I672" s="34">
        <f t="shared" si="20"/>
        <v>100</v>
      </c>
    </row>
    <row r="673" spans="1:9" s="50" customFormat="1" ht="15">
      <c r="A673" s="30" t="s">
        <v>309</v>
      </c>
      <c r="B673" s="47"/>
      <c r="C673" s="48" t="s">
        <v>339</v>
      </c>
      <c r="D673" s="48" t="s">
        <v>177</v>
      </c>
      <c r="E673" s="48" t="s">
        <v>753</v>
      </c>
      <c r="F673" s="36" t="s">
        <v>310</v>
      </c>
      <c r="G673" s="34">
        <v>37.4</v>
      </c>
      <c r="H673" s="34">
        <v>37.4</v>
      </c>
      <c r="I673" s="34">
        <f t="shared" si="20"/>
        <v>100</v>
      </c>
    </row>
    <row r="674" spans="1:9" s="50" customFormat="1" ht="42.75">
      <c r="A674" s="35" t="s">
        <v>754</v>
      </c>
      <c r="B674" s="31"/>
      <c r="C674" s="48" t="s">
        <v>339</v>
      </c>
      <c r="D674" s="48" t="s">
        <v>177</v>
      </c>
      <c r="E674" s="48" t="s">
        <v>755</v>
      </c>
      <c r="F674" s="36"/>
      <c r="G674" s="34">
        <f>SUM(G675)</f>
        <v>48396.2</v>
      </c>
      <c r="H674" s="34">
        <f>SUM(H675)</f>
        <v>50019.5</v>
      </c>
      <c r="I674" s="34">
        <f t="shared" si="20"/>
        <v>103.35418896524935</v>
      </c>
    </row>
    <row r="675" spans="1:9" s="50" customFormat="1" ht="15">
      <c r="A675" s="30" t="s">
        <v>309</v>
      </c>
      <c r="B675" s="31"/>
      <c r="C675" s="48" t="s">
        <v>339</v>
      </c>
      <c r="D675" s="48" t="s">
        <v>177</v>
      </c>
      <c r="E675" s="48" t="s">
        <v>755</v>
      </c>
      <c r="F675" s="36" t="s">
        <v>310</v>
      </c>
      <c r="G675" s="34">
        <f>41098.1+7298.1</f>
        <v>48396.2</v>
      </c>
      <c r="H675" s="34">
        <v>50019.5</v>
      </c>
      <c r="I675" s="34">
        <f t="shared" si="20"/>
        <v>103.35418896524935</v>
      </c>
    </row>
    <row r="676" spans="1:9" s="50" customFormat="1" ht="28.5">
      <c r="A676" s="30" t="s">
        <v>756</v>
      </c>
      <c r="B676" s="31"/>
      <c r="C676" s="48" t="s">
        <v>339</v>
      </c>
      <c r="D676" s="48" t="s">
        <v>177</v>
      </c>
      <c r="E676" s="48" t="s">
        <v>757</v>
      </c>
      <c r="F676" s="36"/>
      <c r="G676" s="34">
        <f>SUM(G677)+G679+G689</f>
        <v>191956.5</v>
      </c>
      <c r="H676" s="34">
        <f>SUM(H677)+H679+H689</f>
        <v>187734.59999999998</v>
      </c>
      <c r="I676" s="34">
        <f t="shared" si="20"/>
        <v>97.80059544740604</v>
      </c>
    </row>
    <row r="677" spans="1:9" s="50" customFormat="1" ht="28.5">
      <c r="A677" s="49" t="s">
        <v>758</v>
      </c>
      <c r="B677" s="31"/>
      <c r="C677" s="48" t="s">
        <v>339</v>
      </c>
      <c r="D677" s="48" t="s">
        <v>177</v>
      </c>
      <c r="E677" s="48" t="s">
        <v>759</v>
      </c>
      <c r="F677" s="36"/>
      <c r="G677" s="34">
        <f>SUM(G678)</f>
        <v>48170.4</v>
      </c>
      <c r="H677" s="34">
        <f>SUM(H678)</f>
        <v>45383.3</v>
      </c>
      <c r="I677" s="34">
        <f t="shared" si="20"/>
        <v>94.21408167671433</v>
      </c>
    </row>
    <row r="678" spans="1:9" s="50" customFormat="1" ht="15">
      <c r="A678" s="30" t="s">
        <v>309</v>
      </c>
      <c r="B678" s="31"/>
      <c r="C678" s="48" t="s">
        <v>339</v>
      </c>
      <c r="D678" s="48" t="s">
        <v>177</v>
      </c>
      <c r="E678" s="48" t="s">
        <v>759</v>
      </c>
      <c r="F678" s="36" t="s">
        <v>310</v>
      </c>
      <c r="G678" s="34">
        <v>48170.4</v>
      </c>
      <c r="H678" s="34">
        <v>45383.3</v>
      </c>
      <c r="I678" s="34">
        <f t="shared" si="20"/>
        <v>94.21408167671433</v>
      </c>
    </row>
    <row r="679" spans="1:9" s="50" customFormat="1" ht="57">
      <c r="A679" s="30" t="s">
        <v>760</v>
      </c>
      <c r="B679" s="39"/>
      <c r="C679" s="48" t="s">
        <v>339</v>
      </c>
      <c r="D679" s="32" t="s">
        <v>177</v>
      </c>
      <c r="E679" s="48" t="s">
        <v>761</v>
      </c>
      <c r="F679" s="33"/>
      <c r="G679" s="34">
        <f>SUM(G680)</f>
        <v>136741</v>
      </c>
      <c r="H679" s="34">
        <f>SUM(H680)</f>
        <v>136097</v>
      </c>
      <c r="I679" s="34">
        <f t="shared" si="20"/>
        <v>99.52903664592185</v>
      </c>
    </row>
    <row r="680" spans="1:9" s="50" customFormat="1" ht="15">
      <c r="A680" s="30" t="s">
        <v>309</v>
      </c>
      <c r="B680" s="39"/>
      <c r="C680" s="48" t="s">
        <v>339</v>
      </c>
      <c r="D680" s="32" t="s">
        <v>177</v>
      </c>
      <c r="E680" s="48" t="s">
        <v>761</v>
      </c>
      <c r="F680" s="33" t="s">
        <v>310</v>
      </c>
      <c r="G680" s="34">
        <f>SUM(G686+G688+G682+G684)</f>
        <v>136741</v>
      </c>
      <c r="H680" s="34">
        <f>SUM(H686+H688+H682+H684)</f>
        <v>136097</v>
      </c>
      <c r="I680" s="34">
        <f t="shared" si="20"/>
        <v>99.52903664592185</v>
      </c>
    </row>
    <row r="681" spans="1:9" s="50" customFormat="1" ht="72.75" customHeight="1">
      <c r="A681" s="142" t="s">
        <v>762</v>
      </c>
      <c r="B681" s="39"/>
      <c r="C681" s="48" t="s">
        <v>339</v>
      </c>
      <c r="D681" s="32" t="s">
        <v>177</v>
      </c>
      <c r="E681" s="48" t="s">
        <v>763</v>
      </c>
      <c r="F681" s="33"/>
      <c r="G681" s="34">
        <f>SUM(G682)</f>
        <v>41350.3</v>
      </c>
      <c r="H681" s="34">
        <f>SUM(H682)</f>
        <v>40706.3</v>
      </c>
      <c r="I681" s="34">
        <f t="shared" si="20"/>
        <v>98.44257478180327</v>
      </c>
    </row>
    <row r="682" spans="1:9" s="50" customFormat="1" ht="15">
      <c r="A682" s="30" t="s">
        <v>309</v>
      </c>
      <c r="B682" s="39"/>
      <c r="C682" s="48" t="s">
        <v>339</v>
      </c>
      <c r="D682" s="32" t="s">
        <v>177</v>
      </c>
      <c r="E682" s="48" t="s">
        <v>763</v>
      </c>
      <c r="F682" s="33" t="s">
        <v>310</v>
      </c>
      <c r="G682" s="34">
        <v>41350.3</v>
      </c>
      <c r="H682" s="34">
        <v>40706.3</v>
      </c>
      <c r="I682" s="34">
        <f t="shared" si="20"/>
        <v>98.44257478180327</v>
      </c>
    </row>
    <row r="683" spans="1:9" s="50" customFormat="1" ht="90.75" customHeight="1">
      <c r="A683" s="142" t="s">
        <v>764</v>
      </c>
      <c r="B683" s="39"/>
      <c r="C683" s="48" t="s">
        <v>339</v>
      </c>
      <c r="D683" s="32" t="s">
        <v>177</v>
      </c>
      <c r="E683" s="48" t="s">
        <v>765</v>
      </c>
      <c r="F683" s="33"/>
      <c r="G683" s="34">
        <f>SUM(G684)</f>
        <v>95390.7</v>
      </c>
      <c r="H683" s="34">
        <f>SUM(H684)</f>
        <v>95390.7</v>
      </c>
      <c r="I683" s="34">
        <f t="shared" si="20"/>
        <v>100</v>
      </c>
    </row>
    <row r="684" spans="1:9" s="50" customFormat="1" ht="15">
      <c r="A684" s="30" t="s">
        <v>309</v>
      </c>
      <c r="B684" s="39"/>
      <c r="C684" s="48" t="s">
        <v>339</v>
      </c>
      <c r="D684" s="32" t="s">
        <v>177</v>
      </c>
      <c r="E684" s="48" t="s">
        <v>765</v>
      </c>
      <c r="F684" s="33" t="s">
        <v>310</v>
      </c>
      <c r="G684" s="34">
        <v>95390.7</v>
      </c>
      <c r="H684" s="34">
        <v>95390.7</v>
      </c>
      <c r="I684" s="34">
        <f t="shared" si="20"/>
        <v>100</v>
      </c>
    </row>
    <row r="685" spans="1:9" s="50" customFormat="1" ht="71.25" hidden="1">
      <c r="A685" s="30" t="s">
        <v>766</v>
      </c>
      <c r="B685" s="39"/>
      <c r="C685" s="48" t="s">
        <v>339</v>
      </c>
      <c r="D685" s="32" t="s">
        <v>177</v>
      </c>
      <c r="E685" s="48" t="s">
        <v>962</v>
      </c>
      <c r="F685" s="33"/>
      <c r="G685" s="34">
        <f>SUM(G686)</f>
        <v>0</v>
      </c>
      <c r="H685" s="34">
        <f>SUM(H686)</f>
        <v>0</v>
      </c>
      <c r="I685" s="34" t="e">
        <f t="shared" si="20"/>
        <v>#DIV/0!</v>
      </c>
    </row>
    <row r="686" spans="1:9" s="50" customFormat="1" ht="15" hidden="1">
      <c r="A686" s="30" t="s">
        <v>309</v>
      </c>
      <c r="B686" s="39"/>
      <c r="C686" s="48" t="s">
        <v>339</v>
      </c>
      <c r="D686" s="32" t="s">
        <v>177</v>
      </c>
      <c r="E686" s="48" t="s">
        <v>962</v>
      </c>
      <c r="F686" s="33" t="s">
        <v>310</v>
      </c>
      <c r="G686" s="34"/>
      <c r="H686" s="34"/>
      <c r="I686" s="34" t="e">
        <f t="shared" si="20"/>
        <v>#DIV/0!</v>
      </c>
    </row>
    <row r="687" spans="1:9" s="50" customFormat="1" ht="85.5" hidden="1">
      <c r="A687" s="30" t="s">
        <v>963</v>
      </c>
      <c r="B687" s="39"/>
      <c r="C687" s="48" t="s">
        <v>339</v>
      </c>
      <c r="D687" s="32" t="s">
        <v>177</v>
      </c>
      <c r="E687" s="48" t="s">
        <v>964</v>
      </c>
      <c r="F687" s="33"/>
      <c r="G687" s="34">
        <f>SUM(G688)</f>
        <v>0</v>
      </c>
      <c r="H687" s="34">
        <f>SUM(H688)</f>
        <v>0</v>
      </c>
      <c r="I687" s="34" t="e">
        <f t="shared" si="20"/>
        <v>#DIV/0!</v>
      </c>
    </row>
    <row r="688" spans="1:9" s="50" customFormat="1" ht="15" hidden="1">
      <c r="A688" s="30" t="s">
        <v>309</v>
      </c>
      <c r="B688" s="39"/>
      <c r="C688" s="48" t="s">
        <v>339</v>
      </c>
      <c r="D688" s="32" t="s">
        <v>177</v>
      </c>
      <c r="E688" s="48" t="s">
        <v>964</v>
      </c>
      <c r="F688" s="33" t="s">
        <v>310</v>
      </c>
      <c r="G688" s="34"/>
      <c r="H688" s="34"/>
      <c r="I688" s="34" t="e">
        <f t="shared" si="20"/>
        <v>#DIV/0!</v>
      </c>
    </row>
    <row r="689" spans="1:9" s="50" customFormat="1" ht="57">
      <c r="A689" s="49" t="s">
        <v>965</v>
      </c>
      <c r="B689" s="31"/>
      <c r="C689" s="48" t="s">
        <v>339</v>
      </c>
      <c r="D689" s="48" t="s">
        <v>177</v>
      </c>
      <c r="E689" s="48" t="s">
        <v>966</v>
      </c>
      <c r="F689" s="36"/>
      <c r="G689" s="34">
        <f>SUM(G690)</f>
        <v>7045.1</v>
      </c>
      <c r="H689" s="34">
        <f>SUM(H690)</f>
        <v>6254.3</v>
      </c>
      <c r="I689" s="34">
        <f t="shared" si="20"/>
        <v>88.77517707342692</v>
      </c>
    </row>
    <row r="690" spans="1:9" s="50" customFormat="1" ht="15">
      <c r="A690" s="30" t="s">
        <v>309</v>
      </c>
      <c r="B690" s="31"/>
      <c r="C690" s="48" t="s">
        <v>339</v>
      </c>
      <c r="D690" s="48" t="s">
        <v>177</v>
      </c>
      <c r="E690" s="48" t="s">
        <v>966</v>
      </c>
      <c r="F690" s="36" t="s">
        <v>310</v>
      </c>
      <c r="G690" s="34">
        <f>SUM(G691+G693)</f>
        <v>7045.1</v>
      </c>
      <c r="H690" s="34">
        <f>SUM(H691+H693)</f>
        <v>6254.3</v>
      </c>
      <c r="I690" s="34">
        <f t="shared" si="20"/>
        <v>88.77517707342692</v>
      </c>
    </row>
    <row r="691" spans="1:9" s="50" customFormat="1" ht="99.75">
      <c r="A691" s="49" t="s">
        <v>967</v>
      </c>
      <c r="B691" s="31"/>
      <c r="C691" s="48" t="s">
        <v>339</v>
      </c>
      <c r="D691" s="48" t="s">
        <v>177</v>
      </c>
      <c r="E691" s="48" t="s">
        <v>968</v>
      </c>
      <c r="F691" s="36"/>
      <c r="G691" s="34">
        <f>SUM(G692)</f>
        <v>2353.6</v>
      </c>
      <c r="H691" s="34">
        <f>SUM(H692)</f>
        <v>1861.5</v>
      </c>
      <c r="I691" s="34">
        <f t="shared" si="20"/>
        <v>79.09160435078178</v>
      </c>
    </row>
    <row r="692" spans="1:9" s="50" customFormat="1" ht="15">
      <c r="A692" s="30" t="s">
        <v>309</v>
      </c>
      <c r="B692" s="31"/>
      <c r="C692" s="48" t="s">
        <v>339</v>
      </c>
      <c r="D692" s="48" t="s">
        <v>177</v>
      </c>
      <c r="E692" s="48" t="s">
        <v>968</v>
      </c>
      <c r="F692" s="36" t="s">
        <v>310</v>
      </c>
      <c r="G692" s="34">
        <v>2353.6</v>
      </c>
      <c r="H692" s="34">
        <v>1861.5</v>
      </c>
      <c r="I692" s="34">
        <f t="shared" si="20"/>
        <v>79.09160435078178</v>
      </c>
    </row>
    <row r="693" spans="1:9" s="50" customFormat="1" ht="128.25">
      <c r="A693" s="49" t="s">
        <v>969</v>
      </c>
      <c r="B693" s="31"/>
      <c r="C693" s="48" t="s">
        <v>339</v>
      </c>
      <c r="D693" s="48" t="s">
        <v>177</v>
      </c>
      <c r="E693" s="48" t="s">
        <v>970</v>
      </c>
      <c r="F693" s="36"/>
      <c r="G693" s="34">
        <f>SUM(G694)</f>
        <v>4691.5</v>
      </c>
      <c r="H693" s="34">
        <f>SUM(H694)</f>
        <v>4392.8</v>
      </c>
      <c r="I693" s="34">
        <f t="shared" si="20"/>
        <v>93.63316636470212</v>
      </c>
    </row>
    <row r="694" spans="1:9" s="50" customFormat="1" ht="14.25" customHeight="1">
      <c r="A694" s="30" t="s">
        <v>309</v>
      </c>
      <c r="B694" s="31"/>
      <c r="C694" s="48" t="s">
        <v>339</v>
      </c>
      <c r="D694" s="48" t="s">
        <v>177</v>
      </c>
      <c r="E694" s="48" t="s">
        <v>970</v>
      </c>
      <c r="F694" s="36" t="s">
        <v>310</v>
      </c>
      <c r="G694" s="34">
        <v>4691.5</v>
      </c>
      <c r="H694" s="34">
        <v>4392.8</v>
      </c>
      <c r="I694" s="34">
        <f t="shared" si="20"/>
        <v>93.63316636470212</v>
      </c>
    </row>
    <row r="695" spans="1:9" s="50" customFormat="1" ht="28.5" customHeight="1" hidden="1">
      <c r="A695" s="46" t="s">
        <v>742</v>
      </c>
      <c r="B695" s="47"/>
      <c r="C695" s="48" t="s">
        <v>339</v>
      </c>
      <c r="D695" s="48" t="s">
        <v>177</v>
      </c>
      <c r="E695" s="48" t="s">
        <v>971</v>
      </c>
      <c r="F695" s="36"/>
      <c r="G695" s="34">
        <f>SUM(G696)</f>
        <v>0</v>
      </c>
      <c r="H695" s="34">
        <f>SUM(H696)</f>
        <v>0</v>
      </c>
      <c r="I695" s="34" t="e">
        <f t="shared" si="20"/>
        <v>#DIV/0!</v>
      </c>
    </row>
    <row r="696" spans="1:9" s="50" customFormat="1" ht="15" hidden="1">
      <c r="A696" s="46" t="s">
        <v>309</v>
      </c>
      <c r="B696" s="47"/>
      <c r="C696" s="48" t="s">
        <v>339</v>
      </c>
      <c r="D696" s="48" t="s">
        <v>177</v>
      </c>
      <c r="E696" s="48" t="s">
        <v>971</v>
      </c>
      <c r="F696" s="36" t="s">
        <v>310</v>
      </c>
      <c r="G696" s="34"/>
      <c r="H696" s="34"/>
      <c r="I696" s="34" t="e">
        <f t="shared" si="20"/>
        <v>#DIV/0!</v>
      </c>
    </row>
    <row r="697" spans="1:9" ht="18" customHeight="1">
      <c r="A697" s="30" t="s">
        <v>18</v>
      </c>
      <c r="B697" s="31"/>
      <c r="C697" s="48" t="s">
        <v>339</v>
      </c>
      <c r="D697" s="48" t="s">
        <v>177</v>
      </c>
      <c r="E697" s="48" t="s">
        <v>19</v>
      </c>
      <c r="F697" s="36"/>
      <c r="G697" s="34">
        <f>SUM(G698)</f>
        <v>2570.5</v>
      </c>
      <c r="H697" s="34">
        <f>SUM(H698)</f>
        <v>2390.5</v>
      </c>
      <c r="I697" s="34">
        <f t="shared" si="20"/>
        <v>92.99747130908383</v>
      </c>
    </row>
    <row r="698" spans="1:9" ht="18" customHeight="1">
      <c r="A698" s="30" t="s">
        <v>309</v>
      </c>
      <c r="B698" s="31"/>
      <c r="C698" s="48" t="s">
        <v>339</v>
      </c>
      <c r="D698" s="48" t="s">
        <v>177</v>
      </c>
      <c r="E698" s="48" t="s">
        <v>19</v>
      </c>
      <c r="F698" s="36" t="s">
        <v>310</v>
      </c>
      <c r="G698" s="34">
        <v>2570.5</v>
      </c>
      <c r="H698" s="34">
        <v>2390.5</v>
      </c>
      <c r="I698" s="34">
        <f t="shared" si="20"/>
        <v>92.99747130908383</v>
      </c>
    </row>
    <row r="699" spans="1:9" ht="30.75" customHeight="1">
      <c r="A699" s="30" t="s">
        <v>20</v>
      </c>
      <c r="B699" s="31"/>
      <c r="C699" s="48" t="s">
        <v>339</v>
      </c>
      <c r="D699" s="32" t="s">
        <v>177</v>
      </c>
      <c r="E699" s="32" t="s">
        <v>21</v>
      </c>
      <c r="F699" s="36"/>
      <c r="G699" s="34">
        <f>SUM(G700)</f>
        <v>3183.9</v>
      </c>
      <c r="H699" s="34">
        <f>SUM(H700)</f>
        <v>3287.3</v>
      </c>
      <c r="I699" s="34">
        <f t="shared" si="20"/>
        <v>103.24758943434153</v>
      </c>
    </row>
    <row r="700" spans="1:9" ht="15">
      <c r="A700" s="46" t="s">
        <v>2</v>
      </c>
      <c r="B700" s="31"/>
      <c r="C700" s="48" t="s">
        <v>339</v>
      </c>
      <c r="D700" s="32" t="s">
        <v>177</v>
      </c>
      <c r="E700" s="32" t="s">
        <v>22</v>
      </c>
      <c r="F700" s="36"/>
      <c r="G700" s="34">
        <f>SUM(G701:G701)</f>
        <v>3183.9</v>
      </c>
      <c r="H700" s="34">
        <f>SUM(H701:H701)</f>
        <v>3287.3</v>
      </c>
      <c r="I700" s="34">
        <f t="shared" si="20"/>
        <v>103.24758943434153</v>
      </c>
    </row>
    <row r="701" spans="1:9" ht="14.25" customHeight="1">
      <c r="A701" s="30" t="s">
        <v>309</v>
      </c>
      <c r="B701" s="31"/>
      <c r="C701" s="48" t="s">
        <v>339</v>
      </c>
      <c r="D701" s="32" t="s">
        <v>177</v>
      </c>
      <c r="E701" s="32" t="s">
        <v>22</v>
      </c>
      <c r="F701" s="36" t="s">
        <v>310</v>
      </c>
      <c r="G701" s="34">
        <v>3183.9</v>
      </c>
      <c r="H701" s="34">
        <v>3287.3</v>
      </c>
      <c r="I701" s="34">
        <f t="shared" si="20"/>
        <v>103.24758943434153</v>
      </c>
    </row>
    <row r="702" spans="1:9" s="111" customFormat="1" ht="15.75">
      <c r="A702" s="35" t="s">
        <v>331</v>
      </c>
      <c r="B702" s="69"/>
      <c r="C702" s="48" t="s">
        <v>339</v>
      </c>
      <c r="D702" s="48" t="s">
        <v>177</v>
      </c>
      <c r="E702" s="48" t="s">
        <v>332</v>
      </c>
      <c r="F702" s="130"/>
      <c r="G702" s="77">
        <f>SUM(G703)</f>
        <v>4685.2</v>
      </c>
      <c r="H702" s="77">
        <f>SUM(H703)</f>
        <v>4685.2</v>
      </c>
      <c r="I702" s="34">
        <f t="shared" si="20"/>
        <v>100</v>
      </c>
    </row>
    <row r="703" spans="1:9" s="111" customFormat="1" ht="57">
      <c r="A703" s="30" t="s">
        <v>23</v>
      </c>
      <c r="B703" s="118"/>
      <c r="C703" s="48" t="s">
        <v>339</v>
      </c>
      <c r="D703" s="48" t="s">
        <v>177</v>
      </c>
      <c r="E703" s="48" t="s">
        <v>382</v>
      </c>
      <c r="F703" s="130"/>
      <c r="G703" s="77">
        <f>SUM(G704)+G707</f>
        <v>4685.2</v>
      </c>
      <c r="H703" s="77">
        <f>SUM(H704)+H707</f>
        <v>4685.2</v>
      </c>
      <c r="I703" s="34">
        <f t="shared" si="20"/>
        <v>100</v>
      </c>
    </row>
    <row r="704" spans="1:9" s="111" customFormat="1" ht="27" customHeight="1">
      <c r="A704" s="30" t="s">
        <v>24</v>
      </c>
      <c r="B704" s="118"/>
      <c r="C704" s="48" t="s">
        <v>339</v>
      </c>
      <c r="D704" s="48" t="s">
        <v>177</v>
      </c>
      <c r="E704" s="48" t="s">
        <v>25</v>
      </c>
      <c r="F704" s="130"/>
      <c r="G704" s="77">
        <f>SUM(G705:G706)</f>
        <v>3627.7</v>
      </c>
      <c r="H704" s="77">
        <f>SUM(H705:H706)</f>
        <v>3627.7</v>
      </c>
      <c r="I704" s="34">
        <f t="shared" si="20"/>
        <v>100</v>
      </c>
    </row>
    <row r="705" spans="1:9" s="111" customFormat="1" ht="18" customHeight="1" hidden="1">
      <c r="A705" s="41" t="s">
        <v>174</v>
      </c>
      <c r="B705" s="118"/>
      <c r="C705" s="48" t="s">
        <v>339</v>
      </c>
      <c r="D705" s="48" t="s">
        <v>177</v>
      </c>
      <c r="E705" s="48" t="s">
        <v>25</v>
      </c>
      <c r="F705" s="130" t="s">
        <v>175</v>
      </c>
      <c r="G705" s="77"/>
      <c r="H705" s="77"/>
      <c r="I705" s="34" t="e">
        <f t="shared" si="20"/>
        <v>#DIV/0!</v>
      </c>
    </row>
    <row r="706" spans="1:9" s="111" customFormat="1" ht="18" customHeight="1">
      <c r="A706" s="30" t="s">
        <v>715</v>
      </c>
      <c r="B706" s="118"/>
      <c r="C706" s="48" t="s">
        <v>339</v>
      </c>
      <c r="D706" s="48" t="s">
        <v>177</v>
      </c>
      <c r="E706" s="48" t="s">
        <v>25</v>
      </c>
      <c r="F706" s="130" t="s">
        <v>716</v>
      </c>
      <c r="G706" s="77">
        <v>3627.7</v>
      </c>
      <c r="H706" s="77">
        <v>3627.7</v>
      </c>
      <c r="I706" s="34">
        <f t="shared" si="20"/>
        <v>100</v>
      </c>
    </row>
    <row r="707" spans="1:9" s="111" customFormat="1" ht="41.25" customHeight="1">
      <c r="A707" s="30" t="s">
        <v>26</v>
      </c>
      <c r="B707" s="118"/>
      <c r="C707" s="48" t="s">
        <v>339</v>
      </c>
      <c r="D707" s="48" t="s">
        <v>177</v>
      </c>
      <c r="E707" s="48" t="s">
        <v>27</v>
      </c>
      <c r="F707" s="130"/>
      <c r="G707" s="77">
        <f>SUM(G708)</f>
        <v>1057.5</v>
      </c>
      <c r="H707" s="77">
        <f>SUM(H708)</f>
        <v>1057.5</v>
      </c>
      <c r="I707" s="34">
        <f t="shared" si="20"/>
        <v>100</v>
      </c>
    </row>
    <row r="708" spans="1:9" s="111" customFormat="1" ht="15">
      <c r="A708" s="30" t="s">
        <v>715</v>
      </c>
      <c r="B708" s="118"/>
      <c r="C708" s="48" t="s">
        <v>339</v>
      </c>
      <c r="D708" s="48" t="s">
        <v>177</v>
      </c>
      <c r="E708" s="48" t="s">
        <v>27</v>
      </c>
      <c r="F708" s="130" t="s">
        <v>716</v>
      </c>
      <c r="G708" s="77">
        <v>1057.5</v>
      </c>
      <c r="H708" s="77">
        <v>1057.5</v>
      </c>
      <c r="I708" s="34">
        <f t="shared" si="20"/>
        <v>100</v>
      </c>
    </row>
    <row r="709" spans="1:9" ht="18" customHeight="1">
      <c r="A709" s="108" t="s">
        <v>278</v>
      </c>
      <c r="B709" s="31"/>
      <c r="C709" s="48" t="s">
        <v>339</v>
      </c>
      <c r="D709" s="48" t="s">
        <v>177</v>
      </c>
      <c r="E709" s="48" t="s">
        <v>279</v>
      </c>
      <c r="F709" s="36"/>
      <c r="G709" s="34">
        <f>SUM(G712+G710)</f>
        <v>1224.6</v>
      </c>
      <c r="H709" s="34">
        <f>SUM(H712+H710)</f>
        <v>1224.6</v>
      </c>
      <c r="I709" s="34">
        <f t="shared" si="20"/>
        <v>100</v>
      </c>
    </row>
    <row r="710" spans="1:9" ht="15" hidden="1">
      <c r="A710" s="108" t="s">
        <v>28</v>
      </c>
      <c r="B710" s="31"/>
      <c r="C710" s="48" t="s">
        <v>339</v>
      </c>
      <c r="D710" s="48" t="s">
        <v>177</v>
      </c>
      <c r="E710" s="48" t="s">
        <v>29</v>
      </c>
      <c r="F710" s="36"/>
      <c r="G710" s="34">
        <f>SUM(G711)</f>
        <v>0</v>
      </c>
      <c r="H710" s="34">
        <f>SUM(H711)</f>
        <v>0</v>
      </c>
      <c r="I710" s="34" t="e">
        <f t="shared" si="20"/>
        <v>#DIV/0!</v>
      </c>
    </row>
    <row r="711" spans="1:9" ht="15.75" hidden="1">
      <c r="A711" s="35" t="s">
        <v>2</v>
      </c>
      <c r="B711" s="69"/>
      <c r="C711" s="48" t="s">
        <v>339</v>
      </c>
      <c r="D711" s="48" t="s">
        <v>177</v>
      </c>
      <c r="E711" s="48" t="s">
        <v>29</v>
      </c>
      <c r="F711" s="37" t="s">
        <v>3</v>
      </c>
      <c r="G711" s="34"/>
      <c r="H711" s="34"/>
      <c r="I711" s="34" t="e">
        <f t="shared" si="20"/>
        <v>#DIV/0!</v>
      </c>
    </row>
    <row r="712" spans="1:9" ht="17.25" customHeight="1">
      <c r="A712" s="41" t="s">
        <v>174</v>
      </c>
      <c r="B712" s="31"/>
      <c r="C712" s="48" t="s">
        <v>339</v>
      </c>
      <c r="D712" s="48" t="s">
        <v>177</v>
      </c>
      <c r="E712" s="48" t="s">
        <v>279</v>
      </c>
      <c r="F712" s="36" t="s">
        <v>175</v>
      </c>
      <c r="G712" s="34">
        <f>SUM(G713:G713)</f>
        <v>1224.6</v>
      </c>
      <c r="H712" s="34">
        <f>SUM(H713:H713)</f>
        <v>1224.6</v>
      </c>
      <c r="I712" s="34">
        <f t="shared" si="20"/>
        <v>100</v>
      </c>
    </row>
    <row r="713" spans="1:9" ht="30" customHeight="1">
      <c r="A713" s="41" t="s">
        <v>429</v>
      </c>
      <c r="B713" s="31"/>
      <c r="C713" s="48" t="s">
        <v>339</v>
      </c>
      <c r="D713" s="48" t="s">
        <v>177</v>
      </c>
      <c r="E713" s="43" t="s">
        <v>430</v>
      </c>
      <c r="F713" s="33" t="s">
        <v>175</v>
      </c>
      <c r="G713" s="34">
        <f>SUM(G714:G715)</f>
        <v>1224.6</v>
      </c>
      <c r="H713" s="34">
        <f>SUM(H714:H715)</f>
        <v>1224.6</v>
      </c>
      <c r="I713" s="34">
        <f t="shared" si="20"/>
        <v>100</v>
      </c>
    </row>
    <row r="714" spans="1:9" s="88" customFormat="1" ht="27.75" customHeight="1">
      <c r="A714" s="30" t="s">
        <v>24</v>
      </c>
      <c r="B714" s="47"/>
      <c r="C714" s="48" t="s">
        <v>339</v>
      </c>
      <c r="D714" s="48" t="s">
        <v>177</v>
      </c>
      <c r="E714" s="43" t="s">
        <v>30</v>
      </c>
      <c r="F714" s="33" t="s">
        <v>175</v>
      </c>
      <c r="G714" s="77">
        <v>695.9</v>
      </c>
      <c r="H714" s="77">
        <v>695.9</v>
      </c>
      <c r="I714" s="34">
        <f t="shared" si="20"/>
        <v>100</v>
      </c>
    </row>
    <row r="715" spans="1:9" s="88" customFormat="1" ht="45" customHeight="1">
      <c r="A715" s="30" t="s">
        <v>31</v>
      </c>
      <c r="B715" s="47"/>
      <c r="C715" s="48" t="s">
        <v>339</v>
      </c>
      <c r="D715" s="48" t="s">
        <v>177</v>
      </c>
      <c r="E715" s="43" t="s">
        <v>32</v>
      </c>
      <c r="F715" s="33" t="s">
        <v>175</v>
      </c>
      <c r="G715" s="77">
        <v>528.7</v>
      </c>
      <c r="H715" s="77">
        <v>528.7</v>
      </c>
      <c r="I715" s="34">
        <f t="shared" si="20"/>
        <v>100</v>
      </c>
    </row>
    <row r="716" spans="1:9" ht="18.75" customHeight="1">
      <c r="A716" s="49" t="s">
        <v>984</v>
      </c>
      <c r="B716" s="31"/>
      <c r="C716" s="43" t="s">
        <v>339</v>
      </c>
      <c r="D716" s="110" t="s">
        <v>201</v>
      </c>
      <c r="E716" s="110"/>
      <c r="F716" s="62"/>
      <c r="G716" s="77">
        <f>SUM(G717+G720)</f>
        <v>51043.8</v>
      </c>
      <c r="H716" s="77">
        <f>SUM(H717+H720)</f>
        <v>37402.1</v>
      </c>
      <c r="I716" s="34">
        <f t="shared" si="20"/>
        <v>73.27452109756717</v>
      </c>
    </row>
    <row r="717" spans="1:9" ht="15" hidden="1">
      <c r="A717" s="49" t="s">
        <v>717</v>
      </c>
      <c r="B717" s="31"/>
      <c r="C717" s="43" t="s">
        <v>339</v>
      </c>
      <c r="D717" s="110" t="s">
        <v>201</v>
      </c>
      <c r="E717" s="110" t="s">
        <v>718</v>
      </c>
      <c r="F717" s="62"/>
      <c r="G717" s="34">
        <f>SUM(G718)</f>
        <v>0</v>
      </c>
      <c r="H717" s="34">
        <f>SUM(H718)</f>
        <v>0</v>
      </c>
      <c r="I717" s="34" t="e">
        <f t="shared" si="20"/>
        <v>#DIV/0!</v>
      </c>
    </row>
    <row r="718" spans="1:9" ht="42.75" hidden="1">
      <c r="A718" s="108" t="s">
        <v>985</v>
      </c>
      <c r="B718" s="31"/>
      <c r="C718" s="43" t="s">
        <v>339</v>
      </c>
      <c r="D718" s="110" t="s">
        <v>201</v>
      </c>
      <c r="E718" s="110" t="s">
        <v>986</v>
      </c>
      <c r="F718" s="62"/>
      <c r="G718" s="34">
        <f>SUM(G719)</f>
        <v>0</v>
      </c>
      <c r="H718" s="34">
        <f>SUM(H719)</f>
        <v>0</v>
      </c>
      <c r="I718" s="34" t="e">
        <f t="shared" si="20"/>
        <v>#DIV/0!</v>
      </c>
    </row>
    <row r="719" spans="1:9" ht="15" hidden="1">
      <c r="A719" s="108" t="s">
        <v>309</v>
      </c>
      <c r="B719" s="31"/>
      <c r="C719" s="43" t="s">
        <v>339</v>
      </c>
      <c r="D719" s="110" t="s">
        <v>201</v>
      </c>
      <c r="E719" s="110" t="s">
        <v>986</v>
      </c>
      <c r="F719" s="36" t="s">
        <v>310</v>
      </c>
      <c r="G719" s="34"/>
      <c r="H719" s="34"/>
      <c r="I719" s="34" t="e">
        <f t="shared" si="20"/>
        <v>#DIV/0!</v>
      </c>
    </row>
    <row r="720" spans="1:9" ht="21" customHeight="1">
      <c r="A720" s="108" t="s">
        <v>987</v>
      </c>
      <c r="B720" s="31"/>
      <c r="C720" s="43" t="s">
        <v>339</v>
      </c>
      <c r="D720" s="110" t="s">
        <v>201</v>
      </c>
      <c r="E720" s="110" t="s">
        <v>564</v>
      </c>
      <c r="F720" s="36"/>
      <c r="G720" s="34">
        <f>SUM(G725+G721)</f>
        <v>51043.8</v>
      </c>
      <c r="H720" s="34">
        <f>SUM(H725+H721)</f>
        <v>37402.1</v>
      </c>
      <c r="I720" s="34">
        <f t="shared" si="20"/>
        <v>73.27452109756717</v>
      </c>
    </row>
    <row r="721" spans="1:9" ht="55.5" customHeight="1">
      <c r="A721" s="95" t="s">
        <v>988</v>
      </c>
      <c r="B721" s="31"/>
      <c r="C721" s="43" t="s">
        <v>339</v>
      </c>
      <c r="D721" s="110" t="s">
        <v>201</v>
      </c>
      <c r="E721" s="48" t="s">
        <v>989</v>
      </c>
      <c r="F721" s="37"/>
      <c r="G721" s="77">
        <f>SUM(G722+G723)</f>
        <v>21120.3</v>
      </c>
      <c r="H721" s="77">
        <f>SUM(H722+H723)</f>
        <v>14049.099999999999</v>
      </c>
      <c r="I721" s="34">
        <f t="shared" si="20"/>
        <v>66.51941497043128</v>
      </c>
    </row>
    <row r="722" spans="1:9" ht="21" customHeight="1">
      <c r="A722" s="95" t="s">
        <v>309</v>
      </c>
      <c r="B722" s="31"/>
      <c r="C722" s="43" t="s">
        <v>339</v>
      </c>
      <c r="D722" s="110" t="s">
        <v>201</v>
      </c>
      <c r="E722" s="48" t="s">
        <v>989</v>
      </c>
      <c r="F722" s="37" t="s">
        <v>310</v>
      </c>
      <c r="G722" s="77">
        <v>13888.6</v>
      </c>
      <c r="H722" s="77">
        <v>11558.4</v>
      </c>
      <c r="I722" s="34">
        <f aca="true" t="shared" si="21" ref="I722:I748">SUM(H722/G722*100)</f>
        <v>83.22221102198925</v>
      </c>
    </row>
    <row r="723" spans="1:9" ht="71.25">
      <c r="A723" s="95" t="s">
        <v>990</v>
      </c>
      <c r="B723" s="31"/>
      <c r="C723" s="43" t="s">
        <v>339</v>
      </c>
      <c r="D723" s="110" t="s">
        <v>201</v>
      </c>
      <c r="E723" s="48" t="s">
        <v>991</v>
      </c>
      <c r="F723" s="37"/>
      <c r="G723" s="77">
        <f>SUM(G724)</f>
        <v>7231.7</v>
      </c>
      <c r="H723" s="77">
        <f>SUM(H724)</f>
        <v>2490.7</v>
      </c>
      <c r="I723" s="34">
        <f t="shared" si="21"/>
        <v>34.44141764730285</v>
      </c>
    </row>
    <row r="724" spans="1:9" ht="15">
      <c r="A724" s="95" t="s">
        <v>309</v>
      </c>
      <c r="B724" s="31"/>
      <c r="C724" s="43" t="s">
        <v>339</v>
      </c>
      <c r="D724" s="110" t="s">
        <v>201</v>
      </c>
      <c r="E724" s="48" t="s">
        <v>991</v>
      </c>
      <c r="F724" s="37" t="s">
        <v>310</v>
      </c>
      <c r="G724" s="77">
        <v>7231.7</v>
      </c>
      <c r="H724" s="77">
        <v>2490.7</v>
      </c>
      <c r="I724" s="34">
        <f t="shared" si="21"/>
        <v>34.44141764730285</v>
      </c>
    </row>
    <row r="725" spans="1:9" ht="28.5">
      <c r="A725" s="108" t="s">
        <v>992</v>
      </c>
      <c r="B725" s="31"/>
      <c r="C725" s="43" t="s">
        <v>339</v>
      </c>
      <c r="D725" s="110" t="s">
        <v>201</v>
      </c>
      <c r="E725" s="110" t="s">
        <v>993</v>
      </c>
      <c r="F725" s="62"/>
      <c r="G725" s="34">
        <f>SUM(G726)</f>
        <v>29923.5</v>
      </c>
      <c r="H725" s="34">
        <f>SUM(H726)</f>
        <v>23353</v>
      </c>
      <c r="I725" s="34">
        <f t="shared" si="21"/>
        <v>78.04234130365766</v>
      </c>
    </row>
    <row r="726" spans="1:9" ht="70.5" customHeight="1">
      <c r="A726" s="46" t="s">
        <v>994</v>
      </c>
      <c r="B726" s="31"/>
      <c r="C726" s="43" t="s">
        <v>339</v>
      </c>
      <c r="D726" s="43" t="s">
        <v>201</v>
      </c>
      <c r="E726" s="110" t="s">
        <v>993</v>
      </c>
      <c r="F726" s="130"/>
      <c r="G726" s="34">
        <f>SUM(G731+G733+G727+G729)</f>
        <v>29923.5</v>
      </c>
      <c r="H726" s="34">
        <f>SUM(H731+H733+H727+H729)</f>
        <v>23353</v>
      </c>
      <c r="I726" s="34">
        <f t="shared" si="21"/>
        <v>78.04234130365766</v>
      </c>
    </row>
    <row r="727" spans="1:9" ht="16.5" customHeight="1">
      <c r="A727" s="46" t="s">
        <v>995</v>
      </c>
      <c r="B727" s="31"/>
      <c r="C727" s="43" t="s">
        <v>339</v>
      </c>
      <c r="D727" s="43" t="s">
        <v>201</v>
      </c>
      <c r="E727" s="110" t="s">
        <v>996</v>
      </c>
      <c r="F727" s="130"/>
      <c r="G727" s="34">
        <f>SUM(G728)</f>
        <v>1006.7</v>
      </c>
      <c r="H727" s="34">
        <f>SUM(H728)</f>
        <v>220</v>
      </c>
      <c r="I727" s="34">
        <f t="shared" si="21"/>
        <v>21.853581007251417</v>
      </c>
    </row>
    <row r="728" spans="1:9" ht="30" customHeight="1">
      <c r="A728" s="46" t="s">
        <v>997</v>
      </c>
      <c r="B728" s="31"/>
      <c r="C728" s="43" t="s">
        <v>339</v>
      </c>
      <c r="D728" s="43" t="s">
        <v>201</v>
      </c>
      <c r="E728" s="110" t="s">
        <v>996</v>
      </c>
      <c r="F728" s="130" t="s">
        <v>998</v>
      </c>
      <c r="G728" s="34">
        <v>1006.7</v>
      </c>
      <c r="H728" s="34">
        <v>220</v>
      </c>
      <c r="I728" s="34">
        <f t="shared" si="21"/>
        <v>21.853581007251417</v>
      </c>
    </row>
    <row r="729" spans="1:9" ht="18" customHeight="1">
      <c r="A729" s="46" t="s">
        <v>999</v>
      </c>
      <c r="B729" s="31"/>
      <c r="C729" s="43" t="s">
        <v>339</v>
      </c>
      <c r="D729" s="43" t="s">
        <v>201</v>
      </c>
      <c r="E729" s="110" t="s">
        <v>1000</v>
      </c>
      <c r="F729" s="130"/>
      <c r="G729" s="34">
        <f>SUM(G730)</f>
        <v>1004.3</v>
      </c>
      <c r="H729" s="34">
        <f>SUM(H730)</f>
        <v>164.9</v>
      </c>
      <c r="I729" s="34">
        <f t="shared" si="21"/>
        <v>16.419396594643036</v>
      </c>
    </row>
    <row r="730" spans="1:9" ht="30.75" customHeight="1">
      <c r="A730" s="46" t="s">
        <v>997</v>
      </c>
      <c r="B730" s="31"/>
      <c r="C730" s="43" t="s">
        <v>339</v>
      </c>
      <c r="D730" s="43" t="s">
        <v>201</v>
      </c>
      <c r="E730" s="110" t="s">
        <v>1000</v>
      </c>
      <c r="F730" s="130" t="s">
        <v>998</v>
      </c>
      <c r="G730" s="34">
        <v>1004.3</v>
      </c>
      <c r="H730" s="34">
        <v>164.9</v>
      </c>
      <c r="I730" s="34">
        <f t="shared" si="21"/>
        <v>16.419396594643036</v>
      </c>
    </row>
    <row r="731" spans="1:9" ht="32.25" customHeight="1" hidden="1">
      <c r="A731" s="46" t="s">
        <v>1001</v>
      </c>
      <c r="B731" s="31"/>
      <c r="C731" s="43" t="s">
        <v>339</v>
      </c>
      <c r="D731" s="43" t="s">
        <v>201</v>
      </c>
      <c r="E731" s="110" t="s">
        <v>1002</v>
      </c>
      <c r="F731" s="130"/>
      <c r="G731" s="34">
        <f>SUM(G732)</f>
        <v>0</v>
      </c>
      <c r="H731" s="34">
        <f>SUM(H732)</f>
        <v>0</v>
      </c>
      <c r="I731" s="34" t="e">
        <f t="shared" si="21"/>
        <v>#DIV/0!</v>
      </c>
    </row>
    <row r="732" spans="1:9" ht="28.5" customHeight="1" hidden="1">
      <c r="A732" s="46" t="s">
        <v>997</v>
      </c>
      <c r="B732" s="31"/>
      <c r="C732" s="43" t="s">
        <v>339</v>
      </c>
      <c r="D732" s="43" t="s">
        <v>201</v>
      </c>
      <c r="E732" s="110" t="s">
        <v>1002</v>
      </c>
      <c r="F732" s="130" t="s">
        <v>998</v>
      </c>
      <c r="G732" s="34"/>
      <c r="H732" s="34"/>
      <c r="I732" s="34" t="e">
        <f t="shared" si="21"/>
        <v>#DIV/0!</v>
      </c>
    </row>
    <row r="733" spans="1:9" ht="28.5" customHeight="1">
      <c r="A733" s="46" t="s">
        <v>997</v>
      </c>
      <c r="B733" s="31"/>
      <c r="C733" s="43" t="s">
        <v>339</v>
      </c>
      <c r="D733" s="43" t="s">
        <v>201</v>
      </c>
      <c r="E733" s="110" t="s">
        <v>1003</v>
      </c>
      <c r="F733" s="130"/>
      <c r="G733" s="34">
        <f>SUM(G734)</f>
        <v>27912.5</v>
      </c>
      <c r="H733" s="34">
        <f>SUM(H734)</f>
        <v>22968.1</v>
      </c>
      <c r="I733" s="34">
        <f t="shared" si="21"/>
        <v>82.2860725481415</v>
      </c>
    </row>
    <row r="734" spans="1:9" ht="63" customHeight="1">
      <c r="A734" s="46" t="s">
        <v>1004</v>
      </c>
      <c r="B734" s="31"/>
      <c r="C734" s="43" t="s">
        <v>339</v>
      </c>
      <c r="D734" s="43" t="s">
        <v>201</v>
      </c>
      <c r="E734" s="110" t="s">
        <v>1003</v>
      </c>
      <c r="F734" s="130" t="s">
        <v>998</v>
      </c>
      <c r="G734" s="34">
        <v>27912.5</v>
      </c>
      <c r="H734" s="34">
        <v>22968.1</v>
      </c>
      <c r="I734" s="34">
        <f t="shared" si="21"/>
        <v>82.2860725481415</v>
      </c>
    </row>
    <row r="735" spans="1:9" ht="19.5" customHeight="1">
      <c r="A735" s="41" t="s">
        <v>1005</v>
      </c>
      <c r="B735" s="31"/>
      <c r="C735" s="110" t="s">
        <v>339</v>
      </c>
      <c r="D735" s="110" t="s">
        <v>237</v>
      </c>
      <c r="E735" s="110"/>
      <c r="F735" s="62"/>
      <c r="G735" s="77">
        <f>SUM(G736+G749)</f>
        <v>21692.300000000003</v>
      </c>
      <c r="H735" s="77">
        <f>SUM(H736+H749)</f>
        <v>21329.9</v>
      </c>
      <c r="I735" s="34">
        <f t="shared" si="21"/>
        <v>98.32936110970252</v>
      </c>
    </row>
    <row r="736" spans="1:9" ht="42.75">
      <c r="A736" s="35" t="s">
        <v>170</v>
      </c>
      <c r="B736" s="31"/>
      <c r="C736" s="32" t="s">
        <v>339</v>
      </c>
      <c r="D736" s="32" t="s">
        <v>237</v>
      </c>
      <c r="E736" s="32" t="s">
        <v>171</v>
      </c>
      <c r="F736" s="36"/>
      <c r="G736" s="34">
        <f>SUM(G737)</f>
        <v>21692.300000000003</v>
      </c>
      <c r="H736" s="34">
        <f>SUM(H737)</f>
        <v>21329.9</v>
      </c>
      <c r="I736" s="34">
        <f t="shared" si="21"/>
        <v>98.32936110970252</v>
      </c>
    </row>
    <row r="737" spans="1:9" ht="15">
      <c r="A737" s="35" t="s">
        <v>178</v>
      </c>
      <c r="B737" s="31"/>
      <c r="C737" s="32" t="s">
        <v>339</v>
      </c>
      <c r="D737" s="32" t="s">
        <v>237</v>
      </c>
      <c r="E737" s="32" t="s">
        <v>180</v>
      </c>
      <c r="F737" s="36"/>
      <c r="G737" s="34">
        <f>SUM(G738+G741+G747+G745)</f>
        <v>21692.300000000003</v>
      </c>
      <c r="H737" s="34">
        <f>SUM(H738+H741+H747+H745)</f>
        <v>21329.9</v>
      </c>
      <c r="I737" s="34">
        <f t="shared" si="21"/>
        <v>98.32936110970252</v>
      </c>
    </row>
    <row r="738" spans="1:9" ht="14.25" customHeight="1">
      <c r="A738" s="41" t="s">
        <v>174</v>
      </c>
      <c r="B738" s="143"/>
      <c r="C738" s="32" t="s">
        <v>339</v>
      </c>
      <c r="D738" s="32" t="s">
        <v>237</v>
      </c>
      <c r="E738" s="32" t="s">
        <v>180</v>
      </c>
      <c r="F738" s="144" t="s">
        <v>175</v>
      </c>
      <c r="G738" s="34">
        <v>270.1</v>
      </c>
      <c r="H738" s="34">
        <v>269.8</v>
      </c>
      <c r="I738" s="34">
        <f t="shared" si="21"/>
        <v>99.88893002591632</v>
      </c>
    </row>
    <row r="739" spans="1:9" ht="28.5" hidden="1">
      <c r="A739" s="41" t="s">
        <v>1006</v>
      </c>
      <c r="B739" s="143"/>
      <c r="C739" s="32" t="s">
        <v>339</v>
      </c>
      <c r="D739" s="32" t="s">
        <v>237</v>
      </c>
      <c r="E739" s="32" t="s">
        <v>1007</v>
      </c>
      <c r="F739" s="144"/>
      <c r="G739" s="34">
        <f>SUM(G740)</f>
        <v>0</v>
      </c>
      <c r="H739" s="34">
        <f>SUM(H740)</f>
        <v>0</v>
      </c>
      <c r="I739" s="34" t="e">
        <f t="shared" si="21"/>
        <v>#DIV/0!</v>
      </c>
    </row>
    <row r="740" spans="1:9" ht="14.25" customHeight="1" hidden="1">
      <c r="A740" s="41" t="s">
        <v>174</v>
      </c>
      <c r="B740" s="143"/>
      <c r="C740" s="32" t="s">
        <v>339</v>
      </c>
      <c r="D740" s="32" t="s">
        <v>237</v>
      </c>
      <c r="E740" s="32" t="s">
        <v>1007</v>
      </c>
      <c r="F740" s="144" t="s">
        <v>175</v>
      </c>
      <c r="G740" s="34"/>
      <c r="H740" s="34"/>
      <c r="I740" s="34" t="e">
        <f t="shared" si="21"/>
        <v>#DIV/0!</v>
      </c>
    </row>
    <row r="741" spans="1:9" ht="27" customHeight="1">
      <c r="A741" s="41" t="s">
        <v>1008</v>
      </c>
      <c r="B741" s="143"/>
      <c r="C741" s="32" t="s">
        <v>339</v>
      </c>
      <c r="D741" s="32" t="s">
        <v>237</v>
      </c>
      <c r="E741" s="32" t="s">
        <v>1009</v>
      </c>
      <c r="F741" s="144"/>
      <c r="G741" s="34">
        <f>SUM(G742)</f>
        <v>3564.7</v>
      </c>
      <c r="H741" s="34">
        <f>SUM(H742)</f>
        <v>3564.7</v>
      </c>
      <c r="I741" s="34">
        <f t="shared" si="21"/>
        <v>100</v>
      </c>
    </row>
    <row r="742" spans="1:9" ht="17.25" customHeight="1">
      <c r="A742" s="41" t="s">
        <v>174</v>
      </c>
      <c r="B742" s="66"/>
      <c r="C742" s="32" t="s">
        <v>339</v>
      </c>
      <c r="D742" s="32" t="s">
        <v>237</v>
      </c>
      <c r="E742" s="32" t="s">
        <v>1009</v>
      </c>
      <c r="F742" s="144" t="s">
        <v>175</v>
      </c>
      <c r="G742" s="34">
        <v>3564.7</v>
      </c>
      <c r="H742" s="34">
        <v>3564.7</v>
      </c>
      <c r="I742" s="34">
        <f t="shared" si="21"/>
        <v>100</v>
      </c>
    </row>
    <row r="743" spans="1:9" ht="42.75" hidden="1">
      <c r="A743" s="41" t="s">
        <v>1010</v>
      </c>
      <c r="B743" s="66"/>
      <c r="C743" s="32" t="s">
        <v>339</v>
      </c>
      <c r="D743" s="32" t="s">
        <v>237</v>
      </c>
      <c r="E743" s="32" t="s">
        <v>1011</v>
      </c>
      <c r="F743" s="144"/>
      <c r="G743" s="34"/>
      <c r="H743" s="34"/>
      <c r="I743" s="34" t="e">
        <f t="shared" si="21"/>
        <v>#DIV/0!</v>
      </c>
    </row>
    <row r="744" spans="1:9" s="6" customFormat="1" ht="18.75" customHeight="1" hidden="1">
      <c r="A744" s="145" t="s">
        <v>174</v>
      </c>
      <c r="B744" s="146"/>
      <c r="C744" s="147" t="s">
        <v>339</v>
      </c>
      <c r="D744" s="147" t="s">
        <v>237</v>
      </c>
      <c r="E744" s="147" t="s">
        <v>1011</v>
      </c>
      <c r="F744" s="148" t="s">
        <v>175</v>
      </c>
      <c r="G744" s="149"/>
      <c r="H744" s="149"/>
      <c r="I744" s="34" t="e">
        <f t="shared" si="21"/>
        <v>#DIV/0!</v>
      </c>
    </row>
    <row r="745" spans="1:9" ht="28.5">
      <c r="A745" s="41" t="s">
        <v>1006</v>
      </c>
      <c r="B745" s="143"/>
      <c r="C745" s="32" t="s">
        <v>339</v>
      </c>
      <c r="D745" s="32" t="s">
        <v>237</v>
      </c>
      <c r="E745" s="32" t="s">
        <v>1007</v>
      </c>
      <c r="F745" s="144"/>
      <c r="G745" s="34">
        <f>SUM(G746)</f>
        <v>14799.7</v>
      </c>
      <c r="H745" s="34">
        <f>SUM(H746)</f>
        <v>14484.5</v>
      </c>
      <c r="I745" s="34">
        <f t="shared" si="21"/>
        <v>97.87022709919795</v>
      </c>
    </row>
    <row r="746" spans="1:9" ht="14.25" customHeight="1">
      <c r="A746" s="41" t="s">
        <v>174</v>
      </c>
      <c r="B746" s="143"/>
      <c r="C746" s="32" t="s">
        <v>339</v>
      </c>
      <c r="D746" s="32" t="s">
        <v>237</v>
      </c>
      <c r="E746" s="32" t="s">
        <v>1007</v>
      </c>
      <c r="F746" s="144" t="s">
        <v>175</v>
      </c>
      <c r="G746" s="34">
        <v>14799.7</v>
      </c>
      <c r="H746" s="34">
        <v>14484.5</v>
      </c>
      <c r="I746" s="34">
        <f t="shared" si="21"/>
        <v>97.87022709919795</v>
      </c>
    </row>
    <row r="747" spans="1:9" ht="42.75">
      <c r="A747" s="41" t="s">
        <v>1010</v>
      </c>
      <c r="B747" s="66"/>
      <c r="C747" s="32" t="s">
        <v>339</v>
      </c>
      <c r="D747" s="32" t="s">
        <v>237</v>
      </c>
      <c r="E747" s="32" t="s">
        <v>1012</v>
      </c>
      <c r="F747" s="144"/>
      <c r="G747" s="34">
        <f>SUM(G748)</f>
        <v>3057.8</v>
      </c>
      <c r="H747" s="34">
        <f>SUM(H748)</f>
        <v>3010.9</v>
      </c>
      <c r="I747" s="34">
        <f t="shared" si="21"/>
        <v>98.46621754202367</v>
      </c>
    </row>
    <row r="748" spans="1:9" s="6" customFormat="1" ht="18" customHeight="1" thickBot="1">
      <c r="A748" s="145" t="s">
        <v>174</v>
      </c>
      <c r="B748" s="146"/>
      <c r="C748" s="147" t="s">
        <v>339</v>
      </c>
      <c r="D748" s="147" t="s">
        <v>237</v>
      </c>
      <c r="E748" s="32" t="s">
        <v>1012</v>
      </c>
      <c r="F748" s="148" t="s">
        <v>175</v>
      </c>
      <c r="G748" s="149">
        <v>3057.8</v>
      </c>
      <c r="H748" s="149">
        <v>3010.9</v>
      </c>
      <c r="I748" s="34">
        <f t="shared" si="21"/>
        <v>98.46621754202367</v>
      </c>
    </row>
    <row r="749" spans="1:9" s="6" customFormat="1" ht="18.75" customHeight="1" hidden="1">
      <c r="A749" s="52" t="s">
        <v>1013</v>
      </c>
      <c r="B749" s="39"/>
      <c r="C749" s="110" t="s">
        <v>339</v>
      </c>
      <c r="D749" s="110" t="s">
        <v>237</v>
      </c>
      <c r="E749" s="32" t="s">
        <v>1014</v>
      </c>
      <c r="F749" s="33"/>
      <c r="G749" s="77">
        <f aca="true" t="shared" si="22" ref="G749:I751">SUM(G750)</f>
        <v>0</v>
      </c>
      <c r="H749" s="77">
        <f t="shared" si="22"/>
        <v>0</v>
      </c>
      <c r="I749" s="77">
        <f t="shared" si="22"/>
        <v>0</v>
      </c>
    </row>
    <row r="750" spans="1:9" s="6" customFormat="1" ht="18.75" customHeight="1" hidden="1">
      <c r="A750" s="52" t="s">
        <v>1015</v>
      </c>
      <c r="B750" s="39"/>
      <c r="C750" s="110" t="s">
        <v>339</v>
      </c>
      <c r="D750" s="110" t="s">
        <v>237</v>
      </c>
      <c r="E750" s="32" t="s">
        <v>1016</v>
      </c>
      <c r="F750" s="33"/>
      <c r="G750" s="77">
        <f t="shared" si="22"/>
        <v>0</v>
      </c>
      <c r="H750" s="77">
        <f t="shared" si="22"/>
        <v>0</v>
      </c>
      <c r="I750" s="77">
        <f t="shared" si="22"/>
        <v>0</v>
      </c>
    </row>
    <row r="751" spans="1:9" s="6" customFormat="1" ht="57" customHeight="1" hidden="1">
      <c r="A751" s="52" t="s">
        <v>1017</v>
      </c>
      <c r="B751" s="39"/>
      <c r="C751" s="110" t="s">
        <v>339</v>
      </c>
      <c r="D751" s="110" t="s">
        <v>237</v>
      </c>
      <c r="E751" s="32" t="s">
        <v>1018</v>
      </c>
      <c r="F751" s="33"/>
      <c r="G751" s="77">
        <f t="shared" si="22"/>
        <v>0</v>
      </c>
      <c r="H751" s="77">
        <f t="shared" si="22"/>
        <v>0</v>
      </c>
      <c r="I751" s="77">
        <f t="shared" si="22"/>
        <v>0</v>
      </c>
    </row>
    <row r="752" spans="1:9" s="6" customFormat="1" ht="18.75" customHeight="1" hidden="1">
      <c r="A752" s="52" t="s">
        <v>265</v>
      </c>
      <c r="B752" s="39"/>
      <c r="C752" s="110" t="s">
        <v>339</v>
      </c>
      <c r="D752" s="110" t="s">
        <v>237</v>
      </c>
      <c r="E752" s="32" t="s">
        <v>1018</v>
      </c>
      <c r="F752" s="33" t="s">
        <v>266</v>
      </c>
      <c r="G752" s="77"/>
      <c r="H752" s="77"/>
      <c r="I752" s="77"/>
    </row>
    <row r="753" spans="1:9" s="124" customFormat="1" ht="22.5" customHeight="1" thickBot="1">
      <c r="A753" s="150" t="s">
        <v>1019</v>
      </c>
      <c r="B753" s="151"/>
      <c r="C753" s="152"/>
      <c r="D753" s="152"/>
      <c r="E753" s="152"/>
      <c r="F753" s="153"/>
      <c r="G753" s="154">
        <f>SUM(G16+G116+G166+G195+G321+G361+G494+G539+G618)</f>
        <v>2636043.6020000004</v>
      </c>
      <c r="H753" s="154">
        <f>SUM(H16+H116+H166+H195+H321+H361+H494+H539+H618)</f>
        <v>2590179.8019999997</v>
      </c>
      <c r="I753" s="154">
        <f>SUM(H753/G753*100)</f>
        <v>98.26012741347665</v>
      </c>
    </row>
    <row r="754" spans="1:9" ht="27" thickBot="1">
      <c r="A754" s="155" t="s">
        <v>1020</v>
      </c>
      <c r="B754" s="156"/>
      <c r="C754" s="157"/>
      <c r="D754" s="156"/>
      <c r="E754" s="156"/>
      <c r="F754" s="158"/>
      <c r="G754" s="159">
        <v>-145908.1</v>
      </c>
      <c r="H754" s="159">
        <v>-127118.7</v>
      </c>
      <c r="I754" s="159">
        <v>-145908.1</v>
      </c>
    </row>
    <row r="755" spans="1:9" ht="15.75" hidden="1" thickBot="1">
      <c r="A755" s="160" t="s">
        <v>1021</v>
      </c>
      <c r="B755" s="161"/>
      <c r="C755" s="162"/>
      <c r="D755" s="161"/>
      <c r="E755" s="161"/>
      <c r="F755" s="163"/>
      <c r="G755" s="164"/>
      <c r="H755" s="164"/>
      <c r="I755" s="164"/>
    </row>
    <row r="756" spans="1:9" ht="17.25" customHeight="1" thickBot="1">
      <c r="A756" s="165" t="s">
        <v>1021</v>
      </c>
      <c r="B756" s="157" t="s">
        <v>1022</v>
      </c>
      <c r="C756" s="157" t="s">
        <v>694</v>
      </c>
      <c r="D756" s="157" t="s">
        <v>694</v>
      </c>
      <c r="E756" s="157" t="s">
        <v>1023</v>
      </c>
      <c r="F756" s="166" t="s">
        <v>1022</v>
      </c>
      <c r="G756" s="167">
        <v>145908.1</v>
      </c>
      <c r="H756" s="167">
        <v>127118.7</v>
      </c>
      <c r="I756" s="232">
        <f>SUM(H756/G756*100)</f>
        <v>87.12244213994973</v>
      </c>
    </row>
    <row r="757" spans="1:7" ht="30" customHeight="1" hidden="1">
      <c r="A757" s="168" t="s">
        <v>1024</v>
      </c>
      <c r="B757" s="169" t="s">
        <v>1022</v>
      </c>
      <c r="C757" s="169" t="s">
        <v>167</v>
      </c>
      <c r="D757" s="169" t="s">
        <v>177</v>
      </c>
      <c r="E757" s="169" t="s">
        <v>1023</v>
      </c>
      <c r="F757" s="170"/>
      <c r="G757" s="171">
        <v>0</v>
      </c>
    </row>
    <row r="758" spans="1:7" ht="42" customHeight="1" hidden="1">
      <c r="A758" s="98" t="s">
        <v>1025</v>
      </c>
      <c r="B758" s="172" t="s">
        <v>1022</v>
      </c>
      <c r="C758" s="172" t="s">
        <v>167</v>
      </c>
      <c r="D758" s="172" t="s">
        <v>177</v>
      </c>
      <c r="E758" s="172" t="s">
        <v>1026</v>
      </c>
      <c r="F758" s="173" t="s">
        <v>1027</v>
      </c>
      <c r="G758" s="171">
        <v>62000</v>
      </c>
    </row>
    <row r="759" spans="1:7" ht="30.75" customHeight="1" hidden="1">
      <c r="A759" s="174" t="s">
        <v>1028</v>
      </c>
      <c r="B759" s="172" t="s">
        <v>1022</v>
      </c>
      <c r="C759" s="172" t="s">
        <v>167</v>
      </c>
      <c r="D759" s="172" t="s">
        <v>177</v>
      </c>
      <c r="E759" s="172" t="s">
        <v>1026</v>
      </c>
      <c r="F759" s="173" t="s">
        <v>1029</v>
      </c>
      <c r="G759" s="175">
        <v>62000</v>
      </c>
    </row>
    <row r="760" spans="1:7" ht="29.25" customHeight="1" hidden="1">
      <c r="A760" s="176" t="s">
        <v>1030</v>
      </c>
      <c r="B760" s="172" t="s">
        <v>1022</v>
      </c>
      <c r="C760" s="172" t="s">
        <v>237</v>
      </c>
      <c r="D760" s="172" t="s">
        <v>694</v>
      </c>
      <c r="E760" s="172" t="s">
        <v>1023</v>
      </c>
      <c r="F760" s="173" t="s">
        <v>1022</v>
      </c>
      <c r="G760" s="177"/>
    </row>
    <row r="761" spans="1:7" ht="18" customHeight="1" hidden="1">
      <c r="A761" s="178" t="s">
        <v>1031</v>
      </c>
      <c r="B761" s="179" t="s">
        <v>1022</v>
      </c>
      <c r="C761" s="179" t="s">
        <v>167</v>
      </c>
      <c r="D761" s="179" t="s">
        <v>233</v>
      </c>
      <c r="E761" s="179" t="s">
        <v>1032</v>
      </c>
      <c r="F761" s="180" t="s">
        <v>1022</v>
      </c>
      <c r="G761" s="181">
        <f>67475+1681.5+1571.6</f>
        <v>70728.1</v>
      </c>
    </row>
    <row r="762" spans="1:7" ht="28.5" hidden="1">
      <c r="A762" s="41" t="s">
        <v>1033</v>
      </c>
      <c r="B762" s="172" t="s">
        <v>1022</v>
      </c>
      <c r="C762" s="179" t="s">
        <v>167</v>
      </c>
      <c r="D762" s="179" t="s">
        <v>237</v>
      </c>
      <c r="E762" s="179" t="s">
        <v>1023</v>
      </c>
      <c r="F762" s="180" t="s">
        <v>1022</v>
      </c>
      <c r="G762" s="77">
        <f>SUM(G763-G764)</f>
        <v>0</v>
      </c>
    </row>
    <row r="763" spans="1:7" ht="85.5" hidden="1">
      <c r="A763" s="182" t="s">
        <v>1034</v>
      </c>
      <c r="B763" s="172"/>
      <c r="C763" s="179" t="s">
        <v>167</v>
      </c>
      <c r="D763" s="179" t="s">
        <v>237</v>
      </c>
      <c r="E763" s="183" t="s">
        <v>1035</v>
      </c>
      <c r="F763" s="184">
        <v>810</v>
      </c>
      <c r="G763" s="77">
        <v>10000</v>
      </c>
    </row>
    <row r="764" spans="1:7" ht="45" customHeight="1" hidden="1">
      <c r="A764" s="185" t="s">
        <v>1036</v>
      </c>
      <c r="B764" s="186"/>
      <c r="C764" s="186" t="s">
        <v>167</v>
      </c>
      <c r="D764" s="186" t="s">
        <v>237</v>
      </c>
      <c r="E764" s="187" t="s">
        <v>1037</v>
      </c>
      <c r="F764" s="188">
        <v>640</v>
      </c>
      <c r="G764" s="189">
        <v>10000</v>
      </c>
    </row>
  </sheetData>
  <mergeCells count="2">
    <mergeCell ref="F5:H5"/>
    <mergeCell ref="F6:G6"/>
  </mergeCells>
  <printOptions/>
  <pageMargins left="0.984251968503937" right="0" top="0" bottom="0" header="0.5118110236220472" footer="0.5118110236220472"/>
  <pageSetup fitToHeight="2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I944"/>
  <sheetViews>
    <sheetView workbookViewId="0" topLeftCell="A1">
      <selection activeCell="I10" sqref="I10"/>
    </sheetView>
  </sheetViews>
  <sheetFormatPr defaultColWidth="9.00390625" defaultRowHeight="12.75"/>
  <cols>
    <col min="1" max="1" width="53.125" style="0" customWidth="1"/>
    <col min="2" max="2" width="6.875" style="1" customWidth="1"/>
    <col min="3" max="3" width="7.75390625" style="0" customWidth="1"/>
    <col min="4" max="4" width="6.875" style="0" customWidth="1"/>
    <col min="5" max="5" width="12.25390625" style="0" customWidth="1"/>
    <col min="6" max="6" width="10.125" style="0" customWidth="1"/>
    <col min="7" max="7" width="14.375" style="12" customWidth="1"/>
    <col min="8" max="8" width="16.00390625" style="12" customWidth="1"/>
    <col min="9" max="9" width="14.375" style="12" customWidth="1"/>
    <col min="17" max="17" width="14.375" style="0" customWidth="1"/>
    <col min="18" max="18" width="6.375" style="0" customWidth="1"/>
    <col min="19" max="19" width="5.375" style="0" customWidth="1"/>
    <col min="20" max="20" width="5.875" style="0" customWidth="1"/>
    <col min="21" max="21" width="6.125" style="0" customWidth="1"/>
  </cols>
  <sheetData>
    <row r="1" spans="6:9" ht="12" customHeight="1">
      <c r="F1" s="2" t="s">
        <v>144</v>
      </c>
      <c r="G1" s="3"/>
      <c r="H1" s="3"/>
      <c r="I1" s="3"/>
    </row>
    <row r="2" spans="1:9" ht="12.75">
      <c r="A2" t="s">
        <v>1038</v>
      </c>
      <c r="F2" s="4" t="s">
        <v>146</v>
      </c>
      <c r="G2" s="3"/>
      <c r="H2" s="3"/>
      <c r="I2" s="3"/>
    </row>
    <row r="3" spans="6:9" ht="12.75">
      <c r="F3" s="4" t="s">
        <v>147</v>
      </c>
      <c r="G3" s="3"/>
      <c r="H3" s="3"/>
      <c r="I3" s="3"/>
    </row>
    <row r="4" spans="6:9" ht="12.75">
      <c r="F4" s="4" t="s">
        <v>148</v>
      </c>
      <c r="G4" s="3"/>
      <c r="H4" s="3"/>
      <c r="I4" s="3"/>
    </row>
    <row r="5" spans="6:9" ht="12.75">
      <c r="F5" s="381" t="s">
        <v>17</v>
      </c>
      <c r="G5" s="397"/>
      <c r="H5" s="6"/>
      <c r="I5" s="3"/>
    </row>
    <row r="6" spans="6:9" ht="12.75">
      <c r="F6" s="7"/>
      <c r="G6" s="6"/>
      <c r="H6" s="6"/>
      <c r="I6" s="3"/>
    </row>
    <row r="7" spans="6:9" ht="12.75">
      <c r="F7" s="4"/>
      <c r="G7" s="3"/>
      <c r="H7" s="3"/>
      <c r="I7" s="3"/>
    </row>
    <row r="8" spans="2:9" ht="12.75" customHeight="1">
      <c r="B8" s="8" t="s">
        <v>1039</v>
      </c>
      <c r="F8" s="381"/>
      <c r="G8" s="397"/>
      <c r="H8" s="397"/>
      <c r="I8"/>
    </row>
    <row r="9" ht="12.75">
      <c r="B9" s="8" t="s">
        <v>1040</v>
      </c>
    </row>
    <row r="10" ht="12.75">
      <c r="B10" s="8" t="s">
        <v>1041</v>
      </c>
    </row>
    <row r="11" ht="24" customHeight="1" thickBot="1">
      <c r="B11" s="11"/>
    </row>
    <row r="12" spans="1:9" ht="14.25">
      <c r="A12" s="13" t="s">
        <v>1042</v>
      </c>
      <c r="B12" s="190" t="s">
        <v>154</v>
      </c>
      <c r="C12" s="191"/>
      <c r="D12" s="192"/>
      <c r="E12" s="192"/>
      <c r="F12" s="192"/>
      <c r="G12" s="17" t="s">
        <v>155</v>
      </c>
      <c r="H12" s="17" t="s">
        <v>156</v>
      </c>
      <c r="I12" s="17" t="s">
        <v>157</v>
      </c>
    </row>
    <row r="13" spans="1:9" ht="24.75" customHeight="1" thickBot="1">
      <c r="A13" s="193"/>
      <c r="B13" s="194" t="s">
        <v>158</v>
      </c>
      <c r="C13" s="195" t="s">
        <v>159</v>
      </c>
      <c r="D13" s="195" t="s">
        <v>160</v>
      </c>
      <c r="E13" s="195" t="s">
        <v>161</v>
      </c>
      <c r="F13" s="196" t="s">
        <v>162</v>
      </c>
      <c r="G13" s="22" t="s">
        <v>163</v>
      </c>
      <c r="H13" s="22" t="s">
        <v>164</v>
      </c>
      <c r="I13" s="23" t="s">
        <v>165</v>
      </c>
    </row>
    <row r="14" spans="1:9" ht="30">
      <c r="A14" s="197" t="s">
        <v>1043</v>
      </c>
      <c r="B14" s="198" t="s">
        <v>1044</v>
      </c>
      <c r="C14" s="199"/>
      <c r="D14" s="199"/>
      <c r="E14" s="199"/>
      <c r="F14" s="191"/>
      <c r="G14" s="200">
        <f>SUM(G15)+G30</f>
        <v>14244.999999999998</v>
      </c>
      <c r="H14" s="200">
        <f>SUM(H15)+H30</f>
        <v>13901.699999999999</v>
      </c>
      <c r="I14" s="200">
        <f>SUM(H14/G14*100)</f>
        <v>97.59003159003159</v>
      </c>
    </row>
    <row r="15" spans="1:9" ht="15">
      <c r="A15" s="30" t="s">
        <v>166</v>
      </c>
      <c r="B15" s="31"/>
      <c r="C15" s="32" t="s">
        <v>167</v>
      </c>
      <c r="D15" s="32"/>
      <c r="E15" s="32"/>
      <c r="F15" s="33"/>
      <c r="G15" s="34">
        <f>SUM(G16+G20+G26)</f>
        <v>14241.699999999999</v>
      </c>
      <c r="H15" s="34">
        <f>SUM(H16+H20+H26)</f>
        <v>13898.4</v>
      </c>
      <c r="I15" s="34">
        <f>SUM(H15/G15*100)</f>
        <v>97.589473166827</v>
      </c>
    </row>
    <row r="16" spans="1:9" ht="28.5">
      <c r="A16" s="30" t="s">
        <v>168</v>
      </c>
      <c r="B16" s="31"/>
      <c r="C16" s="32" t="s">
        <v>167</v>
      </c>
      <c r="D16" s="32" t="s">
        <v>169</v>
      </c>
      <c r="E16" s="32"/>
      <c r="F16" s="33"/>
      <c r="G16" s="34">
        <f>SUM(G17)</f>
        <v>1038.4</v>
      </c>
      <c r="H16" s="34">
        <f>SUM(H17)</f>
        <v>1038.4</v>
      </c>
      <c r="I16" s="34">
        <f aca="true" t="shared" si="0" ref="I16:I79">SUM(H16/G16*100)</f>
        <v>100</v>
      </c>
    </row>
    <row r="17" spans="1:9" ht="41.25" customHeight="1">
      <c r="A17" s="35" t="s">
        <v>170</v>
      </c>
      <c r="B17" s="31"/>
      <c r="C17" s="32" t="s">
        <v>167</v>
      </c>
      <c r="D17" s="32" t="s">
        <v>169</v>
      </c>
      <c r="E17" s="32" t="s">
        <v>171</v>
      </c>
      <c r="F17" s="33"/>
      <c r="G17" s="34">
        <f>SUM(G19:G19)</f>
        <v>1038.4</v>
      </c>
      <c r="H17" s="34">
        <f>SUM(H19:H19)</f>
        <v>1038.4</v>
      </c>
      <c r="I17" s="34">
        <f t="shared" si="0"/>
        <v>100</v>
      </c>
    </row>
    <row r="18" spans="1:9" ht="16.5" customHeight="1">
      <c r="A18" s="35" t="s">
        <v>172</v>
      </c>
      <c r="B18" s="31"/>
      <c r="C18" s="32" t="s">
        <v>167</v>
      </c>
      <c r="D18" s="32" t="s">
        <v>169</v>
      </c>
      <c r="E18" s="32" t="s">
        <v>173</v>
      </c>
      <c r="F18" s="33"/>
      <c r="G18" s="34">
        <f>SUM(G19)</f>
        <v>1038.4</v>
      </c>
      <c r="H18" s="34">
        <f>SUM(H19)</f>
        <v>1038.4</v>
      </c>
      <c r="I18" s="34">
        <f t="shared" si="0"/>
        <v>100</v>
      </c>
    </row>
    <row r="19" spans="1:9" ht="29.25" customHeight="1">
      <c r="A19" s="35" t="s">
        <v>174</v>
      </c>
      <c r="B19" s="31"/>
      <c r="C19" s="32" t="s">
        <v>167</v>
      </c>
      <c r="D19" s="32" t="s">
        <v>169</v>
      </c>
      <c r="E19" s="32" t="s">
        <v>173</v>
      </c>
      <c r="F19" s="33" t="s">
        <v>175</v>
      </c>
      <c r="G19" s="34">
        <f>1130.4-92</f>
        <v>1038.4</v>
      </c>
      <c r="H19" s="34">
        <f>1130.4-92</f>
        <v>1038.4</v>
      </c>
      <c r="I19" s="34">
        <f t="shared" si="0"/>
        <v>100</v>
      </c>
    </row>
    <row r="20" spans="1:9" ht="52.5" customHeight="1">
      <c r="A20" s="35" t="s">
        <v>176</v>
      </c>
      <c r="B20" s="31"/>
      <c r="C20" s="32" t="s">
        <v>167</v>
      </c>
      <c r="D20" s="32" t="s">
        <v>177</v>
      </c>
      <c r="E20" s="32"/>
      <c r="F20" s="33"/>
      <c r="G20" s="34">
        <f>SUM(G21)</f>
        <v>12619.3</v>
      </c>
      <c r="H20" s="34">
        <f>SUM(H21)</f>
        <v>12418.1</v>
      </c>
      <c r="I20" s="34">
        <f t="shared" si="0"/>
        <v>98.40561679332453</v>
      </c>
    </row>
    <row r="21" spans="1:9" ht="42.75" customHeight="1">
      <c r="A21" s="35" t="s">
        <v>170</v>
      </c>
      <c r="B21" s="31"/>
      <c r="C21" s="32" t="s">
        <v>167</v>
      </c>
      <c r="D21" s="32" t="s">
        <v>177</v>
      </c>
      <c r="E21" s="32" t="s">
        <v>171</v>
      </c>
      <c r="F21" s="36"/>
      <c r="G21" s="34">
        <f>SUM(G22+G24)</f>
        <v>12619.3</v>
      </c>
      <c r="H21" s="34">
        <f>SUM(H22+H24)</f>
        <v>12418.1</v>
      </c>
      <c r="I21" s="34">
        <f t="shared" si="0"/>
        <v>98.40561679332453</v>
      </c>
    </row>
    <row r="22" spans="1:9" ht="15">
      <c r="A22" s="35" t="s">
        <v>178</v>
      </c>
      <c r="B22" s="31"/>
      <c r="C22" s="32" t="s">
        <v>179</v>
      </c>
      <c r="D22" s="32" t="s">
        <v>177</v>
      </c>
      <c r="E22" s="32" t="s">
        <v>180</v>
      </c>
      <c r="F22" s="36"/>
      <c r="G22" s="34">
        <f>SUM(G23)</f>
        <v>11734</v>
      </c>
      <c r="H22" s="34">
        <f>SUM(H23)</f>
        <v>11538.1</v>
      </c>
      <c r="I22" s="34">
        <f t="shared" si="0"/>
        <v>98.33049258564854</v>
      </c>
    </row>
    <row r="23" spans="1:9" ht="28.5" customHeight="1">
      <c r="A23" s="35" t="s">
        <v>174</v>
      </c>
      <c r="B23" s="31"/>
      <c r="C23" s="32" t="s">
        <v>167</v>
      </c>
      <c r="D23" s="32" t="s">
        <v>177</v>
      </c>
      <c r="E23" s="32" t="s">
        <v>180</v>
      </c>
      <c r="F23" s="33" t="s">
        <v>175</v>
      </c>
      <c r="G23" s="34">
        <v>11734</v>
      </c>
      <c r="H23" s="34">
        <v>11538.1</v>
      </c>
      <c r="I23" s="34">
        <f t="shared" si="0"/>
        <v>98.33049258564854</v>
      </c>
    </row>
    <row r="24" spans="1:9" ht="28.5" customHeight="1">
      <c r="A24" s="35" t="s">
        <v>181</v>
      </c>
      <c r="B24" s="31"/>
      <c r="C24" s="32" t="s">
        <v>179</v>
      </c>
      <c r="D24" s="32" t="s">
        <v>177</v>
      </c>
      <c r="E24" s="32" t="s">
        <v>182</v>
      </c>
      <c r="F24" s="33"/>
      <c r="G24" s="34">
        <f>SUM(G25)</f>
        <v>885.3</v>
      </c>
      <c r="H24" s="34">
        <f>SUM(H25)</f>
        <v>880</v>
      </c>
      <c r="I24" s="34">
        <f t="shared" si="0"/>
        <v>99.40133288150909</v>
      </c>
    </row>
    <row r="25" spans="1:9" ht="29.25" customHeight="1">
      <c r="A25" s="35" t="s">
        <v>174</v>
      </c>
      <c r="B25" s="31"/>
      <c r="C25" s="32" t="s">
        <v>179</v>
      </c>
      <c r="D25" s="32" t="s">
        <v>177</v>
      </c>
      <c r="E25" s="32" t="s">
        <v>182</v>
      </c>
      <c r="F25" s="33" t="s">
        <v>175</v>
      </c>
      <c r="G25" s="34">
        <f>982.9-97.6</f>
        <v>885.3</v>
      </c>
      <c r="H25" s="34">
        <v>880</v>
      </c>
      <c r="I25" s="34">
        <f t="shared" si="0"/>
        <v>99.40133288150909</v>
      </c>
    </row>
    <row r="26" spans="1:9" ht="15">
      <c r="A26" s="35" t="s">
        <v>183</v>
      </c>
      <c r="B26" s="31"/>
      <c r="C26" s="32" t="s">
        <v>167</v>
      </c>
      <c r="D26" s="32" t="s">
        <v>258</v>
      </c>
      <c r="E26" s="32"/>
      <c r="F26" s="36"/>
      <c r="G26" s="34">
        <f>SUM(G27)</f>
        <v>584</v>
      </c>
      <c r="H26" s="34">
        <f>SUM(H27)</f>
        <v>441.9</v>
      </c>
      <c r="I26" s="34">
        <f t="shared" si="0"/>
        <v>75.66780821917808</v>
      </c>
    </row>
    <row r="27" spans="1:9" ht="28.5">
      <c r="A27" s="49" t="s">
        <v>185</v>
      </c>
      <c r="B27" s="31"/>
      <c r="C27" s="32" t="s">
        <v>167</v>
      </c>
      <c r="D27" s="32" t="s">
        <v>258</v>
      </c>
      <c r="E27" s="32" t="s">
        <v>186</v>
      </c>
      <c r="F27" s="37"/>
      <c r="G27" s="34">
        <f>SUM(G29)</f>
        <v>584</v>
      </c>
      <c r="H27" s="34">
        <f>SUM(H29)</f>
        <v>441.9</v>
      </c>
      <c r="I27" s="34">
        <f t="shared" si="0"/>
        <v>75.66780821917808</v>
      </c>
    </row>
    <row r="28" spans="1:9" ht="15">
      <c r="A28" s="49" t="s">
        <v>187</v>
      </c>
      <c r="B28" s="31"/>
      <c r="C28" s="32" t="s">
        <v>167</v>
      </c>
      <c r="D28" s="32" t="s">
        <v>258</v>
      </c>
      <c r="E28" s="32" t="s">
        <v>269</v>
      </c>
      <c r="F28" s="37"/>
      <c r="G28" s="34">
        <f>SUM(G29)</f>
        <v>584</v>
      </c>
      <c r="H28" s="34">
        <f>SUM(H29)</f>
        <v>441.9</v>
      </c>
      <c r="I28" s="34">
        <f t="shared" si="0"/>
        <v>75.66780821917808</v>
      </c>
    </row>
    <row r="29" spans="1:9" ht="27.75" customHeight="1">
      <c r="A29" s="35" t="s">
        <v>174</v>
      </c>
      <c r="B29" s="31"/>
      <c r="C29" s="32" t="s">
        <v>167</v>
      </c>
      <c r="D29" s="32" t="s">
        <v>258</v>
      </c>
      <c r="E29" s="32" t="s">
        <v>269</v>
      </c>
      <c r="F29" s="37" t="s">
        <v>175</v>
      </c>
      <c r="G29" s="34">
        <v>584</v>
      </c>
      <c r="H29" s="34">
        <v>441.9</v>
      </c>
      <c r="I29" s="34">
        <f t="shared" si="0"/>
        <v>75.66780821917808</v>
      </c>
    </row>
    <row r="30" spans="1:9" ht="15">
      <c r="A30" s="30" t="s">
        <v>189</v>
      </c>
      <c r="B30" s="31"/>
      <c r="C30" s="48" t="s">
        <v>190</v>
      </c>
      <c r="D30" s="32"/>
      <c r="E30" s="32"/>
      <c r="F30" s="37"/>
      <c r="G30" s="34">
        <f aca="true" t="shared" si="1" ref="G30:H33">SUM(G31)</f>
        <v>3.3</v>
      </c>
      <c r="H30" s="34">
        <f t="shared" si="1"/>
        <v>3.3</v>
      </c>
      <c r="I30" s="34">
        <f t="shared" si="0"/>
        <v>100</v>
      </c>
    </row>
    <row r="31" spans="1:9" ht="15">
      <c r="A31" s="35" t="s">
        <v>191</v>
      </c>
      <c r="B31" s="39"/>
      <c r="C31" s="32" t="s">
        <v>190</v>
      </c>
      <c r="D31" s="32" t="s">
        <v>190</v>
      </c>
      <c r="E31" s="32"/>
      <c r="F31" s="37"/>
      <c r="G31" s="34">
        <f t="shared" si="1"/>
        <v>3.3</v>
      </c>
      <c r="H31" s="34">
        <f t="shared" si="1"/>
        <v>3.3</v>
      </c>
      <c r="I31" s="34">
        <f t="shared" si="0"/>
        <v>100</v>
      </c>
    </row>
    <row r="32" spans="1:9" ht="28.5">
      <c r="A32" s="49" t="s">
        <v>575</v>
      </c>
      <c r="B32" s="39"/>
      <c r="C32" s="32" t="s">
        <v>190</v>
      </c>
      <c r="D32" s="32" t="s">
        <v>190</v>
      </c>
      <c r="E32" s="32" t="s">
        <v>193</v>
      </c>
      <c r="F32" s="33"/>
      <c r="G32" s="34">
        <f t="shared" si="1"/>
        <v>3.3</v>
      </c>
      <c r="H32" s="34">
        <f t="shared" si="1"/>
        <v>3.3</v>
      </c>
      <c r="I32" s="34">
        <f t="shared" si="0"/>
        <v>100</v>
      </c>
    </row>
    <row r="33" spans="1:9" ht="19.5" customHeight="1">
      <c r="A33" s="49" t="s">
        <v>576</v>
      </c>
      <c r="B33" s="39"/>
      <c r="C33" s="32" t="s">
        <v>190</v>
      </c>
      <c r="D33" s="32" t="s">
        <v>190</v>
      </c>
      <c r="E33" s="32" t="s">
        <v>577</v>
      </c>
      <c r="F33" s="33"/>
      <c r="G33" s="34">
        <f t="shared" si="1"/>
        <v>3.3</v>
      </c>
      <c r="H33" s="34">
        <f t="shared" si="1"/>
        <v>3.3</v>
      </c>
      <c r="I33" s="34">
        <f t="shared" si="0"/>
        <v>100</v>
      </c>
    </row>
    <row r="34" spans="1:9" ht="18" customHeight="1">
      <c r="A34" s="52" t="s">
        <v>265</v>
      </c>
      <c r="B34" s="39"/>
      <c r="C34" s="32" t="s">
        <v>190</v>
      </c>
      <c r="D34" s="32" t="s">
        <v>190</v>
      </c>
      <c r="E34" s="32" t="s">
        <v>577</v>
      </c>
      <c r="F34" s="33" t="s">
        <v>266</v>
      </c>
      <c r="G34" s="34">
        <v>3.3</v>
      </c>
      <c r="H34" s="34">
        <v>3.3</v>
      </c>
      <c r="I34" s="34">
        <f t="shared" si="0"/>
        <v>100</v>
      </c>
    </row>
    <row r="35" spans="1:9" ht="30" customHeight="1">
      <c r="A35" s="201" t="s">
        <v>1045</v>
      </c>
      <c r="B35" s="202" t="s">
        <v>1046</v>
      </c>
      <c r="C35" s="48"/>
      <c r="D35" s="48"/>
      <c r="E35" s="48"/>
      <c r="F35" s="36"/>
      <c r="G35" s="203">
        <f aca="true" t="shared" si="2" ref="G35:H41">SUM(G36)</f>
        <v>3780.3999999999996</v>
      </c>
      <c r="H35" s="203">
        <f t="shared" si="2"/>
        <v>3743.8999999999996</v>
      </c>
      <c r="I35" s="57">
        <f t="shared" si="0"/>
        <v>99.03449370436991</v>
      </c>
    </row>
    <row r="36" spans="1:9" ht="15">
      <c r="A36" s="30" t="s">
        <v>166</v>
      </c>
      <c r="B36" s="31"/>
      <c r="C36" s="32" t="s">
        <v>167</v>
      </c>
      <c r="D36" s="32"/>
      <c r="E36" s="32"/>
      <c r="F36" s="33"/>
      <c r="G36" s="34">
        <f t="shared" si="2"/>
        <v>3780.3999999999996</v>
      </c>
      <c r="H36" s="34">
        <f t="shared" si="2"/>
        <v>3743.8999999999996</v>
      </c>
      <c r="I36" s="34">
        <f t="shared" si="0"/>
        <v>99.03449370436991</v>
      </c>
    </row>
    <row r="37" spans="1:9" ht="42.75">
      <c r="A37" s="49" t="s">
        <v>236</v>
      </c>
      <c r="B37" s="31"/>
      <c r="C37" s="32" t="s">
        <v>167</v>
      </c>
      <c r="D37" s="32" t="s">
        <v>237</v>
      </c>
      <c r="E37" s="32"/>
      <c r="F37" s="33"/>
      <c r="G37" s="34">
        <f t="shared" si="2"/>
        <v>3780.3999999999996</v>
      </c>
      <c r="H37" s="34">
        <f t="shared" si="2"/>
        <v>3743.8999999999996</v>
      </c>
      <c r="I37" s="34">
        <f t="shared" si="0"/>
        <v>99.03449370436991</v>
      </c>
    </row>
    <row r="38" spans="1:9" ht="42.75" customHeight="1">
      <c r="A38" s="35" t="s">
        <v>170</v>
      </c>
      <c r="B38" s="31"/>
      <c r="C38" s="32" t="s">
        <v>167</v>
      </c>
      <c r="D38" s="32" t="s">
        <v>237</v>
      </c>
      <c r="E38" s="32" t="s">
        <v>171</v>
      </c>
      <c r="F38" s="36"/>
      <c r="G38" s="34">
        <f>SUM(G39+G41)</f>
        <v>3780.3999999999996</v>
      </c>
      <c r="H38" s="34">
        <f>SUM(H39+H41)</f>
        <v>3743.8999999999996</v>
      </c>
      <c r="I38" s="34">
        <f t="shared" si="0"/>
        <v>99.03449370436991</v>
      </c>
    </row>
    <row r="39" spans="1:9" ht="19.5" customHeight="1">
      <c r="A39" s="35" t="s">
        <v>178</v>
      </c>
      <c r="B39" s="31"/>
      <c r="C39" s="32" t="s">
        <v>167</v>
      </c>
      <c r="D39" s="32" t="s">
        <v>237</v>
      </c>
      <c r="E39" s="32" t="s">
        <v>180</v>
      </c>
      <c r="F39" s="36"/>
      <c r="G39" s="34">
        <f t="shared" si="2"/>
        <v>3076.3999999999996</v>
      </c>
      <c r="H39" s="34">
        <f t="shared" si="2"/>
        <v>3043.2</v>
      </c>
      <c r="I39" s="34">
        <f t="shared" si="0"/>
        <v>98.92081653881161</v>
      </c>
    </row>
    <row r="40" spans="1:9" ht="28.5">
      <c r="A40" s="35" t="s">
        <v>174</v>
      </c>
      <c r="B40" s="31"/>
      <c r="C40" s="32" t="s">
        <v>167</v>
      </c>
      <c r="D40" s="32" t="s">
        <v>237</v>
      </c>
      <c r="E40" s="32" t="s">
        <v>180</v>
      </c>
      <c r="F40" s="33" t="s">
        <v>175</v>
      </c>
      <c r="G40" s="34">
        <f>4096.2-35.8-785.5+5.1-213.6+10</f>
        <v>3076.3999999999996</v>
      </c>
      <c r="H40" s="34">
        <v>3043.2</v>
      </c>
      <c r="I40" s="34">
        <f t="shared" si="0"/>
        <v>98.92081653881161</v>
      </c>
    </row>
    <row r="41" spans="1:9" s="40" customFormat="1" ht="28.5">
      <c r="A41" s="30" t="s">
        <v>240</v>
      </c>
      <c r="B41" s="31"/>
      <c r="C41" s="32" t="s">
        <v>179</v>
      </c>
      <c r="D41" s="32" t="s">
        <v>237</v>
      </c>
      <c r="E41" s="32" t="s">
        <v>241</v>
      </c>
      <c r="F41" s="37"/>
      <c r="G41" s="34">
        <f t="shared" si="2"/>
        <v>704</v>
      </c>
      <c r="H41" s="34">
        <f t="shared" si="2"/>
        <v>700.7</v>
      </c>
      <c r="I41" s="34">
        <f t="shared" si="0"/>
        <v>99.53125</v>
      </c>
    </row>
    <row r="42" spans="1:9" s="40" customFormat="1" ht="32.25" customHeight="1">
      <c r="A42" s="35" t="s">
        <v>174</v>
      </c>
      <c r="B42" s="31"/>
      <c r="C42" s="32" t="s">
        <v>179</v>
      </c>
      <c r="D42" s="32" t="s">
        <v>237</v>
      </c>
      <c r="E42" s="32" t="s">
        <v>241</v>
      </c>
      <c r="F42" s="33" t="s">
        <v>175</v>
      </c>
      <c r="G42" s="34">
        <f>782.4-68.4-10</f>
        <v>704</v>
      </c>
      <c r="H42" s="34">
        <v>700.7</v>
      </c>
      <c r="I42" s="34">
        <f t="shared" si="0"/>
        <v>99.53125</v>
      </c>
    </row>
    <row r="43" spans="1:9" ht="21" customHeight="1">
      <c r="A43" s="204" t="s">
        <v>1047</v>
      </c>
      <c r="B43" s="123" t="s">
        <v>1048</v>
      </c>
      <c r="C43" s="58"/>
      <c r="D43" s="58"/>
      <c r="E43" s="58"/>
      <c r="F43" s="205"/>
      <c r="G43" s="203">
        <f>SUM(G44+G90+G116+G141+G265+G284+G322+G351+G310)</f>
        <v>922505.002</v>
      </c>
      <c r="H43" s="203">
        <f>SUM(H44+H90+H116+H141+H265+H284+H322+H351+H310)</f>
        <v>915969.0019999999</v>
      </c>
      <c r="I43" s="57">
        <f t="shared" si="0"/>
        <v>99.29149435658017</v>
      </c>
    </row>
    <row r="44" spans="1:9" ht="15">
      <c r="A44" s="30" t="s">
        <v>166</v>
      </c>
      <c r="B44" s="31"/>
      <c r="C44" s="32" t="s">
        <v>167</v>
      </c>
      <c r="D44" s="32"/>
      <c r="E44" s="32"/>
      <c r="F44" s="33"/>
      <c r="G44" s="34">
        <f>SUM(G45+G63+G67+G56+G59)</f>
        <v>94220.40000000002</v>
      </c>
      <c r="H44" s="34">
        <f>SUM(H45+H63+H67+H56+H59)</f>
        <v>93372.00000000003</v>
      </c>
      <c r="I44" s="34">
        <f t="shared" si="0"/>
        <v>99.09955805749074</v>
      </c>
    </row>
    <row r="45" spans="1:9" ht="42.75">
      <c r="A45" s="35" t="s">
        <v>218</v>
      </c>
      <c r="B45" s="31"/>
      <c r="C45" s="32" t="s">
        <v>167</v>
      </c>
      <c r="D45" s="32" t="s">
        <v>201</v>
      </c>
      <c r="E45" s="32"/>
      <c r="F45" s="33"/>
      <c r="G45" s="34">
        <f>SUM(G46)</f>
        <v>77800.10000000002</v>
      </c>
      <c r="H45" s="34">
        <f>SUM(H46)</f>
        <v>77001.10000000002</v>
      </c>
      <c r="I45" s="34">
        <f t="shared" si="0"/>
        <v>98.97300903212208</v>
      </c>
    </row>
    <row r="46" spans="1:9" ht="43.5" customHeight="1">
      <c r="A46" s="35" t="s">
        <v>170</v>
      </c>
      <c r="B46" s="31"/>
      <c r="C46" s="32" t="s">
        <v>167</v>
      </c>
      <c r="D46" s="32" t="s">
        <v>201</v>
      </c>
      <c r="E46" s="32" t="s">
        <v>171</v>
      </c>
      <c r="F46" s="36"/>
      <c r="G46" s="34">
        <f>SUM(G47+G53)</f>
        <v>77800.10000000002</v>
      </c>
      <c r="H46" s="34">
        <f>SUM(H47+H53)</f>
        <v>77001.10000000002</v>
      </c>
      <c r="I46" s="34">
        <f t="shared" si="0"/>
        <v>98.97300903212208</v>
      </c>
    </row>
    <row r="47" spans="1:9" ht="14.25" customHeight="1">
      <c r="A47" s="35" t="s">
        <v>178</v>
      </c>
      <c r="B47" s="31"/>
      <c r="C47" s="32" t="s">
        <v>167</v>
      </c>
      <c r="D47" s="32" t="s">
        <v>201</v>
      </c>
      <c r="E47" s="32" t="s">
        <v>180</v>
      </c>
      <c r="F47" s="36"/>
      <c r="G47" s="34">
        <f>SUM(G48:G48+G49+G51+G52)+G50</f>
        <v>76904.30000000002</v>
      </c>
      <c r="H47" s="34">
        <f>SUM(H48:H48+H49+H51+H52)+H50</f>
        <v>76105.50000000001</v>
      </c>
      <c r="I47" s="34">
        <f t="shared" si="0"/>
        <v>98.96130645490564</v>
      </c>
    </row>
    <row r="48" spans="1:9" ht="29.25" customHeight="1">
      <c r="A48" s="35" t="s">
        <v>174</v>
      </c>
      <c r="B48" s="31"/>
      <c r="C48" s="32" t="s">
        <v>167</v>
      </c>
      <c r="D48" s="32" t="s">
        <v>201</v>
      </c>
      <c r="E48" s="32" t="s">
        <v>180</v>
      </c>
      <c r="F48" s="33" t="s">
        <v>175</v>
      </c>
      <c r="G48" s="34">
        <f>88617.4-2306.5-1487.3-55.2-9873+8.6-377.8+112.1</f>
        <v>74638.3</v>
      </c>
      <c r="H48" s="34">
        <v>73940.7</v>
      </c>
      <c r="I48" s="34">
        <f t="shared" si="0"/>
        <v>99.06535920566249</v>
      </c>
    </row>
    <row r="49" spans="1:9" ht="42.75">
      <c r="A49" s="35" t="s">
        <v>219</v>
      </c>
      <c r="B49" s="31"/>
      <c r="C49" s="32" t="s">
        <v>167</v>
      </c>
      <c r="D49" s="32" t="s">
        <v>201</v>
      </c>
      <c r="E49" s="32" t="s">
        <v>220</v>
      </c>
      <c r="F49" s="33" t="s">
        <v>175</v>
      </c>
      <c r="G49" s="34">
        <v>734.1</v>
      </c>
      <c r="H49" s="34">
        <v>734.1</v>
      </c>
      <c r="I49" s="34">
        <f t="shared" si="0"/>
        <v>100</v>
      </c>
    </row>
    <row r="50" spans="1:9" ht="57">
      <c r="A50" s="35" t="s">
        <v>221</v>
      </c>
      <c r="B50" s="31"/>
      <c r="C50" s="32" t="s">
        <v>167</v>
      </c>
      <c r="D50" s="32" t="s">
        <v>201</v>
      </c>
      <c r="E50" s="32" t="s">
        <v>222</v>
      </c>
      <c r="F50" s="33" t="s">
        <v>175</v>
      </c>
      <c r="G50" s="34">
        <v>1487.3</v>
      </c>
      <c r="H50" s="34">
        <v>1386.1</v>
      </c>
      <c r="I50" s="34">
        <f t="shared" si="0"/>
        <v>93.19572379479594</v>
      </c>
    </row>
    <row r="51" spans="1:9" ht="72" customHeight="1">
      <c r="A51" s="35" t="s">
        <v>223</v>
      </c>
      <c r="B51" s="31"/>
      <c r="C51" s="32" t="s">
        <v>167</v>
      </c>
      <c r="D51" s="32" t="s">
        <v>201</v>
      </c>
      <c r="E51" s="32" t="s">
        <v>224</v>
      </c>
      <c r="F51" s="33" t="s">
        <v>175</v>
      </c>
      <c r="G51" s="34">
        <v>44.6</v>
      </c>
      <c r="H51" s="34">
        <v>44.6</v>
      </c>
      <c r="I51" s="34">
        <f t="shared" si="0"/>
        <v>100</v>
      </c>
    </row>
    <row r="52" spans="1:9" ht="42.75" customHeight="1" hidden="1">
      <c r="A52" s="35" t="s">
        <v>225</v>
      </c>
      <c r="B52" s="31"/>
      <c r="C52" s="32" t="s">
        <v>167</v>
      </c>
      <c r="D52" s="32" t="s">
        <v>201</v>
      </c>
      <c r="E52" s="32" t="s">
        <v>226</v>
      </c>
      <c r="F52" s="33" t="s">
        <v>175</v>
      </c>
      <c r="G52" s="34">
        <v>0</v>
      </c>
      <c r="H52" s="34">
        <v>0</v>
      </c>
      <c r="I52" s="34" t="e">
        <f t="shared" si="0"/>
        <v>#DIV/0!</v>
      </c>
    </row>
    <row r="53" spans="1:9" s="40" customFormat="1" ht="27" customHeight="1">
      <c r="A53" s="35" t="s">
        <v>227</v>
      </c>
      <c r="B53" s="31"/>
      <c r="C53" s="32" t="s">
        <v>179</v>
      </c>
      <c r="D53" s="32" t="s">
        <v>201</v>
      </c>
      <c r="E53" s="32" t="s">
        <v>228</v>
      </c>
      <c r="F53" s="36"/>
      <c r="G53" s="34">
        <f>SUM(G54)</f>
        <v>895.8</v>
      </c>
      <c r="H53" s="34">
        <f>SUM(H54)</f>
        <v>895.6</v>
      </c>
      <c r="I53" s="34">
        <f t="shared" si="0"/>
        <v>99.97767358785444</v>
      </c>
    </row>
    <row r="54" spans="1:9" s="40" customFormat="1" ht="27" customHeight="1">
      <c r="A54" s="35" t="s">
        <v>174</v>
      </c>
      <c r="B54" s="31"/>
      <c r="C54" s="32" t="s">
        <v>167</v>
      </c>
      <c r="D54" s="32" t="s">
        <v>201</v>
      </c>
      <c r="E54" s="32" t="s">
        <v>228</v>
      </c>
      <c r="F54" s="33" t="s">
        <v>175</v>
      </c>
      <c r="G54" s="34">
        <f>842.5+53.3</f>
        <v>895.8</v>
      </c>
      <c r="H54" s="34">
        <v>895.6</v>
      </c>
      <c r="I54" s="34">
        <f t="shared" si="0"/>
        <v>99.97767358785444</v>
      </c>
    </row>
    <row r="55" spans="1:9" s="40" customFormat="1" ht="15.75" customHeight="1" hidden="1">
      <c r="A55" s="30" t="s">
        <v>229</v>
      </c>
      <c r="B55" s="31"/>
      <c r="C55" s="32" t="s">
        <v>179</v>
      </c>
      <c r="D55" s="32" t="s">
        <v>201</v>
      </c>
      <c r="E55" s="32" t="s">
        <v>230</v>
      </c>
      <c r="F55" s="33" t="s">
        <v>231</v>
      </c>
      <c r="G55" s="34"/>
      <c r="H55" s="34"/>
      <c r="I55" s="34" t="e">
        <f t="shared" si="0"/>
        <v>#DIV/0!</v>
      </c>
    </row>
    <row r="56" spans="1:9" s="40" customFormat="1" ht="15.75" customHeight="1" hidden="1">
      <c r="A56" s="35" t="s">
        <v>232</v>
      </c>
      <c r="B56" s="31"/>
      <c r="C56" s="32" t="s">
        <v>167</v>
      </c>
      <c r="D56" s="32" t="s">
        <v>233</v>
      </c>
      <c r="E56" s="32"/>
      <c r="F56" s="36"/>
      <c r="G56" s="34">
        <f>SUM(G57)</f>
        <v>0</v>
      </c>
      <c r="H56" s="34">
        <f>SUM(H57)</f>
        <v>0</v>
      </c>
      <c r="I56" s="34" t="e">
        <f t="shared" si="0"/>
        <v>#DIV/0!</v>
      </c>
    </row>
    <row r="57" spans="1:9" ht="42" customHeight="1" hidden="1">
      <c r="A57" s="49" t="s">
        <v>234</v>
      </c>
      <c r="B57" s="31"/>
      <c r="C57" s="32" t="s">
        <v>167</v>
      </c>
      <c r="D57" s="32" t="s">
        <v>233</v>
      </c>
      <c r="E57" s="32" t="s">
        <v>235</v>
      </c>
      <c r="F57" s="36"/>
      <c r="G57" s="34">
        <f>SUM(G58)</f>
        <v>0</v>
      </c>
      <c r="H57" s="34">
        <f>SUM(H58)</f>
        <v>0</v>
      </c>
      <c r="I57" s="34" t="e">
        <f t="shared" si="0"/>
        <v>#DIV/0!</v>
      </c>
    </row>
    <row r="58" spans="1:9" ht="33" customHeight="1" hidden="1">
      <c r="A58" s="35" t="s">
        <v>174</v>
      </c>
      <c r="B58" s="31"/>
      <c r="C58" s="32" t="s">
        <v>167</v>
      </c>
      <c r="D58" s="32" t="s">
        <v>233</v>
      </c>
      <c r="E58" s="32" t="s">
        <v>235</v>
      </c>
      <c r="F58" s="33" t="s">
        <v>175</v>
      </c>
      <c r="G58" s="34"/>
      <c r="H58" s="34"/>
      <c r="I58" s="34" t="e">
        <f t="shared" si="0"/>
        <v>#DIV/0!</v>
      </c>
    </row>
    <row r="59" spans="1:9" ht="18.75" customHeight="1">
      <c r="A59" s="30" t="s">
        <v>1049</v>
      </c>
      <c r="B59" s="31"/>
      <c r="C59" s="32" t="s">
        <v>167</v>
      </c>
      <c r="D59" s="32" t="s">
        <v>237</v>
      </c>
      <c r="E59" s="32"/>
      <c r="F59" s="33"/>
      <c r="G59" s="34">
        <f aca="true" t="shared" si="3" ref="G59:H61">SUM(G60)</f>
        <v>105</v>
      </c>
      <c r="H59" s="34">
        <f t="shared" si="3"/>
        <v>105</v>
      </c>
      <c r="I59" s="34">
        <f t="shared" si="0"/>
        <v>100</v>
      </c>
    </row>
    <row r="60" spans="1:9" ht="14.25" customHeight="1">
      <c r="A60" s="30" t="s">
        <v>170</v>
      </c>
      <c r="B60" s="31"/>
      <c r="C60" s="32" t="s">
        <v>167</v>
      </c>
      <c r="D60" s="32" t="s">
        <v>237</v>
      </c>
      <c r="E60" s="32" t="s">
        <v>171</v>
      </c>
      <c r="F60" s="33"/>
      <c r="G60" s="34">
        <f t="shared" si="3"/>
        <v>105</v>
      </c>
      <c r="H60" s="34">
        <f t="shared" si="3"/>
        <v>105</v>
      </c>
      <c r="I60" s="34">
        <f t="shared" si="0"/>
        <v>100</v>
      </c>
    </row>
    <row r="61" spans="1:9" ht="19.5" customHeight="1">
      <c r="A61" s="30" t="s">
        <v>178</v>
      </c>
      <c r="B61" s="31"/>
      <c r="C61" s="32" t="s">
        <v>167</v>
      </c>
      <c r="D61" s="32" t="s">
        <v>237</v>
      </c>
      <c r="E61" s="32" t="s">
        <v>180</v>
      </c>
      <c r="F61" s="33"/>
      <c r="G61" s="34">
        <f t="shared" si="3"/>
        <v>105</v>
      </c>
      <c r="H61" s="34">
        <f t="shared" si="3"/>
        <v>105</v>
      </c>
      <c r="I61" s="34">
        <f t="shared" si="0"/>
        <v>100</v>
      </c>
    </row>
    <row r="62" spans="1:9" ht="27.75" customHeight="1">
      <c r="A62" s="35" t="s">
        <v>174</v>
      </c>
      <c r="B62" s="31"/>
      <c r="C62" s="32" t="s">
        <v>179</v>
      </c>
      <c r="D62" s="32" t="s">
        <v>237</v>
      </c>
      <c r="E62" s="32" t="s">
        <v>180</v>
      </c>
      <c r="F62" s="37" t="s">
        <v>175</v>
      </c>
      <c r="G62" s="34">
        <v>105</v>
      </c>
      <c r="H62" s="34">
        <v>105</v>
      </c>
      <c r="I62" s="34">
        <f t="shared" si="0"/>
        <v>100</v>
      </c>
    </row>
    <row r="63" spans="1:9" ht="20.25" customHeight="1" hidden="1">
      <c r="A63" s="51" t="s">
        <v>242</v>
      </c>
      <c r="B63" s="47"/>
      <c r="C63" s="48" t="s">
        <v>167</v>
      </c>
      <c r="D63" s="48" t="s">
        <v>190</v>
      </c>
      <c r="E63" s="48"/>
      <c r="F63" s="36"/>
      <c r="G63" s="34">
        <f>SUM(G64)</f>
        <v>0</v>
      </c>
      <c r="H63" s="34">
        <f>SUM(H64)</f>
        <v>0</v>
      </c>
      <c r="I63" s="34" t="e">
        <f t="shared" si="0"/>
        <v>#DIV/0!</v>
      </c>
    </row>
    <row r="64" spans="1:9" ht="18.75" customHeight="1" hidden="1">
      <c r="A64" s="51" t="s">
        <v>242</v>
      </c>
      <c r="B64" s="47"/>
      <c r="C64" s="48" t="s">
        <v>167</v>
      </c>
      <c r="D64" s="48" t="s">
        <v>190</v>
      </c>
      <c r="E64" s="48" t="s">
        <v>243</v>
      </c>
      <c r="F64" s="36"/>
      <c r="G64" s="34">
        <f>SUM(G65:G65)</f>
        <v>0</v>
      </c>
      <c r="H64" s="34">
        <f>SUM(H65:H65)</f>
        <v>0</v>
      </c>
      <c r="I64" s="34" t="e">
        <f t="shared" si="0"/>
        <v>#DIV/0!</v>
      </c>
    </row>
    <row r="65" spans="1:9" ht="28.5" hidden="1">
      <c r="A65" s="30" t="s">
        <v>244</v>
      </c>
      <c r="B65" s="47"/>
      <c r="C65" s="48" t="s">
        <v>167</v>
      </c>
      <c r="D65" s="48" t="s">
        <v>190</v>
      </c>
      <c r="E65" s="48" t="s">
        <v>245</v>
      </c>
      <c r="F65" s="36"/>
      <c r="G65" s="34">
        <f>SUM(G66:G66)</f>
        <v>0</v>
      </c>
      <c r="H65" s="34">
        <f>SUM(H66:H66)</f>
        <v>0</v>
      </c>
      <c r="I65" s="34" t="e">
        <f t="shared" si="0"/>
        <v>#DIV/0!</v>
      </c>
    </row>
    <row r="66" spans="1:9" ht="28.5" hidden="1">
      <c r="A66" s="35" t="s">
        <v>174</v>
      </c>
      <c r="B66" s="47"/>
      <c r="C66" s="48" t="s">
        <v>167</v>
      </c>
      <c r="D66" s="48" t="s">
        <v>190</v>
      </c>
      <c r="E66" s="48" t="s">
        <v>245</v>
      </c>
      <c r="F66" s="36" t="s">
        <v>175</v>
      </c>
      <c r="G66" s="34"/>
      <c r="H66" s="34"/>
      <c r="I66" s="34" t="e">
        <f t="shared" si="0"/>
        <v>#DIV/0!</v>
      </c>
    </row>
    <row r="67" spans="1:9" ht="18.75" customHeight="1">
      <c r="A67" s="35" t="s">
        <v>183</v>
      </c>
      <c r="B67" s="31"/>
      <c r="C67" s="32" t="s">
        <v>167</v>
      </c>
      <c r="D67" s="32" t="s">
        <v>258</v>
      </c>
      <c r="E67" s="32"/>
      <c r="F67" s="36"/>
      <c r="G67" s="34">
        <f>SUM(G68+G74+G77+G80+G83+G86+G71)</f>
        <v>16315.3</v>
      </c>
      <c r="H67" s="34">
        <f>SUM(H68+H74+H77+H80+H83+H86+H71)</f>
        <v>16265.900000000001</v>
      </c>
      <c r="I67" s="34">
        <f t="shared" si="0"/>
        <v>99.69721672295331</v>
      </c>
    </row>
    <row r="68" spans="1:9" ht="28.5">
      <c r="A68" s="30" t="s">
        <v>259</v>
      </c>
      <c r="B68" s="31"/>
      <c r="C68" s="32" t="s">
        <v>167</v>
      </c>
      <c r="D68" s="32" t="s">
        <v>258</v>
      </c>
      <c r="E68" s="32" t="s">
        <v>260</v>
      </c>
      <c r="F68" s="33"/>
      <c r="G68" s="34">
        <f>SUM(G69)</f>
        <v>5089.3</v>
      </c>
      <c r="H68" s="34">
        <f>SUM(H69)</f>
        <v>5089.3</v>
      </c>
      <c r="I68" s="34">
        <f t="shared" si="0"/>
        <v>100</v>
      </c>
    </row>
    <row r="69" spans="1:9" ht="28.5">
      <c r="A69" s="30" t="s">
        <v>261</v>
      </c>
      <c r="B69" s="31"/>
      <c r="C69" s="32" t="s">
        <v>167</v>
      </c>
      <c r="D69" s="32" t="s">
        <v>258</v>
      </c>
      <c r="E69" s="32" t="s">
        <v>262</v>
      </c>
      <c r="F69" s="33"/>
      <c r="G69" s="34">
        <f>SUM(G70)</f>
        <v>5089.3</v>
      </c>
      <c r="H69" s="34">
        <f>SUM(H70)</f>
        <v>5089.3</v>
      </c>
      <c r="I69" s="34">
        <f t="shared" si="0"/>
        <v>100</v>
      </c>
    </row>
    <row r="70" spans="1:9" ht="27" customHeight="1">
      <c r="A70" s="35" t="s">
        <v>174</v>
      </c>
      <c r="B70" s="31"/>
      <c r="C70" s="32" t="s">
        <v>167</v>
      </c>
      <c r="D70" s="32" t="s">
        <v>258</v>
      </c>
      <c r="E70" s="32" t="s">
        <v>262</v>
      </c>
      <c r="F70" s="33" t="s">
        <v>175</v>
      </c>
      <c r="G70" s="34">
        <f>3937.6+1151.7</f>
        <v>5089.3</v>
      </c>
      <c r="H70" s="34">
        <f>3937.6+1151.7</f>
        <v>5089.3</v>
      </c>
      <c r="I70" s="34">
        <f t="shared" si="0"/>
        <v>100</v>
      </c>
    </row>
    <row r="71" spans="1:9" ht="31.5" customHeight="1" hidden="1">
      <c r="A71" s="30" t="s">
        <v>253</v>
      </c>
      <c r="B71" s="31"/>
      <c r="C71" s="32" t="s">
        <v>167</v>
      </c>
      <c r="D71" s="32" t="s">
        <v>258</v>
      </c>
      <c r="E71" s="32" t="s">
        <v>230</v>
      </c>
      <c r="F71" s="33"/>
      <c r="G71" s="34">
        <f>SUM(G73)</f>
        <v>443.2</v>
      </c>
      <c r="H71" s="34">
        <f>SUM(H73)</f>
        <v>443.2</v>
      </c>
      <c r="I71" s="34">
        <f t="shared" si="0"/>
        <v>100</v>
      </c>
    </row>
    <row r="72" spans="1:9" ht="19.5" customHeight="1">
      <c r="A72" s="30" t="s">
        <v>255</v>
      </c>
      <c r="B72" s="31"/>
      <c r="C72" s="32" t="s">
        <v>167</v>
      </c>
      <c r="D72" s="32" t="s">
        <v>258</v>
      </c>
      <c r="E72" s="32" t="s">
        <v>256</v>
      </c>
      <c r="F72" s="33"/>
      <c r="G72" s="34">
        <f>SUM(G73)</f>
        <v>443.2</v>
      </c>
      <c r="H72" s="34">
        <f>SUM(H73)</f>
        <v>443.2</v>
      </c>
      <c r="I72" s="34">
        <f t="shared" si="0"/>
        <v>100</v>
      </c>
    </row>
    <row r="73" spans="1:9" ht="32.25" customHeight="1">
      <c r="A73" s="35" t="s">
        <v>174</v>
      </c>
      <c r="B73" s="31"/>
      <c r="C73" s="32" t="s">
        <v>167</v>
      </c>
      <c r="D73" s="32" t="s">
        <v>258</v>
      </c>
      <c r="E73" s="32" t="s">
        <v>256</v>
      </c>
      <c r="F73" s="33" t="s">
        <v>175</v>
      </c>
      <c r="G73" s="34">
        <v>443.2</v>
      </c>
      <c r="H73" s="34">
        <v>443.2</v>
      </c>
      <c r="I73" s="34">
        <f t="shared" si="0"/>
        <v>100</v>
      </c>
    </row>
    <row r="74" spans="1:9" ht="46.5" customHeight="1">
      <c r="A74" s="49" t="s">
        <v>267</v>
      </c>
      <c r="B74" s="31"/>
      <c r="C74" s="32" t="s">
        <v>167</v>
      </c>
      <c r="D74" s="32" t="s">
        <v>258</v>
      </c>
      <c r="E74" s="32" t="s">
        <v>197</v>
      </c>
      <c r="F74" s="33"/>
      <c r="G74" s="34">
        <f>SUM(G75)</f>
        <v>5271.799999999999</v>
      </c>
      <c r="H74" s="34">
        <f>SUM(H75)</f>
        <v>5219.4</v>
      </c>
      <c r="I74" s="34">
        <f t="shared" si="0"/>
        <v>99.00603209529952</v>
      </c>
    </row>
    <row r="75" spans="1:9" ht="28.5" customHeight="1">
      <c r="A75" s="49" t="s">
        <v>198</v>
      </c>
      <c r="B75" s="31"/>
      <c r="C75" s="32" t="s">
        <v>167</v>
      </c>
      <c r="D75" s="32" t="s">
        <v>258</v>
      </c>
      <c r="E75" s="32" t="s">
        <v>268</v>
      </c>
      <c r="F75" s="33"/>
      <c r="G75" s="34">
        <f>SUM(G76)</f>
        <v>5271.799999999999</v>
      </c>
      <c r="H75" s="34">
        <f>SUM(H76)</f>
        <v>5219.4</v>
      </c>
      <c r="I75" s="34">
        <f t="shared" si="0"/>
        <v>99.00603209529952</v>
      </c>
    </row>
    <row r="76" spans="1:9" ht="26.25" customHeight="1">
      <c r="A76" s="35" t="s">
        <v>174</v>
      </c>
      <c r="B76" s="31"/>
      <c r="C76" s="32" t="s">
        <v>167</v>
      </c>
      <c r="D76" s="32" t="s">
        <v>258</v>
      </c>
      <c r="E76" s="32" t="s">
        <v>268</v>
      </c>
      <c r="F76" s="33" t="s">
        <v>175</v>
      </c>
      <c r="G76" s="34">
        <f>6953.2-21.7-22.8-1145.2-103.1-388.6</f>
        <v>5271.799999999999</v>
      </c>
      <c r="H76" s="34">
        <v>5219.4</v>
      </c>
      <c r="I76" s="34">
        <f t="shared" si="0"/>
        <v>99.00603209529952</v>
      </c>
    </row>
    <row r="77" spans="1:9" ht="33" customHeight="1">
      <c r="A77" s="35" t="s">
        <v>185</v>
      </c>
      <c r="B77" s="31"/>
      <c r="C77" s="32" t="s">
        <v>167</v>
      </c>
      <c r="D77" s="32" t="s">
        <v>258</v>
      </c>
      <c r="E77" s="32" t="s">
        <v>186</v>
      </c>
      <c r="F77" s="37"/>
      <c r="G77" s="34">
        <f>SUM(G78)</f>
        <v>1030.6</v>
      </c>
      <c r="H77" s="34">
        <f>SUM(H78)</f>
        <v>1033.6</v>
      </c>
      <c r="I77" s="34">
        <f t="shared" si="0"/>
        <v>100.29109256743645</v>
      </c>
    </row>
    <row r="78" spans="1:9" ht="16.5" customHeight="1">
      <c r="A78" s="35" t="s">
        <v>187</v>
      </c>
      <c r="B78" s="31"/>
      <c r="C78" s="32" t="s">
        <v>167</v>
      </c>
      <c r="D78" s="32" t="s">
        <v>258</v>
      </c>
      <c r="E78" s="32" t="s">
        <v>269</v>
      </c>
      <c r="F78" s="37"/>
      <c r="G78" s="34">
        <f>SUM(G79)</f>
        <v>1030.6</v>
      </c>
      <c r="H78" s="34">
        <f>SUM(H79)</f>
        <v>1033.6</v>
      </c>
      <c r="I78" s="34">
        <f t="shared" si="0"/>
        <v>100.29109256743645</v>
      </c>
    </row>
    <row r="79" spans="1:9" ht="27" customHeight="1">
      <c r="A79" s="35" t="s">
        <v>174</v>
      </c>
      <c r="B79" s="31"/>
      <c r="C79" s="32" t="s">
        <v>167</v>
      </c>
      <c r="D79" s="32" t="s">
        <v>258</v>
      </c>
      <c r="E79" s="32" t="s">
        <v>269</v>
      </c>
      <c r="F79" s="37" t="s">
        <v>175</v>
      </c>
      <c r="G79" s="34">
        <f>1250+60-225.5-53.9</f>
        <v>1030.6</v>
      </c>
      <c r="H79" s="34">
        <v>1033.6</v>
      </c>
      <c r="I79" s="34">
        <f t="shared" si="0"/>
        <v>100.29109256743645</v>
      </c>
    </row>
    <row r="80" spans="1:9" ht="42.75" hidden="1">
      <c r="A80" s="46" t="s">
        <v>270</v>
      </c>
      <c r="B80" s="31"/>
      <c r="C80" s="32" t="s">
        <v>167</v>
      </c>
      <c r="D80" s="32" t="s">
        <v>258</v>
      </c>
      <c r="E80" s="32" t="s">
        <v>215</v>
      </c>
      <c r="F80" s="33"/>
      <c r="G80" s="34">
        <f>SUM(G82)</f>
        <v>0</v>
      </c>
      <c r="H80" s="34">
        <f>SUM(H82)</f>
        <v>0</v>
      </c>
      <c r="I80" s="34" t="e">
        <f aca="true" t="shared" si="4" ref="I80:I143">SUM(H80/G80*100)</f>
        <v>#DIV/0!</v>
      </c>
    </row>
    <row r="81" spans="1:9" ht="42.75" hidden="1">
      <c r="A81" s="46" t="s">
        <v>271</v>
      </c>
      <c r="B81" s="31"/>
      <c r="C81" s="32" t="s">
        <v>167</v>
      </c>
      <c r="D81" s="32" t="s">
        <v>258</v>
      </c>
      <c r="E81" s="32" t="s">
        <v>272</v>
      </c>
      <c r="F81" s="33"/>
      <c r="G81" s="34">
        <f>SUM(G82)</f>
        <v>0</v>
      </c>
      <c r="H81" s="34">
        <f>SUM(H82)</f>
        <v>0</v>
      </c>
      <c r="I81" s="34" t="e">
        <f t="shared" si="4"/>
        <v>#DIV/0!</v>
      </c>
    </row>
    <row r="82" spans="1:9" ht="15" hidden="1">
      <c r="A82" s="46" t="s">
        <v>273</v>
      </c>
      <c r="B82" s="31"/>
      <c r="C82" s="32" t="s">
        <v>167</v>
      </c>
      <c r="D82" s="32" t="s">
        <v>258</v>
      </c>
      <c r="E82" s="32" t="s">
        <v>272</v>
      </c>
      <c r="F82" s="33" t="s">
        <v>274</v>
      </c>
      <c r="G82" s="34"/>
      <c r="H82" s="34"/>
      <c r="I82" s="34" t="e">
        <f t="shared" si="4"/>
        <v>#DIV/0!</v>
      </c>
    </row>
    <row r="83" spans="1:9" ht="28.5">
      <c r="A83" s="30" t="s">
        <v>275</v>
      </c>
      <c r="B83" s="31"/>
      <c r="C83" s="32" t="s">
        <v>167</v>
      </c>
      <c r="D83" s="32" t="s">
        <v>258</v>
      </c>
      <c r="E83" s="48" t="s">
        <v>276</v>
      </c>
      <c r="F83" s="36"/>
      <c r="G83" s="34">
        <f>SUM(G84)</f>
        <v>1902.8</v>
      </c>
      <c r="H83" s="34">
        <f>SUM(H84)</f>
        <v>1902.8</v>
      </c>
      <c r="I83" s="34">
        <f t="shared" si="4"/>
        <v>100</v>
      </c>
    </row>
    <row r="84" spans="1:9" ht="28.5">
      <c r="A84" s="35" t="s">
        <v>263</v>
      </c>
      <c r="B84" s="31"/>
      <c r="C84" s="32" t="s">
        <v>167</v>
      </c>
      <c r="D84" s="32" t="s">
        <v>258</v>
      </c>
      <c r="E84" s="48" t="s">
        <v>277</v>
      </c>
      <c r="F84" s="36"/>
      <c r="G84" s="34">
        <f>SUM(G85)</f>
        <v>1902.8</v>
      </c>
      <c r="H84" s="34">
        <f>SUM(H85)</f>
        <v>1902.8</v>
      </c>
      <c r="I84" s="34">
        <f t="shared" si="4"/>
        <v>100</v>
      </c>
    </row>
    <row r="85" spans="1:9" ht="19.5" customHeight="1">
      <c r="A85" s="52" t="s">
        <v>265</v>
      </c>
      <c r="B85" s="31"/>
      <c r="C85" s="32" t="s">
        <v>167</v>
      </c>
      <c r="D85" s="32" t="s">
        <v>258</v>
      </c>
      <c r="E85" s="48" t="s">
        <v>277</v>
      </c>
      <c r="F85" s="36" t="s">
        <v>266</v>
      </c>
      <c r="G85" s="34">
        <f>1791.9+165.3+55.3-116+6.3</f>
        <v>1902.8</v>
      </c>
      <c r="H85" s="34">
        <f>1791.9+165.3+55.3-116+6.3</f>
        <v>1902.8</v>
      </c>
      <c r="I85" s="34">
        <f t="shared" si="4"/>
        <v>100</v>
      </c>
    </row>
    <row r="86" spans="1:9" ht="21.75" customHeight="1">
      <c r="A86" s="45" t="s">
        <v>278</v>
      </c>
      <c r="B86" s="31"/>
      <c r="C86" s="32" t="s">
        <v>167</v>
      </c>
      <c r="D86" s="32" t="s">
        <v>258</v>
      </c>
      <c r="E86" s="32" t="s">
        <v>279</v>
      </c>
      <c r="F86" s="37"/>
      <c r="G86" s="34">
        <f>SUM(G87)</f>
        <v>2577.6</v>
      </c>
      <c r="H86" s="34">
        <f>SUM(H87)</f>
        <v>2577.6</v>
      </c>
      <c r="I86" s="34">
        <f t="shared" si="4"/>
        <v>100</v>
      </c>
    </row>
    <row r="87" spans="1:9" ht="37.5" customHeight="1">
      <c r="A87" s="35" t="s">
        <v>174</v>
      </c>
      <c r="B87" s="31"/>
      <c r="C87" s="32" t="s">
        <v>167</v>
      </c>
      <c r="D87" s="32" t="s">
        <v>258</v>
      </c>
      <c r="E87" s="32" t="s">
        <v>279</v>
      </c>
      <c r="F87" s="37" t="s">
        <v>175</v>
      </c>
      <c r="G87" s="34">
        <f>SUM(G88:G89)</f>
        <v>2577.6</v>
      </c>
      <c r="H87" s="34">
        <f>SUM(H88:H89)</f>
        <v>2577.6</v>
      </c>
      <c r="I87" s="34">
        <f t="shared" si="4"/>
        <v>100</v>
      </c>
    </row>
    <row r="88" spans="1:9" ht="23.25" customHeight="1">
      <c r="A88" s="35" t="s">
        <v>280</v>
      </c>
      <c r="B88" s="31"/>
      <c r="C88" s="32" t="s">
        <v>167</v>
      </c>
      <c r="D88" s="32" t="s">
        <v>258</v>
      </c>
      <c r="E88" s="32" t="s">
        <v>281</v>
      </c>
      <c r="F88" s="37" t="s">
        <v>175</v>
      </c>
      <c r="G88" s="34">
        <f>2687-367.4</f>
        <v>2319.6</v>
      </c>
      <c r="H88" s="34">
        <f>2687-367.4</f>
        <v>2319.6</v>
      </c>
      <c r="I88" s="34">
        <f t="shared" si="4"/>
        <v>100</v>
      </c>
    </row>
    <row r="89" spans="1:9" ht="29.25" customHeight="1">
      <c r="A89" s="35" t="s">
        <v>282</v>
      </c>
      <c r="B89" s="31"/>
      <c r="C89" s="32" t="s">
        <v>167</v>
      </c>
      <c r="D89" s="32" t="s">
        <v>258</v>
      </c>
      <c r="E89" s="32" t="s">
        <v>283</v>
      </c>
      <c r="F89" s="37" t="s">
        <v>175</v>
      </c>
      <c r="G89" s="34">
        <f>3345.4-3087.4</f>
        <v>258</v>
      </c>
      <c r="H89" s="34">
        <f>3345.4-3087.4</f>
        <v>258</v>
      </c>
      <c r="I89" s="34">
        <f t="shared" si="4"/>
        <v>100</v>
      </c>
    </row>
    <row r="90" spans="1:9" ht="33" customHeight="1">
      <c r="A90" s="30" t="s">
        <v>284</v>
      </c>
      <c r="B90" s="31"/>
      <c r="C90" s="48" t="s">
        <v>177</v>
      </c>
      <c r="D90" s="48"/>
      <c r="E90" s="48"/>
      <c r="F90" s="36"/>
      <c r="G90" s="34">
        <f>SUM(G94)+G91+G112</f>
        <v>27043.6</v>
      </c>
      <c r="H90" s="34">
        <f>SUM(H94)+H91+H112</f>
        <v>27451.199999999997</v>
      </c>
      <c r="I90" s="34">
        <f t="shared" si="4"/>
        <v>101.50719578754308</v>
      </c>
    </row>
    <row r="91" spans="1:9" ht="18.75" customHeight="1" hidden="1">
      <c r="A91" s="30" t="s">
        <v>285</v>
      </c>
      <c r="B91" s="31"/>
      <c r="C91" s="32" t="s">
        <v>177</v>
      </c>
      <c r="D91" s="32" t="s">
        <v>169</v>
      </c>
      <c r="E91" s="32"/>
      <c r="F91" s="36"/>
      <c r="G91" s="34">
        <f>SUM(G92)</f>
        <v>0</v>
      </c>
      <c r="H91" s="34">
        <f>SUM(H92)</f>
        <v>0</v>
      </c>
      <c r="I91" s="34" t="e">
        <f t="shared" si="4"/>
        <v>#DIV/0!</v>
      </c>
    </row>
    <row r="92" spans="1:9" ht="15" hidden="1">
      <c r="A92" s="30" t="s">
        <v>1050</v>
      </c>
      <c r="B92" s="31"/>
      <c r="C92" s="32" t="s">
        <v>177</v>
      </c>
      <c r="D92" s="32" t="s">
        <v>169</v>
      </c>
      <c r="E92" s="58" t="s">
        <v>287</v>
      </c>
      <c r="F92" s="36"/>
      <c r="G92" s="34">
        <f>SUM(G93)</f>
        <v>0</v>
      </c>
      <c r="H92" s="34">
        <f>SUM(H93)</f>
        <v>0</v>
      </c>
      <c r="I92" s="34" t="e">
        <f t="shared" si="4"/>
        <v>#DIV/0!</v>
      </c>
    </row>
    <row r="93" spans="1:9" ht="42.75" hidden="1">
      <c r="A93" s="30" t="s">
        <v>1051</v>
      </c>
      <c r="B93" s="31"/>
      <c r="C93" s="48" t="s">
        <v>177</v>
      </c>
      <c r="D93" s="48" t="s">
        <v>169</v>
      </c>
      <c r="E93" s="48" t="s">
        <v>1052</v>
      </c>
      <c r="F93" s="36" t="s">
        <v>1053</v>
      </c>
      <c r="G93" s="34"/>
      <c r="H93" s="34"/>
      <c r="I93" s="34" t="e">
        <f t="shared" si="4"/>
        <v>#DIV/0!</v>
      </c>
    </row>
    <row r="94" spans="1:9" ht="45.75" customHeight="1">
      <c r="A94" s="49" t="s">
        <v>316</v>
      </c>
      <c r="B94" s="31"/>
      <c r="C94" s="48" t="s">
        <v>177</v>
      </c>
      <c r="D94" s="48" t="s">
        <v>317</v>
      </c>
      <c r="E94" s="48"/>
      <c r="F94" s="36"/>
      <c r="G94" s="34">
        <f>SUM(G98+G103+G106+G109)+G96</f>
        <v>27043.6</v>
      </c>
      <c r="H94" s="34">
        <f>SUM(H98+H103+H106+H109)+H96</f>
        <v>27451.199999999997</v>
      </c>
      <c r="I94" s="34">
        <f t="shared" si="4"/>
        <v>101.50719578754308</v>
      </c>
    </row>
    <row r="95" spans="1:9" s="71" customFormat="1" ht="16.5" customHeight="1" hidden="1">
      <c r="A95" s="30" t="s">
        <v>253</v>
      </c>
      <c r="B95" s="31"/>
      <c r="C95" s="48" t="s">
        <v>177</v>
      </c>
      <c r="D95" s="48" t="s">
        <v>317</v>
      </c>
      <c r="E95" s="48" t="s">
        <v>230</v>
      </c>
      <c r="F95" s="36"/>
      <c r="G95" s="34">
        <f>SUM(G96)</f>
        <v>0</v>
      </c>
      <c r="H95" s="34">
        <f>SUM(H96)</f>
        <v>0</v>
      </c>
      <c r="I95" s="34" t="e">
        <f t="shared" si="4"/>
        <v>#DIV/0!</v>
      </c>
    </row>
    <row r="96" spans="1:9" ht="21.75" customHeight="1" hidden="1">
      <c r="A96" s="30" t="s">
        <v>255</v>
      </c>
      <c r="B96" s="31"/>
      <c r="C96" s="48" t="s">
        <v>177</v>
      </c>
      <c r="D96" s="48" t="s">
        <v>317</v>
      </c>
      <c r="E96" s="48" t="s">
        <v>256</v>
      </c>
      <c r="F96" s="36"/>
      <c r="G96" s="34">
        <f>SUM(G97)</f>
        <v>0</v>
      </c>
      <c r="H96" s="34">
        <f>SUM(H97)</f>
        <v>0</v>
      </c>
      <c r="I96" s="34" t="e">
        <f t="shared" si="4"/>
        <v>#DIV/0!</v>
      </c>
    </row>
    <row r="97" spans="1:9" ht="28.5" hidden="1">
      <c r="A97" s="35" t="s">
        <v>174</v>
      </c>
      <c r="B97" s="31"/>
      <c r="C97" s="48" t="s">
        <v>177</v>
      </c>
      <c r="D97" s="48" t="s">
        <v>317</v>
      </c>
      <c r="E97" s="48" t="s">
        <v>256</v>
      </c>
      <c r="F97" s="36" t="s">
        <v>175</v>
      </c>
      <c r="G97" s="34"/>
      <c r="H97" s="34"/>
      <c r="I97" s="34" t="e">
        <f t="shared" si="4"/>
        <v>#DIV/0!</v>
      </c>
    </row>
    <row r="98" spans="1:9" ht="14.25" customHeight="1">
      <c r="A98" s="49" t="s">
        <v>318</v>
      </c>
      <c r="B98" s="31"/>
      <c r="C98" s="48" t="s">
        <v>177</v>
      </c>
      <c r="D98" s="48" t="s">
        <v>317</v>
      </c>
      <c r="E98" s="48" t="s">
        <v>319</v>
      </c>
      <c r="F98" s="36"/>
      <c r="G98" s="34">
        <f>SUM(G99+G101)</f>
        <v>19457</v>
      </c>
      <c r="H98" s="34">
        <f>SUM(H99+H101)</f>
        <v>19865.1</v>
      </c>
      <c r="I98" s="34">
        <f t="shared" si="4"/>
        <v>102.09744564938067</v>
      </c>
    </row>
    <row r="99" spans="1:9" ht="42.75">
      <c r="A99" s="49" t="s">
        <v>320</v>
      </c>
      <c r="B99" s="31"/>
      <c r="C99" s="48" t="s">
        <v>177</v>
      </c>
      <c r="D99" s="48" t="s">
        <v>317</v>
      </c>
      <c r="E99" s="48" t="s">
        <v>321</v>
      </c>
      <c r="F99" s="36"/>
      <c r="G99" s="34">
        <f>SUM(G100)</f>
        <v>3992.3</v>
      </c>
      <c r="H99" s="34">
        <f>SUM(H100)</f>
        <v>3992.3</v>
      </c>
      <c r="I99" s="34">
        <f t="shared" si="4"/>
        <v>100</v>
      </c>
    </row>
    <row r="100" spans="1:9" ht="28.5">
      <c r="A100" s="35" t="s">
        <v>174</v>
      </c>
      <c r="B100" s="31"/>
      <c r="C100" s="48" t="s">
        <v>177</v>
      </c>
      <c r="D100" s="48" t="s">
        <v>317</v>
      </c>
      <c r="E100" s="48" t="s">
        <v>321</v>
      </c>
      <c r="F100" s="36" t="s">
        <v>175</v>
      </c>
      <c r="G100" s="34">
        <f>3800.5+18+173.8</f>
        <v>3992.3</v>
      </c>
      <c r="H100" s="34">
        <f>3800.5+18+173.8</f>
        <v>3992.3</v>
      </c>
      <c r="I100" s="34">
        <f t="shared" si="4"/>
        <v>100</v>
      </c>
    </row>
    <row r="101" spans="1:9" ht="28.5">
      <c r="A101" s="35" t="s">
        <v>322</v>
      </c>
      <c r="B101" s="31"/>
      <c r="C101" s="48" t="s">
        <v>177</v>
      </c>
      <c r="D101" s="48" t="s">
        <v>317</v>
      </c>
      <c r="E101" s="48" t="s">
        <v>323</v>
      </c>
      <c r="F101" s="48"/>
      <c r="G101" s="34">
        <f>SUM(G102)</f>
        <v>15464.7</v>
      </c>
      <c r="H101" s="34">
        <f>SUM(H102)</f>
        <v>15872.8</v>
      </c>
      <c r="I101" s="34">
        <f t="shared" si="4"/>
        <v>102.63891313766189</v>
      </c>
    </row>
    <row r="102" spans="1:9" ht="15">
      <c r="A102" s="35" t="s">
        <v>251</v>
      </c>
      <c r="B102" s="31"/>
      <c r="C102" s="48" t="s">
        <v>177</v>
      </c>
      <c r="D102" s="48" t="s">
        <v>317</v>
      </c>
      <c r="E102" s="48" t="s">
        <v>323</v>
      </c>
      <c r="F102" s="48" t="s">
        <v>252</v>
      </c>
      <c r="G102" s="34">
        <v>15464.7</v>
      </c>
      <c r="H102" s="34">
        <v>15872.8</v>
      </c>
      <c r="I102" s="34">
        <f t="shared" si="4"/>
        <v>102.63891313766189</v>
      </c>
    </row>
    <row r="103" spans="1:9" ht="15">
      <c r="A103" s="49" t="s">
        <v>324</v>
      </c>
      <c r="B103" s="63"/>
      <c r="C103" s="63" t="s">
        <v>177</v>
      </c>
      <c r="D103" s="63" t="s">
        <v>317</v>
      </c>
      <c r="E103" s="63" t="s">
        <v>325</v>
      </c>
      <c r="F103" s="68"/>
      <c r="G103" s="34">
        <f>SUM(G104)</f>
        <v>294.8</v>
      </c>
      <c r="H103" s="34">
        <f>SUM(H104)</f>
        <v>294.8</v>
      </c>
      <c r="I103" s="34">
        <f t="shared" si="4"/>
        <v>100</v>
      </c>
    </row>
    <row r="104" spans="1:9" ht="27" customHeight="1">
      <c r="A104" s="49" t="s">
        <v>326</v>
      </c>
      <c r="B104" s="63"/>
      <c r="C104" s="64" t="s">
        <v>177</v>
      </c>
      <c r="D104" s="64" t="s">
        <v>317</v>
      </c>
      <c r="E104" s="64" t="s">
        <v>327</v>
      </c>
      <c r="F104" s="65"/>
      <c r="G104" s="34">
        <f>SUM(G105)</f>
        <v>294.8</v>
      </c>
      <c r="H104" s="34">
        <f>SUM(H105)</f>
        <v>294.8</v>
      </c>
      <c r="I104" s="34">
        <f t="shared" si="4"/>
        <v>100</v>
      </c>
    </row>
    <row r="105" spans="1:9" ht="28.5">
      <c r="A105" s="35" t="s">
        <v>174</v>
      </c>
      <c r="B105" s="63"/>
      <c r="C105" s="64" t="s">
        <v>177</v>
      </c>
      <c r="D105" s="64" t="s">
        <v>317</v>
      </c>
      <c r="E105" s="64" t="s">
        <v>327</v>
      </c>
      <c r="F105" s="65" t="s">
        <v>175</v>
      </c>
      <c r="G105" s="34">
        <f>1297.5-10-578-429.5+14.8</f>
        <v>294.8</v>
      </c>
      <c r="H105" s="34">
        <f>1297.5-10-578-429.5+14.8</f>
        <v>294.8</v>
      </c>
      <c r="I105" s="34">
        <f t="shared" si="4"/>
        <v>100</v>
      </c>
    </row>
    <row r="106" spans="1:9" ht="42.75">
      <c r="A106" s="30" t="s">
        <v>328</v>
      </c>
      <c r="B106" s="31"/>
      <c r="C106" s="48" t="s">
        <v>177</v>
      </c>
      <c r="D106" s="48" t="s">
        <v>317</v>
      </c>
      <c r="E106" s="48" t="s">
        <v>329</v>
      </c>
      <c r="F106" s="36"/>
      <c r="G106" s="34">
        <f>SUM(G107)</f>
        <v>7291.8</v>
      </c>
      <c r="H106" s="34">
        <f>SUM(H107)</f>
        <v>7291.3</v>
      </c>
      <c r="I106" s="34">
        <f t="shared" si="4"/>
        <v>99.99314298252831</v>
      </c>
    </row>
    <row r="107" spans="1:9" ht="28.5">
      <c r="A107" s="30" t="s">
        <v>263</v>
      </c>
      <c r="B107" s="31"/>
      <c r="C107" s="48" t="s">
        <v>177</v>
      </c>
      <c r="D107" s="48" t="s">
        <v>317</v>
      </c>
      <c r="E107" s="48" t="s">
        <v>330</v>
      </c>
      <c r="F107" s="36"/>
      <c r="G107" s="34">
        <f>SUM(G108)</f>
        <v>7291.8</v>
      </c>
      <c r="H107" s="34">
        <f>SUM(H108)</f>
        <v>7291.3</v>
      </c>
      <c r="I107" s="34">
        <f t="shared" si="4"/>
        <v>99.99314298252831</v>
      </c>
    </row>
    <row r="108" spans="1:9" ht="18" customHeight="1">
      <c r="A108" s="52" t="s">
        <v>265</v>
      </c>
      <c r="B108" s="69"/>
      <c r="C108" s="70" t="s">
        <v>177</v>
      </c>
      <c r="D108" s="70" t="s">
        <v>317</v>
      </c>
      <c r="E108" s="70" t="s">
        <v>330</v>
      </c>
      <c r="F108" s="37" t="s">
        <v>266</v>
      </c>
      <c r="G108" s="34">
        <f>7302.6+4-14.8</f>
        <v>7291.8</v>
      </c>
      <c r="H108" s="34">
        <v>7291.3</v>
      </c>
      <c r="I108" s="34">
        <f t="shared" si="4"/>
        <v>99.99314298252831</v>
      </c>
    </row>
    <row r="109" spans="1:9" ht="14.25" customHeight="1" hidden="1">
      <c r="A109" s="35" t="s">
        <v>331</v>
      </c>
      <c r="B109" s="69"/>
      <c r="C109" s="70" t="s">
        <v>177</v>
      </c>
      <c r="D109" s="70" t="s">
        <v>317</v>
      </c>
      <c r="E109" s="70" t="s">
        <v>332</v>
      </c>
      <c r="F109" s="37"/>
      <c r="G109" s="34">
        <f>SUM(G111)</f>
        <v>0</v>
      </c>
      <c r="H109" s="34">
        <f>SUM(H111)</f>
        <v>0</v>
      </c>
      <c r="I109" s="34" t="e">
        <f t="shared" si="4"/>
        <v>#DIV/0!</v>
      </c>
    </row>
    <row r="110" spans="1:9" ht="71.25" hidden="1">
      <c r="A110" s="49" t="s">
        <v>333</v>
      </c>
      <c r="B110" s="31"/>
      <c r="C110" s="48" t="s">
        <v>177</v>
      </c>
      <c r="D110" s="48" t="s">
        <v>317</v>
      </c>
      <c r="E110" s="64" t="s">
        <v>334</v>
      </c>
      <c r="F110" s="36"/>
      <c r="G110" s="34">
        <f>SUM(G111)</f>
        <v>0</v>
      </c>
      <c r="H110" s="34">
        <f>SUM(H111)</f>
        <v>0</v>
      </c>
      <c r="I110" s="34" t="e">
        <f t="shared" si="4"/>
        <v>#DIV/0!</v>
      </c>
    </row>
    <row r="111" spans="1:9" ht="57" customHeight="1" hidden="1">
      <c r="A111" s="49" t="s">
        <v>335</v>
      </c>
      <c r="B111" s="31"/>
      <c r="C111" s="48" t="s">
        <v>177</v>
      </c>
      <c r="D111" s="48" t="s">
        <v>317</v>
      </c>
      <c r="E111" s="64" t="s">
        <v>334</v>
      </c>
      <c r="F111" s="36" t="s">
        <v>336</v>
      </c>
      <c r="G111" s="34"/>
      <c r="H111" s="34"/>
      <c r="I111" s="34" t="e">
        <f t="shared" si="4"/>
        <v>#DIV/0!</v>
      </c>
    </row>
    <row r="112" spans="1:9" ht="28.5" hidden="1">
      <c r="A112" s="49" t="s">
        <v>337</v>
      </c>
      <c r="B112" s="31"/>
      <c r="C112" s="48" t="s">
        <v>177</v>
      </c>
      <c r="D112" s="48" t="s">
        <v>258</v>
      </c>
      <c r="E112" s="64"/>
      <c r="F112" s="36"/>
      <c r="G112" s="34">
        <f aca="true" t="shared" si="5" ref="G112:H114">SUM(G113)</f>
        <v>0</v>
      </c>
      <c r="H112" s="34">
        <f t="shared" si="5"/>
        <v>0</v>
      </c>
      <c r="I112" s="34" t="e">
        <f t="shared" si="4"/>
        <v>#DIV/0!</v>
      </c>
    </row>
    <row r="113" spans="1:9" ht="15" hidden="1">
      <c r="A113" s="49" t="s">
        <v>331</v>
      </c>
      <c r="B113" s="31"/>
      <c r="C113" s="48" t="s">
        <v>177</v>
      </c>
      <c r="D113" s="48" t="s">
        <v>258</v>
      </c>
      <c r="E113" s="64" t="s">
        <v>332</v>
      </c>
      <c r="F113" s="36"/>
      <c r="G113" s="34">
        <f t="shared" si="5"/>
        <v>0</v>
      </c>
      <c r="H113" s="34">
        <f t="shared" si="5"/>
        <v>0</v>
      </c>
      <c r="I113" s="34" t="e">
        <f t="shared" si="4"/>
        <v>#DIV/0!</v>
      </c>
    </row>
    <row r="114" spans="1:9" ht="42.75" hidden="1">
      <c r="A114" s="49" t="s">
        <v>338</v>
      </c>
      <c r="B114" s="31"/>
      <c r="C114" s="48" t="s">
        <v>177</v>
      </c>
      <c r="D114" s="48" t="s">
        <v>258</v>
      </c>
      <c r="E114" s="64" t="s">
        <v>334</v>
      </c>
      <c r="F114" s="36"/>
      <c r="G114" s="34">
        <f t="shared" si="5"/>
        <v>0</v>
      </c>
      <c r="H114" s="34">
        <f t="shared" si="5"/>
        <v>0</v>
      </c>
      <c r="I114" s="34" t="e">
        <f t="shared" si="4"/>
        <v>#DIV/0!</v>
      </c>
    </row>
    <row r="115" spans="1:9" ht="15" hidden="1">
      <c r="A115" s="46" t="s">
        <v>273</v>
      </c>
      <c r="B115" s="31"/>
      <c r="C115" s="48" t="s">
        <v>177</v>
      </c>
      <c r="D115" s="48" t="s">
        <v>258</v>
      </c>
      <c r="E115" s="64" t="s">
        <v>334</v>
      </c>
      <c r="F115" s="36" t="s">
        <v>274</v>
      </c>
      <c r="G115" s="34"/>
      <c r="H115" s="34"/>
      <c r="I115" s="34" t="e">
        <f t="shared" si="4"/>
        <v>#DIV/0!</v>
      </c>
    </row>
    <row r="116" spans="1:9" ht="27" customHeight="1">
      <c r="A116" s="30" t="s">
        <v>200</v>
      </c>
      <c r="B116" s="31"/>
      <c r="C116" s="32" t="s">
        <v>201</v>
      </c>
      <c r="D116" s="32"/>
      <c r="E116" s="32"/>
      <c r="F116" s="33"/>
      <c r="G116" s="34">
        <f>SUM(G117+G126)</f>
        <v>83166.2</v>
      </c>
      <c r="H116" s="34">
        <f>SUM(H117+H126)</f>
        <v>83166.09999999999</v>
      </c>
      <c r="I116" s="34">
        <f t="shared" si="4"/>
        <v>99.99987975884433</v>
      </c>
    </row>
    <row r="117" spans="1:9" ht="15">
      <c r="A117" s="30" t="s">
        <v>202</v>
      </c>
      <c r="B117" s="31"/>
      <c r="C117" s="32" t="s">
        <v>201</v>
      </c>
      <c r="D117" s="32" t="s">
        <v>203</v>
      </c>
      <c r="E117" s="32"/>
      <c r="F117" s="33"/>
      <c r="G117" s="34">
        <f>SUM(G121)+G118</f>
        <v>78816</v>
      </c>
      <c r="H117" s="34">
        <f>SUM(H121)+H118</f>
        <v>78815.9</v>
      </c>
      <c r="I117" s="34">
        <f t="shared" si="4"/>
        <v>99.99987312220868</v>
      </c>
    </row>
    <row r="118" spans="1:9" ht="28.5">
      <c r="A118" s="30" t="s">
        <v>340</v>
      </c>
      <c r="B118" s="31"/>
      <c r="C118" s="32" t="s">
        <v>201</v>
      </c>
      <c r="D118" s="32" t="s">
        <v>203</v>
      </c>
      <c r="E118" s="48" t="s">
        <v>341</v>
      </c>
      <c r="F118" s="36"/>
      <c r="G118" s="34">
        <f>SUM(G119)+G120</f>
        <v>28196.8</v>
      </c>
      <c r="H118" s="34">
        <f>SUM(H119)+H120</f>
        <v>28196.699999999997</v>
      </c>
      <c r="I118" s="34">
        <f t="shared" si="4"/>
        <v>99.99964534982692</v>
      </c>
    </row>
    <row r="119" spans="1:9" ht="18" customHeight="1">
      <c r="A119" s="30" t="s">
        <v>342</v>
      </c>
      <c r="B119" s="31"/>
      <c r="C119" s="32" t="s">
        <v>201</v>
      </c>
      <c r="D119" s="32" t="s">
        <v>203</v>
      </c>
      <c r="E119" s="48" t="s">
        <v>341</v>
      </c>
      <c r="F119" s="33" t="s">
        <v>343</v>
      </c>
      <c r="G119" s="34">
        <f>27747.5-48.8</f>
        <v>27698.7</v>
      </c>
      <c r="H119" s="34">
        <f>27747.5-48.9</f>
        <v>27698.6</v>
      </c>
      <c r="I119" s="34">
        <f t="shared" si="4"/>
        <v>99.99963897222612</v>
      </c>
    </row>
    <row r="120" spans="1:9" ht="28.5" customHeight="1">
      <c r="A120" s="35" t="s">
        <v>174</v>
      </c>
      <c r="B120" s="31"/>
      <c r="C120" s="32" t="s">
        <v>201</v>
      </c>
      <c r="D120" s="32" t="s">
        <v>203</v>
      </c>
      <c r="E120" s="48" t="s">
        <v>341</v>
      </c>
      <c r="F120" s="33" t="s">
        <v>175</v>
      </c>
      <c r="G120" s="34">
        <f>500-1.9</f>
        <v>498.1</v>
      </c>
      <c r="H120" s="34">
        <f>500-1.9</f>
        <v>498.1</v>
      </c>
      <c r="I120" s="34">
        <f t="shared" si="4"/>
        <v>100</v>
      </c>
    </row>
    <row r="121" spans="1:9" ht="18.75" customHeight="1">
      <c r="A121" s="30" t="s">
        <v>204</v>
      </c>
      <c r="B121" s="31"/>
      <c r="C121" s="32" t="s">
        <v>201</v>
      </c>
      <c r="D121" s="32" t="s">
        <v>203</v>
      </c>
      <c r="E121" s="32" t="s">
        <v>205</v>
      </c>
      <c r="F121" s="33"/>
      <c r="G121" s="34">
        <f>SUM(G122)</f>
        <v>50619.2</v>
      </c>
      <c r="H121" s="34">
        <f>SUM(H122)</f>
        <v>50619.2</v>
      </c>
      <c r="I121" s="34">
        <f t="shared" si="4"/>
        <v>100</v>
      </c>
    </row>
    <row r="122" spans="1:9" s="50" customFormat="1" ht="30" customHeight="1">
      <c r="A122" s="30" t="s">
        <v>206</v>
      </c>
      <c r="B122" s="31"/>
      <c r="C122" s="32" t="s">
        <v>201</v>
      </c>
      <c r="D122" s="32" t="s">
        <v>203</v>
      </c>
      <c r="E122" s="32" t="s">
        <v>346</v>
      </c>
      <c r="F122" s="33"/>
      <c r="G122" s="34">
        <f>SUM(G123+G124)</f>
        <v>50619.2</v>
      </c>
      <c r="H122" s="34">
        <f>SUM(H123+H124)</f>
        <v>50619.2</v>
      </c>
      <c r="I122" s="34">
        <f t="shared" si="4"/>
        <v>100</v>
      </c>
    </row>
    <row r="123" spans="1:9" ht="14.25" customHeight="1">
      <c r="A123" s="30" t="s">
        <v>342</v>
      </c>
      <c r="B123" s="31"/>
      <c r="C123" s="32" t="s">
        <v>201</v>
      </c>
      <c r="D123" s="32" t="s">
        <v>203</v>
      </c>
      <c r="E123" s="32" t="s">
        <v>346</v>
      </c>
      <c r="F123" s="33" t="s">
        <v>343</v>
      </c>
      <c r="G123" s="34">
        <f>50619.2</f>
        <v>50619.2</v>
      </c>
      <c r="H123" s="34">
        <f>50619.2</f>
        <v>50619.2</v>
      </c>
      <c r="I123" s="34">
        <f t="shared" si="4"/>
        <v>100</v>
      </c>
    </row>
    <row r="124" spans="1:9" ht="71.25" hidden="1">
      <c r="A124" s="30" t="s">
        <v>347</v>
      </c>
      <c r="B124" s="31"/>
      <c r="C124" s="32" t="s">
        <v>201</v>
      </c>
      <c r="D124" s="32" t="s">
        <v>203</v>
      </c>
      <c r="E124" s="32" t="s">
        <v>348</v>
      </c>
      <c r="F124" s="33"/>
      <c r="G124" s="34">
        <f>SUM(G125)</f>
        <v>0</v>
      </c>
      <c r="H124" s="34">
        <f>SUM(H125)</f>
        <v>0</v>
      </c>
      <c r="I124" s="34" t="e">
        <f t="shared" si="4"/>
        <v>#DIV/0!</v>
      </c>
    </row>
    <row r="125" spans="1:9" ht="14.25" customHeight="1" hidden="1">
      <c r="A125" s="30" t="s">
        <v>342</v>
      </c>
      <c r="B125" s="31"/>
      <c r="C125" s="32" t="s">
        <v>201</v>
      </c>
      <c r="D125" s="32" t="s">
        <v>203</v>
      </c>
      <c r="E125" s="32" t="s">
        <v>348</v>
      </c>
      <c r="F125" s="33" t="s">
        <v>343</v>
      </c>
      <c r="G125" s="34"/>
      <c r="H125" s="34"/>
      <c r="I125" s="34" t="e">
        <f t="shared" si="4"/>
        <v>#DIV/0!</v>
      </c>
    </row>
    <row r="126" spans="1:9" ht="21.75" customHeight="1">
      <c r="A126" s="46" t="s">
        <v>208</v>
      </c>
      <c r="B126" s="47"/>
      <c r="C126" s="48" t="s">
        <v>201</v>
      </c>
      <c r="D126" s="48" t="s">
        <v>254</v>
      </c>
      <c r="E126" s="48"/>
      <c r="F126" s="36"/>
      <c r="G126" s="34">
        <f>SUM(G130+G132+G137+G127)</f>
        <v>4350.2</v>
      </c>
      <c r="H126" s="34">
        <f>SUM(H130+H132+H137+H127)</f>
        <v>4350.2</v>
      </c>
      <c r="I126" s="34">
        <f t="shared" si="4"/>
        <v>100</v>
      </c>
    </row>
    <row r="127" spans="1:9" ht="16.5" customHeight="1">
      <c r="A127" s="46" t="s">
        <v>270</v>
      </c>
      <c r="B127" s="48"/>
      <c r="C127" s="48" t="s">
        <v>201</v>
      </c>
      <c r="D127" s="48" t="s">
        <v>254</v>
      </c>
      <c r="E127" s="48" t="s">
        <v>215</v>
      </c>
      <c r="F127" s="36"/>
      <c r="G127" s="34">
        <f>SUM(G129)</f>
        <v>215.9</v>
      </c>
      <c r="H127" s="34">
        <f>SUM(H129)</f>
        <v>215.9</v>
      </c>
      <c r="I127" s="34">
        <f t="shared" si="4"/>
        <v>100</v>
      </c>
    </row>
    <row r="128" spans="1:9" s="50" customFormat="1" ht="28.5" customHeight="1">
      <c r="A128" s="46" t="s">
        <v>271</v>
      </c>
      <c r="B128" s="48"/>
      <c r="C128" s="48" t="s">
        <v>201</v>
      </c>
      <c r="D128" s="48" t="s">
        <v>254</v>
      </c>
      <c r="E128" s="64" t="s">
        <v>272</v>
      </c>
      <c r="F128" s="36"/>
      <c r="G128" s="34">
        <f>SUM(G129)</f>
        <v>215.9</v>
      </c>
      <c r="H128" s="34">
        <f>SUM(H129)</f>
        <v>215.9</v>
      </c>
      <c r="I128" s="34">
        <f t="shared" si="4"/>
        <v>100</v>
      </c>
    </row>
    <row r="129" spans="1:9" s="88" customFormat="1" ht="18.75" customHeight="1">
      <c r="A129" s="46" t="s">
        <v>273</v>
      </c>
      <c r="B129" s="48"/>
      <c r="C129" s="48" t="s">
        <v>201</v>
      </c>
      <c r="D129" s="48" t="s">
        <v>254</v>
      </c>
      <c r="E129" s="64" t="s">
        <v>272</v>
      </c>
      <c r="F129" s="36" t="s">
        <v>274</v>
      </c>
      <c r="G129" s="34">
        <v>215.9</v>
      </c>
      <c r="H129" s="34">
        <v>215.9</v>
      </c>
      <c r="I129" s="34">
        <f t="shared" si="4"/>
        <v>100</v>
      </c>
    </row>
    <row r="130" spans="1:9" s="71" customFormat="1" ht="27.75" customHeight="1" hidden="1">
      <c r="A130" s="75" t="s">
        <v>349</v>
      </c>
      <c r="B130" s="48"/>
      <c r="C130" s="48" t="s">
        <v>201</v>
      </c>
      <c r="D130" s="48" t="s">
        <v>254</v>
      </c>
      <c r="E130" s="48" t="s">
        <v>350</v>
      </c>
      <c r="F130" s="36"/>
      <c r="G130" s="34">
        <f>SUM(G131)</f>
        <v>0</v>
      </c>
      <c r="H130" s="34">
        <f>SUM(H131)</f>
        <v>0</v>
      </c>
      <c r="I130" s="34" t="e">
        <f t="shared" si="4"/>
        <v>#DIV/0!</v>
      </c>
    </row>
    <row r="131" spans="1:9" s="71" customFormat="1" ht="27" customHeight="1" hidden="1">
      <c r="A131" s="35" t="s">
        <v>174</v>
      </c>
      <c r="B131" s="48"/>
      <c r="C131" s="48" t="s">
        <v>201</v>
      </c>
      <c r="D131" s="48" t="s">
        <v>254</v>
      </c>
      <c r="E131" s="48" t="s">
        <v>350</v>
      </c>
      <c r="F131" s="36" t="s">
        <v>175</v>
      </c>
      <c r="G131" s="34">
        <f>5050-2000-3050</f>
        <v>0</v>
      </c>
      <c r="H131" s="34">
        <f>5050-2000-3050</f>
        <v>0</v>
      </c>
      <c r="I131" s="34" t="e">
        <f t="shared" si="4"/>
        <v>#DIV/0!</v>
      </c>
    </row>
    <row r="132" spans="1:9" s="71" customFormat="1" ht="27" customHeight="1">
      <c r="A132" s="45" t="s">
        <v>210</v>
      </c>
      <c r="B132" s="31"/>
      <c r="C132" s="48" t="s">
        <v>201</v>
      </c>
      <c r="D132" s="48" t="s">
        <v>254</v>
      </c>
      <c r="E132" s="32" t="s">
        <v>211</v>
      </c>
      <c r="F132" s="36"/>
      <c r="G132" s="34">
        <f>SUM(G133)</f>
        <v>3782.5</v>
      </c>
      <c r="H132" s="34">
        <f>SUM(H133)</f>
        <v>3782.5</v>
      </c>
      <c r="I132" s="34">
        <f t="shared" si="4"/>
        <v>100</v>
      </c>
    </row>
    <row r="133" spans="1:9" s="71" customFormat="1" ht="27" customHeight="1">
      <c r="A133" s="45" t="s">
        <v>351</v>
      </c>
      <c r="B133" s="31"/>
      <c r="C133" s="48" t="s">
        <v>201</v>
      </c>
      <c r="D133" s="48" t="s">
        <v>254</v>
      </c>
      <c r="E133" s="32" t="s">
        <v>352</v>
      </c>
      <c r="F133" s="36"/>
      <c r="G133" s="34">
        <f>SUM(G134)</f>
        <v>3782.5</v>
      </c>
      <c r="H133" s="34">
        <f>SUM(H134)</f>
        <v>3782.5</v>
      </c>
      <c r="I133" s="34">
        <f t="shared" si="4"/>
        <v>100</v>
      </c>
    </row>
    <row r="134" spans="1:9" s="71" customFormat="1" ht="26.25" customHeight="1">
      <c r="A134" s="35" t="s">
        <v>174</v>
      </c>
      <c r="B134" s="31"/>
      <c r="C134" s="48" t="s">
        <v>201</v>
      </c>
      <c r="D134" s="48" t="s">
        <v>254</v>
      </c>
      <c r="E134" s="32" t="s">
        <v>352</v>
      </c>
      <c r="F134" s="36" t="s">
        <v>175</v>
      </c>
      <c r="G134" s="34">
        <f>5383.5-1682.8+99-17.2</f>
        <v>3782.5</v>
      </c>
      <c r="H134" s="34">
        <f>5383.5-1682.8+99-17.2</f>
        <v>3782.5</v>
      </c>
      <c r="I134" s="34">
        <f t="shared" si="4"/>
        <v>100</v>
      </c>
    </row>
    <row r="135" spans="1:9" s="206" customFormat="1" ht="32.25" customHeight="1" hidden="1">
      <c r="A135" s="45" t="s">
        <v>210</v>
      </c>
      <c r="B135" s="31"/>
      <c r="C135" s="48" t="s">
        <v>201</v>
      </c>
      <c r="D135" s="48" t="s">
        <v>254</v>
      </c>
      <c r="E135" s="32" t="s">
        <v>211</v>
      </c>
      <c r="F135" s="36"/>
      <c r="G135" s="34">
        <f>SUM(G136)</f>
        <v>0</v>
      </c>
      <c r="H135" s="34">
        <f>SUM(H136)</f>
        <v>0</v>
      </c>
      <c r="I135" s="34" t="e">
        <f t="shared" si="4"/>
        <v>#DIV/0!</v>
      </c>
    </row>
    <row r="136" spans="1:9" s="71" customFormat="1" ht="28.5" hidden="1">
      <c r="A136" s="45" t="s">
        <v>212</v>
      </c>
      <c r="B136" s="31"/>
      <c r="C136" s="48" t="s">
        <v>201</v>
      </c>
      <c r="D136" s="48" t="s">
        <v>254</v>
      </c>
      <c r="E136" s="32" t="s">
        <v>211</v>
      </c>
      <c r="F136" s="36" t="s">
        <v>213</v>
      </c>
      <c r="G136" s="34"/>
      <c r="H136" s="34"/>
      <c r="I136" s="34" t="e">
        <f t="shared" si="4"/>
        <v>#DIV/0!</v>
      </c>
    </row>
    <row r="137" spans="1:9" s="71" customFormat="1" ht="21" customHeight="1">
      <c r="A137" s="45" t="s">
        <v>278</v>
      </c>
      <c r="B137" s="31"/>
      <c r="C137" s="48" t="s">
        <v>201</v>
      </c>
      <c r="D137" s="48" t="s">
        <v>254</v>
      </c>
      <c r="E137" s="32" t="s">
        <v>279</v>
      </c>
      <c r="F137" s="36"/>
      <c r="G137" s="34">
        <f>SUM(G138)</f>
        <v>351.8</v>
      </c>
      <c r="H137" s="34">
        <f>SUM(H138)</f>
        <v>351.8</v>
      </c>
      <c r="I137" s="34">
        <f t="shared" si="4"/>
        <v>100</v>
      </c>
    </row>
    <row r="138" spans="1:9" s="71" customFormat="1" ht="28.5">
      <c r="A138" s="35" t="s">
        <v>174</v>
      </c>
      <c r="B138" s="31"/>
      <c r="C138" s="48" t="s">
        <v>201</v>
      </c>
      <c r="D138" s="48" t="s">
        <v>254</v>
      </c>
      <c r="E138" s="32" t="s">
        <v>279</v>
      </c>
      <c r="F138" s="36" t="s">
        <v>175</v>
      </c>
      <c r="G138" s="34">
        <f>SUM(G139:G140)</f>
        <v>351.8</v>
      </c>
      <c r="H138" s="34">
        <f>SUM(H139:H140)</f>
        <v>351.8</v>
      </c>
      <c r="I138" s="34">
        <f t="shared" si="4"/>
        <v>100</v>
      </c>
    </row>
    <row r="139" spans="1:9" s="71" customFormat="1" ht="41.25" customHeight="1">
      <c r="A139" s="76" t="s">
        <v>353</v>
      </c>
      <c r="B139" s="47"/>
      <c r="C139" s="48" t="s">
        <v>201</v>
      </c>
      <c r="D139" s="48" t="s">
        <v>254</v>
      </c>
      <c r="E139" s="32" t="s">
        <v>354</v>
      </c>
      <c r="F139" s="36" t="s">
        <v>175</v>
      </c>
      <c r="G139" s="77">
        <f>151.8+50+150</f>
        <v>351.8</v>
      </c>
      <c r="H139" s="77">
        <f>151.8+50+150</f>
        <v>351.8</v>
      </c>
      <c r="I139" s="34">
        <f t="shared" si="4"/>
        <v>100</v>
      </c>
    </row>
    <row r="140" spans="1:9" s="71" customFormat="1" ht="42.75" hidden="1">
      <c r="A140" s="76" t="s">
        <v>355</v>
      </c>
      <c r="B140" s="47"/>
      <c r="C140" s="48" t="s">
        <v>201</v>
      </c>
      <c r="D140" s="48" t="s">
        <v>254</v>
      </c>
      <c r="E140" s="32" t="s">
        <v>356</v>
      </c>
      <c r="F140" s="36" t="s">
        <v>175</v>
      </c>
      <c r="G140" s="77"/>
      <c r="H140" s="77"/>
      <c r="I140" s="34" t="e">
        <f t="shared" si="4"/>
        <v>#DIV/0!</v>
      </c>
    </row>
    <row r="141" spans="1:9" s="71" customFormat="1" ht="18" customHeight="1">
      <c r="A141" s="46" t="s">
        <v>357</v>
      </c>
      <c r="B141" s="47"/>
      <c r="C141" s="48" t="s">
        <v>233</v>
      </c>
      <c r="D141" s="48"/>
      <c r="E141" s="48"/>
      <c r="F141" s="37"/>
      <c r="G141" s="34">
        <f>SUM(G142+G184+G213+G234)</f>
        <v>676721.9999999999</v>
      </c>
      <c r="H141" s="34">
        <f>SUM(H142+H184+H213+H234)</f>
        <v>670684.1999999998</v>
      </c>
      <c r="I141" s="34">
        <f t="shared" si="4"/>
        <v>99.1077872449839</v>
      </c>
    </row>
    <row r="142" spans="1:9" s="71" customFormat="1" ht="15">
      <c r="A142" s="30" t="s">
        <v>358</v>
      </c>
      <c r="B142" s="31"/>
      <c r="C142" s="32" t="s">
        <v>233</v>
      </c>
      <c r="D142" s="32" t="s">
        <v>167</v>
      </c>
      <c r="E142" s="32"/>
      <c r="F142" s="33"/>
      <c r="G142" s="34">
        <f>SUM(G156+G175+G151+G161+G143)</f>
        <v>406749.99999999994</v>
      </c>
      <c r="H142" s="34">
        <f>SUM(H156+H175+H151+H161+H143)</f>
        <v>406643.69999999995</v>
      </c>
      <c r="I142" s="34">
        <f t="shared" si="4"/>
        <v>99.97386601106331</v>
      </c>
    </row>
    <row r="143" spans="1:9" s="50" customFormat="1" ht="50.25" customHeight="1">
      <c r="A143" s="207" t="s">
        <v>359</v>
      </c>
      <c r="B143" s="85"/>
      <c r="C143" s="32" t="s">
        <v>233</v>
      </c>
      <c r="D143" s="32" t="s">
        <v>167</v>
      </c>
      <c r="E143" s="32" t="s">
        <v>360</v>
      </c>
      <c r="F143" s="33"/>
      <c r="G143" s="34">
        <f>SUM(G144+G147)</f>
        <v>378370.49999999994</v>
      </c>
      <c r="H143" s="34">
        <f>SUM(H144+H147)</f>
        <v>378370.49999999994</v>
      </c>
      <c r="I143" s="34">
        <f t="shared" si="4"/>
        <v>100</v>
      </c>
    </row>
    <row r="144" spans="1:9" s="50" customFormat="1" ht="92.25" customHeight="1">
      <c r="A144" s="207" t="s">
        <v>361</v>
      </c>
      <c r="B144" s="85"/>
      <c r="C144" s="32" t="s">
        <v>233</v>
      </c>
      <c r="D144" s="32" t="s">
        <v>167</v>
      </c>
      <c r="E144" s="32" t="s">
        <v>362</v>
      </c>
      <c r="F144" s="33"/>
      <c r="G144" s="34">
        <f>SUM(G145)</f>
        <v>330615.39999999997</v>
      </c>
      <c r="H144" s="34">
        <f>SUM(H145)</f>
        <v>330615.39999999997</v>
      </c>
      <c r="I144" s="34">
        <f aca="true" t="shared" si="6" ref="I144:I207">SUM(H144/G144*100)</f>
        <v>100</v>
      </c>
    </row>
    <row r="145" spans="1:9" s="50" customFormat="1" ht="78" customHeight="1">
      <c r="A145" s="207" t="s">
        <v>363</v>
      </c>
      <c r="B145" s="85"/>
      <c r="C145" s="32" t="s">
        <v>233</v>
      </c>
      <c r="D145" s="32" t="s">
        <v>167</v>
      </c>
      <c r="E145" s="32" t="s">
        <v>364</v>
      </c>
      <c r="F145" s="33"/>
      <c r="G145" s="34">
        <f>SUM(G146)</f>
        <v>330615.39999999997</v>
      </c>
      <c r="H145" s="34">
        <f>SUM(H146)</f>
        <v>330615.39999999997</v>
      </c>
      <c r="I145" s="34">
        <f t="shared" si="6"/>
        <v>100</v>
      </c>
    </row>
    <row r="146" spans="1:9" s="50" customFormat="1" ht="15">
      <c r="A146" s="30" t="s">
        <v>342</v>
      </c>
      <c r="B146" s="31"/>
      <c r="C146" s="32" t="s">
        <v>233</v>
      </c>
      <c r="D146" s="32" t="s">
        <v>167</v>
      </c>
      <c r="E146" s="32" t="s">
        <v>364</v>
      </c>
      <c r="F146" s="33" t="s">
        <v>343</v>
      </c>
      <c r="G146" s="34">
        <f>30880.8+299734.6</f>
        <v>330615.39999999997</v>
      </c>
      <c r="H146" s="34">
        <f>30880.8+299734.6</f>
        <v>330615.39999999997</v>
      </c>
      <c r="I146" s="34">
        <f t="shared" si="6"/>
        <v>100</v>
      </c>
    </row>
    <row r="147" spans="1:9" s="50" customFormat="1" ht="57">
      <c r="A147" s="51" t="s">
        <v>365</v>
      </c>
      <c r="B147" s="85"/>
      <c r="C147" s="32" t="s">
        <v>233</v>
      </c>
      <c r="D147" s="32" t="s">
        <v>167</v>
      </c>
      <c r="E147" s="32" t="s">
        <v>366</v>
      </c>
      <c r="F147" s="33"/>
      <c r="G147" s="34">
        <f>SUM(G148)+G154</f>
        <v>47755.1</v>
      </c>
      <c r="H147" s="34">
        <f>SUM(H148)+H154</f>
        <v>47755.1</v>
      </c>
      <c r="I147" s="34">
        <f t="shared" si="6"/>
        <v>100</v>
      </c>
    </row>
    <row r="148" spans="1:9" s="50" customFormat="1" ht="31.5" customHeight="1">
      <c r="A148" s="51" t="s">
        <v>367</v>
      </c>
      <c r="B148" s="85"/>
      <c r="C148" s="32" t="s">
        <v>233</v>
      </c>
      <c r="D148" s="32" t="s">
        <v>167</v>
      </c>
      <c r="E148" s="32" t="s">
        <v>368</v>
      </c>
      <c r="F148" s="33"/>
      <c r="G148" s="34">
        <f>SUM(G149+G150)</f>
        <v>47755.1</v>
      </c>
      <c r="H148" s="34">
        <f>SUM(H149+H150)</f>
        <v>47755.1</v>
      </c>
      <c r="I148" s="34">
        <f t="shared" si="6"/>
        <v>100</v>
      </c>
    </row>
    <row r="149" spans="1:9" s="50" customFormat="1" ht="21.75" customHeight="1">
      <c r="A149" s="84" t="s">
        <v>342</v>
      </c>
      <c r="B149" s="85"/>
      <c r="C149" s="32" t="s">
        <v>233</v>
      </c>
      <c r="D149" s="32" t="s">
        <v>167</v>
      </c>
      <c r="E149" s="32" t="s">
        <v>368</v>
      </c>
      <c r="F149" s="33" t="s">
        <v>343</v>
      </c>
      <c r="G149" s="34">
        <f>18556.8+2100+2126.2</f>
        <v>22783</v>
      </c>
      <c r="H149" s="34">
        <f>18556.8+2100+2126.2</f>
        <v>22783</v>
      </c>
      <c r="I149" s="34">
        <f t="shared" si="6"/>
        <v>100</v>
      </c>
    </row>
    <row r="150" spans="1:9" s="50" customFormat="1" ht="41.25" customHeight="1">
      <c r="A150" s="84" t="s">
        <v>369</v>
      </c>
      <c r="B150" s="85"/>
      <c r="C150" s="32" t="s">
        <v>233</v>
      </c>
      <c r="D150" s="32" t="s">
        <v>167</v>
      </c>
      <c r="E150" s="32" t="s">
        <v>368</v>
      </c>
      <c r="F150" s="33" t="s">
        <v>370</v>
      </c>
      <c r="G150" s="34">
        <v>24972.1</v>
      </c>
      <c r="H150" s="34">
        <v>24972.1</v>
      </c>
      <c r="I150" s="34">
        <f t="shared" si="6"/>
        <v>100</v>
      </c>
    </row>
    <row r="151" spans="1:9" s="50" customFormat="1" ht="20.25" customHeight="1" hidden="1">
      <c r="A151" s="46" t="s">
        <v>270</v>
      </c>
      <c r="B151" s="31"/>
      <c r="C151" s="32" t="s">
        <v>233</v>
      </c>
      <c r="D151" s="32" t="s">
        <v>167</v>
      </c>
      <c r="E151" s="32" t="s">
        <v>215</v>
      </c>
      <c r="F151" s="33"/>
      <c r="G151" s="34">
        <f>SUM(G152)</f>
        <v>0</v>
      </c>
      <c r="H151" s="34">
        <f>SUM(H152)</f>
        <v>0</v>
      </c>
      <c r="I151" s="34" t="e">
        <f t="shared" si="6"/>
        <v>#DIV/0!</v>
      </c>
    </row>
    <row r="152" spans="1:9" s="50" customFormat="1" ht="18.75" customHeight="1" hidden="1">
      <c r="A152" s="46" t="s">
        <v>271</v>
      </c>
      <c r="B152" s="31"/>
      <c r="C152" s="32" t="s">
        <v>233</v>
      </c>
      <c r="D152" s="32" t="s">
        <v>167</v>
      </c>
      <c r="E152" s="32" t="s">
        <v>272</v>
      </c>
      <c r="F152" s="33"/>
      <c r="G152" s="34">
        <f>SUM(G153)</f>
        <v>0</v>
      </c>
      <c r="H152" s="34">
        <f>SUM(H153)</f>
        <v>0</v>
      </c>
      <c r="I152" s="34" t="e">
        <f t="shared" si="6"/>
        <v>#DIV/0!</v>
      </c>
    </row>
    <row r="153" spans="1:9" s="50" customFormat="1" ht="19.5" customHeight="1" hidden="1">
      <c r="A153" s="46" t="s">
        <v>273</v>
      </c>
      <c r="B153" s="31"/>
      <c r="C153" s="32" t="s">
        <v>233</v>
      </c>
      <c r="D153" s="32" t="s">
        <v>167</v>
      </c>
      <c r="E153" s="32" t="s">
        <v>272</v>
      </c>
      <c r="F153" s="33" t="s">
        <v>274</v>
      </c>
      <c r="G153" s="34"/>
      <c r="H153" s="34"/>
      <c r="I153" s="34" t="e">
        <f t="shared" si="6"/>
        <v>#DIV/0!</v>
      </c>
    </row>
    <row r="154" spans="1:9" s="50" customFormat="1" ht="29.25" customHeight="1" hidden="1">
      <c r="A154" s="86" t="s">
        <v>371</v>
      </c>
      <c r="B154" s="31"/>
      <c r="C154" s="32" t="s">
        <v>233</v>
      </c>
      <c r="D154" s="32" t="s">
        <v>167</v>
      </c>
      <c r="E154" s="32" t="s">
        <v>372</v>
      </c>
      <c r="F154" s="33"/>
      <c r="G154" s="34">
        <f>SUM(G155)</f>
        <v>0</v>
      </c>
      <c r="H154" s="34">
        <f>SUM(H155)</f>
        <v>0</v>
      </c>
      <c r="I154" s="34" t="e">
        <f t="shared" si="6"/>
        <v>#DIV/0!</v>
      </c>
    </row>
    <row r="155" spans="1:9" s="50" customFormat="1" ht="19.5" customHeight="1" hidden="1">
      <c r="A155" s="83" t="s">
        <v>342</v>
      </c>
      <c r="B155" s="31"/>
      <c r="C155" s="32" t="s">
        <v>233</v>
      </c>
      <c r="D155" s="32" t="s">
        <v>167</v>
      </c>
      <c r="E155" s="32" t="s">
        <v>372</v>
      </c>
      <c r="F155" s="33" t="s">
        <v>343</v>
      </c>
      <c r="G155" s="34">
        <f>33705.5-6300-27405.5</f>
        <v>0</v>
      </c>
      <c r="H155" s="34">
        <f>33705.5-6300-27405.5</f>
        <v>0</v>
      </c>
      <c r="I155" s="34" t="e">
        <f t="shared" si="6"/>
        <v>#DIV/0!</v>
      </c>
    </row>
    <row r="156" spans="1:9" s="50" customFormat="1" ht="15.75" customHeight="1">
      <c r="A156" s="30" t="s">
        <v>373</v>
      </c>
      <c r="B156" s="31"/>
      <c r="C156" s="32" t="s">
        <v>233</v>
      </c>
      <c r="D156" s="32" t="s">
        <v>167</v>
      </c>
      <c r="E156" s="32" t="s">
        <v>374</v>
      </c>
      <c r="F156" s="33"/>
      <c r="G156" s="34">
        <f>SUM(G157+G159)</f>
        <v>3606.8</v>
      </c>
      <c r="H156" s="34">
        <f>SUM(H157+H159)</f>
        <v>3606.8</v>
      </c>
      <c r="I156" s="34">
        <f t="shared" si="6"/>
        <v>100</v>
      </c>
    </row>
    <row r="157" spans="1:9" s="50" customFormat="1" ht="42.75" customHeight="1">
      <c r="A157" s="49" t="s">
        <v>375</v>
      </c>
      <c r="B157" s="31"/>
      <c r="C157" s="32" t="s">
        <v>233</v>
      </c>
      <c r="D157" s="32" t="s">
        <v>167</v>
      </c>
      <c r="E157" s="32" t="s">
        <v>376</v>
      </c>
      <c r="F157" s="33"/>
      <c r="G157" s="34">
        <f>SUM(G158)</f>
        <v>292.9000000000001</v>
      </c>
      <c r="H157" s="34">
        <f>SUM(H158)</f>
        <v>292.9000000000001</v>
      </c>
      <c r="I157" s="34">
        <f t="shared" si="6"/>
        <v>100</v>
      </c>
    </row>
    <row r="158" spans="1:9" s="50" customFormat="1" ht="20.25" customHeight="1">
      <c r="A158" s="30" t="s">
        <v>342</v>
      </c>
      <c r="B158" s="31"/>
      <c r="C158" s="32" t="s">
        <v>233</v>
      </c>
      <c r="D158" s="32" t="s">
        <v>167</v>
      </c>
      <c r="E158" s="32" t="s">
        <v>376</v>
      </c>
      <c r="F158" s="33" t="s">
        <v>343</v>
      </c>
      <c r="G158" s="34">
        <f>350+399.2-22.8-400-33.5</f>
        <v>292.9000000000001</v>
      </c>
      <c r="H158" s="34">
        <f>350+399.2-22.8-400-33.5</f>
        <v>292.9000000000001</v>
      </c>
      <c r="I158" s="34">
        <f t="shared" si="6"/>
        <v>100</v>
      </c>
    </row>
    <row r="159" spans="1:9" s="50" customFormat="1" ht="44.25" customHeight="1">
      <c r="A159" s="49" t="s">
        <v>377</v>
      </c>
      <c r="B159" s="47"/>
      <c r="C159" s="32" t="s">
        <v>233</v>
      </c>
      <c r="D159" s="32" t="s">
        <v>167</v>
      </c>
      <c r="E159" s="32" t="s">
        <v>378</v>
      </c>
      <c r="F159" s="36"/>
      <c r="G159" s="34">
        <f>SUM(G160)</f>
        <v>3313.9</v>
      </c>
      <c r="H159" s="34">
        <f>SUM(H160)</f>
        <v>3313.9</v>
      </c>
      <c r="I159" s="34">
        <f t="shared" si="6"/>
        <v>100</v>
      </c>
    </row>
    <row r="160" spans="1:9" s="50" customFormat="1" ht="30" customHeight="1">
      <c r="A160" s="35" t="s">
        <v>174</v>
      </c>
      <c r="B160" s="87"/>
      <c r="C160" s="32" t="s">
        <v>233</v>
      </c>
      <c r="D160" s="32" t="s">
        <v>167</v>
      </c>
      <c r="E160" s="32" t="s">
        <v>378</v>
      </c>
      <c r="F160" s="65" t="s">
        <v>175</v>
      </c>
      <c r="G160" s="77">
        <v>3313.9</v>
      </c>
      <c r="H160" s="77">
        <v>3313.9</v>
      </c>
      <c r="I160" s="34">
        <f t="shared" si="6"/>
        <v>100</v>
      </c>
    </row>
    <row r="161" spans="1:9" s="50" customFormat="1" ht="17.25" customHeight="1">
      <c r="A161" s="49" t="s">
        <v>331</v>
      </c>
      <c r="B161" s="63"/>
      <c r="C161" s="91" t="s">
        <v>233</v>
      </c>
      <c r="D161" s="91" t="s">
        <v>167</v>
      </c>
      <c r="E161" s="91" t="s">
        <v>332</v>
      </c>
      <c r="F161" s="89"/>
      <c r="G161" s="90">
        <f>SUM(G165)+G170+G162</f>
        <v>1527.1</v>
      </c>
      <c r="H161" s="90">
        <f>SUM(H165)+H170+H162</f>
        <v>1527.1</v>
      </c>
      <c r="I161" s="34">
        <f t="shared" si="6"/>
        <v>100</v>
      </c>
    </row>
    <row r="162" spans="1:9" s="50" customFormat="1" ht="46.5" customHeight="1">
      <c r="A162" s="49" t="s">
        <v>379</v>
      </c>
      <c r="B162" s="63"/>
      <c r="C162" s="91" t="s">
        <v>233</v>
      </c>
      <c r="D162" s="91" t="s">
        <v>167</v>
      </c>
      <c r="E162" s="91" t="s">
        <v>380</v>
      </c>
      <c r="F162" s="89"/>
      <c r="G162" s="90">
        <f>SUM(G163)</f>
        <v>1527.1</v>
      </c>
      <c r="H162" s="90">
        <f>SUM(H163)</f>
        <v>1527.1</v>
      </c>
      <c r="I162" s="34">
        <f t="shared" si="6"/>
        <v>100</v>
      </c>
    </row>
    <row r="163" spans="1:9" s="50" customFormat="1" ht="19.5" customHeight="1">
      <c r="A163" s="49" t="s">
        <v>273</v>
      </c>
      <c r="B163" s="63"/>
      <c r="C163" s="91" t="s">
        <v>233</v>
      </c>
      <c r="D163" s="91" t="s">
        <v>167</v>
      </c>
      <c r="E163" s="91" t="s">
        <v>380</v>
      </c>
      <c r="F163" s="89" t="s">
        <v>274</v>
      </c>
      <c r="G163" s="90">
        <v>1527.1</v>
      </c>
      <c r="H163" s="90">
        <v>1527.1</v>
      </c>
      <c r="I163" s="34">
        <f t="shared" si="6"/>
        <v>100</v>
      </c>
    </row>
    <row r="164" spans="1:9" s="50" customFormat="1" ht="26.25" customHeight="1" hidden="1">
      <c r="A164" s="49"/>
      <c r="B164" s="63"/>
      <c r="C164" s="63"/>
      <c r="D164" s="63"/>
      <c r="E164" s="63"/>
      <c r="F164" s="89"/>
      <c r="G164" s="90"/>
      <c r="H164" s="90"/>
      <c r="I164" s="34" t="e">
        <f t="shared" si="6"/>
        <v>#DIV/0!</v>
      </c>
    </row>
    <row r="165" spans="1:9" s="50" customFormat="1" ht="18" customHeight="1" hidden="1">
      <c r="A165" s="30" t="s">
        <v>381</v>
      </c>
      <c r="B165" s="63"/>
      <c r="C165" s="91" t="s">
        <v>233</v>
      </c>
      <c r="D165" s="91" t="s">
        <v>167</v>
      </c>
      <c r="E165" s="91" t="s">
        <v>382</v>
      </c>
      <c r="F165" s="89"/>
      <c r="G165" s="90">
        <f>SUM(G166+G168)</f>
        <v>0</v>
      </c>
      <c r="H165" s="90">
        <f>SUM(H166+H168)</f>
        <v>0</v>
      </c>
      <c r="I165" s="34" t="e">
        <f t="shared" si="6"/>
        <v>#DIV/0!</v>
      </c>
    </row>
    <row r="166" spans="1:9" s="50" customFormat="1" ht="42.75" hidden="1">
      <c r="A166" s="49" t="s">
        <v>383</v>
      </c>
      <c r="B166" s="92"/>
      <c r="C166" s="91" t="s">
        <v>233</v>
      </c>
      <c r="D166" s="91" t="s">
        <v>167</v>
      </c>
      <c r="E166" s="91" t="s">
        <v>384</v>
      </c>
      <c r="F166" s="89"/>
      <c r="G166" s="90">
        <f>SUM(G167)</f>
        <v>0</v>
      </c>
      <c r="H166" s="90">
        <f>SUM(H167)</f>
        <v>0</v>
      </c>
      <c r="I166" s="34" t="e">
        <f t="shared" si="6"/>
        <v>#DIV/0!</v>
      </c>
    </row>
    <row r="167" spans="1:9" s="50" customFormat="1" ht="15" hidden="1">
      <c r="A167" s="46" t="s">
        <v>273</v>
      </c>
      <c r="B167" s="63"/>
      <c r="C167" s="91" t="s">
        <v>233</v>
      </c>
      <c r="D167" s="91" t="s">
        <v>167</v>
      </c>
      <c r="E167" s="91" t="s">
        <v>384</v>
      </c>
      <c r="F167" s="68" t="s">
        <v>274</v>
      </c>
      <c r="G167" s="34"/>
      <c r="H167" s="34"/>
      <c r="I167" s="34" t="e">
        <f t="shared" si="6"/>
        <v>#DIV/0!</v>
      </c>
    </row>
    <row r="168" spans="1:9" s="50" customFormat="1" ht="28.5" hidden="1">
      <c r="A168" s="46" t="s">
        <v>385</v>
      </c>
      <c r="B168" s="63"/>
      <c r="C168" s="91" t="s">
        <v>233</v>
      </c>
      <c r="D168" s="91" t="s">
        <v>167</v>
      </c>
      <c r="E168" s="91" t="s">
        <v>386</v>
      </c>
      <c r="F168" s="68"/>
      <c r="G168" s="34">
        <f>SUM(G169)</f>
        <v>0</v>
      </c>
      <c r="H168" s="34">
        <f>SUM(H169)</f>
        <v>0</v>
      </c>
      <c r="I168" s="34" t="e">
        <f t="shared" si="6"/>
        <v>#DIV/0!</v>
      </c>
    </row>
    <row r="169" spans="1:9" s="50" customFormat="1" ht="28.5" hidden="1">
      <c r="A169" s="35" t="s">
        <v>174</v>
      </c>
      <c r="B169" s="87"/>
      <c r="C169" s="32" t="s">
        <v>233</v>
      </c>
      <c r="D169" s="32" t="s">
        <v>167</v>
      </c>
      <c r="E169" s="91" t="s">
        <v>386</v>
      </c>
      <c r="F169" s="68" t="s">
        <v>175</v>
      </c>
      <c r="G169" s="34"/>
      <c r="H169" s="34"/>
      <c r="I169" s="34" t="e">
        <f t="shared" si="6"/>
        <v>#DIV/0!</v>
      </c>
    </row>
    <row r="170" spans="1:9" s="50" customFormat="1" ht="28.5" hidden="1">
      <c r="A170" s="35" t="s">
        <v>387</v>
      </c>
      <c r="B170" s="87"/>
      <c r="C170" s="32" t="s">
        <v>233</v>
      </c>
      <c r="D170" s="32" t="s">
        <v>167</v>
      </c>
      <c r="E170" s="64" t="s">
        <v>388</v>
      </c>
      <c r="F170" s="68"/>
      <c r="G170" s="34"/>
      <c r="H170" s="34"/>
      <c r="I170" s="34" t="e">
        <f t="shared" si="6"/>
        <v>#DIV/0!</v>
      </c>
    </row>
    <row r="171" spans="1:9" s="50" customFormat="1" ht="42.75" hidden="1">
      <c r="A171" s="35" t="s">
        <v>389</v>
      </c>
      <c r="B171" s="87"/>
      <c r="C171" s="32" t="s">
        <v>233</v>
      </c>
      <c r="D171" s="32" t="s">
        <v>167</v>
      </c>
      <c r="E171" s="64" t="s">
        <v>390</v>
      </c>
      <c r="F171" s="68"/>
      <c r="G171" s="34">
        <f>SUM(G172)</f>
        <v>0</v>
      </c>
      <c r="H171" s="34">
        <f>SUM(H172)</f>
        <v>0</v>
      </c>
      <c r="I171" s="34" t="e">
        <f t="shared" si="6"/>
        <v>#DIV/0!</v>
      </c>
    </row>
    <row r="172" spans="1:9" s="50" customFormat="1" ht="15" hidden="1">
      <c r="A172" s="30" t="s">
        <v>342</v>
      </c>
      <c r="B172" s="87"/>
      <c r="C172" s="32" t="s">
        <v>233</v>
      </c>
      <c r="D172" s="32" t="s">
        <v>167</v>
      </c>
      <c r="E172" s="91" t="s">
        <v>390</v>
      </c>
      <c r="F172" s="68" t="s">
        <v>343</v>
      </c>
      <c r="G172" s="34"/>
      <c r="H172" s="34"/>
      <c r="I172" s="34" t="e">
        <f t="shared" si="6"/>
        <v>#DIV/0!</v>
      </c>
    </row>
    <row r="173" spans="1:9" s="50" customFormat="1" ht="42.75" hidden="1">
      <c r="A173" s="35" t="s">
        <v>391</v>
      </c>
      <c r="B173" s="87"/>
      <c r="C173" s="32" t="s">
        <v>233</v>
      </c>
      <c r="D173" s="32" t="s">
        <v>167</v>
      </c>
      <c r="E173" s="64" t="s">
        <v>392</v>
      </c>
      <c r="F173" s="68"/>
      <c r="G173" s="34">
        <f>SUM(G174)</f>
        <v>0</v>
      </c>
      <c r="H173" s="34">
        <f>SUM(H174)</f>
        <v>0</v>
      </c>
      <c r="I173" s="34" t="e">
        <f t="shared" si="6"/>
        <v>#DIV/0!</v>
      </c>
    </row>
    <row r="174" spans="1:9" s="50" customFormat="1" ht="21.75" customHeight="1" hidden="1">
      <c r="A174" s="30" t="s">
        <v>342</v>
      </c>
      <c r="B174" s="87"/>
      <c r="C174" s="32" t="s">
        <v>233</v>
      </c>
      <c r="D174" s="32" t="s">
        <v>167</v>
      </c>
      <c r="E174" s="91" t="s">
        <v>392</v>
      </c>
      <c r="F174" s="68" t="s">
        <v>343</v>
      </c>
      <c r="G174" s="34"/>
      <c r="H174" s="34"/>
      <c r="I174" s="34" t="e">
        <f t="shared" si="6"/>
        <v>#DIV/0!</v>
      </c>
    </row>
    <row r="175" spans="1:9" s="50" customFormat="1" ht="15">
      <c r="A175" s="93" t="s">
        <v>278</v>
      </c>
      <c r="B175" s="63"/>
      <c r="C175" s="63" t="s">
        <v>233</v>
      </c>
      <c r="D175" s="63" t="s">
        <v>167</v>
      </c>
      <c r="E175" s="63" t="s">
        <v>279</v>
      </c>
      <c r="F175" s="68"/>
      <c r="G175" s="34">
        <f>SUM(G176+G179)+G182</f>
        <v>23245.6</v>
      </c>
      <c r="H175" s="34">
        <f>SUM(H176+H179)+H182</f>
        <v>23139.3</v>
      </c>
      <c r="I175" s="34">
        <f t="shared" si="6"/>
        <v>99.54270915786213</v>
      </c>
    </row>
    <row r="176" spans="1:9" s="50" customFormat="1" ht="27" customHeight="1">
      <c r="A176" s="35" t="s">
        <v>174</v>
      </c>
      <c r="B176" s="63"/>
      <c r="C176" s="64" t="s">
        <v>233</v>
      </c>
      <c r="D176" s="64" t="s">
        <v>167</v>
      </c>
      <c r="E176" s="64" t="s">
        <v>279</v>
      </c>
      <c r="F176" s="65" t="s">
        <v>175</v>
      </c>
      <c r="G176" s="94">
        <f>SUM(G177:G178)</f>
        <v>885.3</v>
      </c>
      <c r="H176" s="94">
        <f>SUM(H177:H178)</f>
        <v>885.3</v>
      </c>
      <c r="I176" s="34">
        <f t="shared" si="6"/>
        <v>100</v>
      </c>
    </row>
    <row r="177" spans="1:9" s="50" customFormat="1" ht="14.25" customHeight="1" hidden="1">
      <c r="A177" s="95" t="s">
        <v>393</v>
      </c>
      <c r="B177" s="63"/>
      <c r="C177" s="63" t="s">
        <v>233</v>
      </c>
      <c r="D177" s="63" t="s">
        <v>167</v>
      </c>
      <c r="E177" s="63" t="s">
        <v>394</v>
      </c>
      <c r="F177" s="68" t="s">
        <v>175</v>
      </c>
      <c r="G177" s="94"/>
      <c r="H177" s="94"/>
      <c r="I177" s="34" t="e">
        <f t="shared" si="6"/>
        <v>#DIV/0!</v>
      </c>
    </row>
    <row r="178" spans="1:9" s="88" customFormat="1" ht="15" customHeight="1">
      <c r="A178" s="95" t="s">
        <v>395</v>
      </c>
      <c r="B178" s="63"/>
      <c r="C178" s="63" t="s">
        <v>233</v>
      </c>
      <c r="D178" s="63" t="s">
        <v>167</v>
      </c>
      <c r="E178" s="63" t="s">
        <v>396</v>
      </c>
      <c r="F178" s="68" t="s">
        <v>175</v>
      </c>
      <c r="G178" s="94">
        <v>885.3</v>
      </c>
      <c r="H178" s="94">
        <v>885.3</v>
      </c>
      <c r="I178" s="34">
        <f t="shared" si="6"/>
        <v>100</v>
      </c>
    </row>
    <row r="179" spans="1:9" s="88" customFormat="1" ht="15">
      <c r="A179" s="95" t="s">
        <v>273</v>
      </c>
      <c r="B179" s="63"/>
      <c r="C179" s="63" t="s">
        <v>233</v>
      </c>
      <c r="D179" s="63" t="s">
        <v>167</v>
      </c>
      <c r="E179" s="63" t="s">
        <v>279</v>
      </c>
      <c r="F179" s="68" t="s">
        <v>274</v>
      </c>
      <c r="G179" s="77">
        <f>SUM(G180)</f>
        <v>19446.7</v>
      </c>
      <c r="H179" s="77">
        <f>SUM(H180)</f>
        <v>19445.9</v>
      </c>
      <c r="I179" s="34">
        <f t="shared" si="6"/>
        <v>99.9958861914875</v>
      </c>
    </row>
    <row r="180" spans="1:9" ht="47.25" customHeight="1">
      <c r="A180" s="46" t="s">
        <v>397</v>
      </c>
      <c r="B180" s="63"/>
      <c r="C180" s="64" t="s">
        <v>233</v>
      </c>
      <c r="D180" s="64" t="s">
        <v>167</v>
      </c>
      <c r="E180" s="64" t="s">
        <v>398</v>
      </c>
      <c r="F180" s="65" t="s">
        <v>274</v>
      </c>
      <c r="G180" s="34">
        <f>SUM(G181)</f>
        <v>19446.7</v>
      </c>
      <c r="H180" s="34">
        <f>SUM(H181)</f>
        <v>19445.9</v>
      </c>
      <c r="I180" s="34">
        <f t="shared" si="6"/>
        <v>99.9958861914875</v>
      </c>
    </row>
    <row r="181" spans="1:9" s="50" customFormat="1" ht="39.75" customHeight="1">
      <c r="A181" s="49" t="s">
        <v>383</v>
      </c>
      <c r="B181" s="63"/>
      <c r="C181" s="64" t="s">
        <v>233</v>
      </c>
      <c r="D181" s="64" t="s">
        <v>167</v>
      </c>
      <c r="E181" s="64" t="s">
        <v>399</v>
      </c>
      <c r="F181" s="65" t="s">
        <v>274</v>
      </c>
      <c r="G181" s="34">
        <f>19373.4+73.3</f>
        <v>19446.7</v>
      </c>
      <c r="H181" s="34">
        <v>19445.9</v>
      </c>
      <c r="I181" s="34">
        <f t="shared" si="6"/>
        <v>99.9958861914875</v>
      </c>
    </row>
    <row r="182" spans="1:9" s="50" customFormat="1" ht="29.25" customHeight="1">
      <c r="A182" s="96" t="s">
        <v>402</v>
      </c>
      <c r="B182" s="63"/>
      <c r="C182" s="64" t="s">
        <v>233</v>
      </c>
      <c r="D182" s="64" t="s">
        <v>167</v>
      </c>
      <c r="E182" s="64" t="s">
        <v>403</v>
      </c>
      <c r="F182" s="65"/>
      <c r="G182" s="34">
        <f>SUM(G183)</f>
        <v>2913.6</v>
      </c>
      <c r="H182" s="34">
        <f>SUM(H183)</f>
        <v>2808.1</v>
      </c>
      <c r="I182" s="34">
        <f t="shared" si="6"/>
        <v>96.37904997254256</v>
      </c>
    </row>
    <row r="183" spans="1:9" s="50" customFormat="1" ht="34.5" customHeight="1">
      <c r="A183" s="35" t="s">
        <v>174</v>
      </c>
      <c r="B183" s="63"/>
      <c r="C183" s="64" t="s">
        <v>233</v>
      </c>
      <c r="D183" s="64" t="s">
        <v>167</v>
      </c>
      <c r="E183" s="64" t="s">
        <v>403</v>
      </c>
      <c r="F183" s="65" t="s">
        <v>175</v>
      </c>
      <c r="G183" s="34">
        <f>572.8+0.8+2340</f>
        <v>2913.6</v>
      </c>
      <c r="H183" s="34">
        <v>2808.1</v>
      </c>
      <c r="I183" s="34">
        <f t="shared" si="6"/>
        <v>96.37904997254256</v>
      </c>
    </row>
    <row r="184" spans="1:9" ht="21.75" customHeight="1">
      <c r="A184" s="46" t="s">
        <v>404</v>
      </c>
      <c r="B184" s="47"/>
      <c r="C184" s="48" t="s">
        <v>233</v>
      </c>
      <c r="D184" s="48" t="s">
        <v>169</v>
      </c>
      <c r="E184" s="48"/>
      <c r="F184" s="36"/>
      <c r="G184" s="34">
        <f>SUM(G191+G205)+G185+G201+G188</f>
        <v>89956.9</v>
      </c>
      <c r="H184" s="34">
        <f>SUM(H191+H205)+H185+H201+H188</f>
        <v>84892.79999999999</v>
      </c>
      <c r="I184" s="34">
        <f t="shared" si="6"/>
        <v>94.37052632983128</v>
      </c>
    </row>
    <row r="185" spans="1:9" ht="21.75" customHeight="1">
      <c r="A185" s="30" t="s">
        <v>253</v>
      </c>
      <c r="B185" s="31"/>
      <c r="C185" s="48" t="s">
        <v>233</v>
      </c>
      <c r="D185" s="48" t="s">
        <v>169</v>
      </c>
      <c r="E185" s="48" t="s">
        <v>230</v>
      </c>
      <c r="F185" s="36"/>
      <c r="G185" s="34">
        <f>SUM(G186)</f>
        <v>0</v>
      </c>
      <c r="H185" s="34">
        <f>SUM(H186)</f>
        <v>1207.9</v>
      </c>
      <c r="I185" s="34"/>
    </row>
    <row r="186" spans="1:9" ht="21.75" customHeight="1">
      <c r="A186" s="30" t="s">
        <v>255</v>
      </c>
      <c r="B186" s="31"/>
      <c r="C186" s="48" t="s">
        <v>233</v>
      </c>
      <c r="D186" s="48" t="s">
        <v>169</v>
      </c>
      <c r="E186" s="48" t="s">
        <v>256</v>
      </c>
      <c r="F186" s="33"/>
      <c r="G186" s="34">
        <f>SUM(G187)</f>
        <v>0</v>
      </c>
      <c r="H186" s="34">
        <f>SUM(H187)</f>
        <v>1207.9</v>
      </c>
      <c r="I186" s="34"/>
    </row>
    <row r="187" spans="1:9" ht="23.25" customHeight="1">
      <c r="A187" s="35" t="s">
        <v>174</v>
      </c>
      <c r="B187" s="31"/>
      <c r="C187" s="48" t="s">
        <v>233</v>
      </c>
      <c r="D187" s="48" t="s">
        <v>169</v>
      </c>
      <c r="E187" s="48" t="s">
        <v>256</v>
      </c>
      <c r="F187" s="33" t="s">
        <v>175</v>
      </c>
      <c r="G187" s="34"/>
      <c r="H187" s="34">
        <v>1207.9</v>
      </c>
      <c r="I187" s="34"/>
    </row>
    <row r="188" spans="1:9" ht="27.75" customHeight="1">
      <c r="A188" s="98" t="s">
        <v>408</v>
      </c>
      <c r="B188" s="31"/>
      <c r="C188" s="48" t="s">
        <v>233</v>
      </c>
      <c r="D188" s="48" t="s">
        <v>169</v>
      </c>
      <c r="E188" s="48" t="s">
        <v>409</v>
      </c>
      <c r="F188" s="33"/>
      <c r="G188" s="34">
        <f>SUM(G189)</f>
        <v>10552.1</v>
      </c>
      <c r="H188" s="34">
        <f>SUM(H189)</f>
        <v>5582.2</v>
      </c>
      <c r="I188" s="34">
        <f t="shared" si="6"/>
        <v>52.90131822101761</v>
      </c>
    </row>
    <row r="189" spans="1:9" ht="33" customHeight="1">
      <c r="A189" s="98" t="s">
        <v>410</v>
      </c>
      <c r="B189" s="31"/>
      <c r="C189" s="48" t="s">
        <v>233</v>
      </c>
      <c r="D189" s="48" t="s">
        <v>169</v>
      </c>
      <c r="E189" s="48" t="s">
        <v>411</v>
      </c>
      <c r="F189" s="33"/>
      <c r="G189" s="34">
        <f>SUM(G190)</f>
        <v>10552.1</v>
      </c>
      <c r="H189" s="34">
        <f>SUM(H190)</f>
        <v>5582.2</v>
      </c>
      <c r="I189" s="34">
        <f t="shared" si="6"/>
        <v>52.90131822101761</v>
      </c>
    </row>
    <row r="190" spans="1:9" ht="15.75" customHeight="1">
      <c r="A190" s="30" t="s">
        <v>342</v>
      </c>
      <c r="B190" s="31"/>
      <c r="C190" s="48" t="s">
        <v>233</v>
      </c>
      <c r="D190" s="48" t="s">
        <v>169</v>
      </c>
      <c r="E190" s="48" t="s">
        <v>411</v>
      </c>
      <c r="F190" s="33" t="s">
        <v>343</v>
      </c>
      <c r="G190" s="34">
        <v>10552.1</v>
      </c>
      <c r="H190" s="34">
        <v>5582.2</v>
      </c>
      <c r="I190" s="34">
        <f t="shared" si="6"/>
        <v>52.90131822101761</v>
      </c>
    </row>
    <row r="191" spans="1:9" ht="18" customHeight="1">
      <c r="A191" s="75" t="s">
        <v>412</v>
      </c>
      <c r="B191" s="47"/>
      <c r="C191" s="48" t="s">
        <v>233</v>
      </c>
      <c r="D191" s="48" t="s">
        <v>169</v>
      </c>
      <c r="E191" s="48" t="s">
        <v>406</v>
      </c>
      <c r="F191" s="36"/>
      <c r="G191" s="34">
        <f>SUM(G192+G194+G196)</f>
        <v>79404.79999999999</v>
      </c>
      <c r="H191" s="34">
        <f>SUM(H192+H194+H196)</f>
        <v>78102.7</v>
      </c>
      <c r="I191" s="34">
        <f t="shared" si="6"/>
        <v>98.36017469976626</v>
      </c>
    </row>
    <row r="192" spans="1:9" ht="57">
      <c r="A192" s="93" t="s">
        <v>413</v>
      </c>
      <c r="B192" s="47"/>
      <c r="C192" s="48" t="s">
        <v>233</v>
      </c>
      <c r="D192" s="48" t="s">
        <v>169</v>
      </c>
      <c r="E192" s="48" t="s">
        <v>414</v>
      </c>
      <c r="F192" s="36"/>
      <c r="G192" s="34">
        <f>SUM(G193)</f>
        <v>11556.9</v>
      </c>
      <c r="H192" s="34">
        <f>SUM(H193)</f>
        <v>10485.7</v>
      </c>
      <c r="I192" s="34">
        <f t="shared" si="6"/>
        <v>90.73107840337808</v>
      </c>
    </row>
    <row r="193" spans="1:9" s="107" customFormat="1" ht="15">
      <c r="A193" s="30" t="s">
        <v>342</v>
      </c>
      <c r="B193" s="31"/>
      <c r="C193" s="32" t="s">
        <v>233</v>
      </c>
      <c r="D193" s="48" t="s">
        <v>169</v>
      </c>
      <c r="E193" s="48" t="s">
        <v>414</v>
      </c>
      <c r="F193" s="33" t="s">
        <v>343</v>
      </c>
      <c r="G193" s="34">
        <f>6000+5556.9</f>
        <v>11556.9</v>
      </c>
      <c r="H193" s="34">
        <v>10485.7</v>
      </c>
      <c r="I193" s="34">
        <f t="shared" si="6"/>
        <v>90.73107840337808</v>
      </c>
    </row>
    <row r="194" spans="1:9" ht="57">
      <c r="A194" s="93" t="s">
        <v>415</v>
      </c>
      <c r="B194" s="31"/>
      <c r="C194" s="48" t="s">
        <v>233</v>
      </c>
      <c r="D194" s="48" t="s">
        <v>169</v>
      </c>
      <c r="E194" s="48" t="s">
        <v>416</v>
      </c>
      <c r="F194" s="33"/>
      <c r="G194" s="34">
        <f>SUM(G195)</f>
        <v>326.3</v>
      </c>
      <c r="H194" s="34">
        <f>SUM(H195)</f>
        <v>320.8</v>
      </c>
      <c r="I194" s="34">
        <f t="shared" si="6"/>
        <v>98.31443456941464</v>
      </c>
    </row>
    <row r="195" spans="1:9" s="107" customFormat="1" ht="20.25" customHeight="1">
      <c r="A195" s="30" t="s">
        <v>342</v>
      </c>
      <c r="B195" s="31"/>
      <c r="C195" s="48" t="s">
        <v>233</v>
      </c>
      <c r="D195" s="48" t="s">
        <v>169</v>
      </c>
      <c r="E195" s="48" t="s">
        <v>416</v>
      </c>
      <c r="F195" s="33" t="s">
        <v>343</v>
      </c>
      <c r="G195" s="34">
        <v>326.3</v>
      </c>
      <c r="H195" s="34">
        <v>320.8</v>
      </c>
      <c r="I195" s="34">
        <f t="shared" si="6"/>
        <v>98.31443456941464</v>
      </c>
    </row>
    <row r="196" spans="1:9" ht="15">
      <c r="A196" s="49" t="s">
        <v>417</v>
      </c>
      <c r="B196" s="47"/>
      <c r="C196" s="48" t="s">
        <v>233</v>
      </c>
      <c r="D196" s="48" t="s">
        <v>169</v>
      </c>
      <c r="E196" s="48" t="s">
        <v>418</v>
      </c>
      <c r="F196" s="36"/>
      <c r="G196" s="34">
        <f>SUM(G197:G198)+G199</f>
        <v>67521.59999999999</v>
      </c>
      <c r="H196" s="34">
        <f>SUM(H197:H198)+H199</f>
        <v>67296.2</v>
      </c>
      <c r="I196" s="34">
        <f t="shared" si="6"/>
        <v>99.66618089618731</v>
      </c>
    </row>
    <row r="197" spans="1:9" ht="21" customHeight="1">
      <c r="A197" s="30" t="s">
        <v>342</v>
      </c>
      <c r="B197" s="47"/>
      <c r="C197" s="48" t="s">
        <v>233</v>
      </c>
      <c r="D197" s="48" t="s">
        <v>169</v>
      </c>
      <c r="E197" s="48" t="s">
        <v>418</v>
      </c>
      <c r="F197" s="33" t="s">
        <v>343</v>
      </c>
      <c r="G197" s="77">
        <v>21680.6</v>
      </c>
      <c r="H197" s="77">
        <v>21680.6</v>
      </c>
      <c r="I197" s="34">
        <f t="shared" si="6"/>
        <v>100</v>
      </c>
    </row>
    <row r="198" spans="1:9" ht="27" customHeight="1">
      <c r="A198" s="35" t="s">
        <v>174</v>
      </c>
      <c r="B198" s="47"/>
      <c r="C198" s="48" t="s">
        <v>233</v>
      </c>
      <c r="D198" s="48" t="s">
        <v>169</v>
      </c>
      <c r="E198" s="48" t="s">
        <v>418</v>
      </c>
      <c r="F198" s="33" t="s">
        <v>175</v>
      </c>
      <c r="G198" s="77">
        <f>25313.6+5000+2400.8+380-587.3-3946.3+1734.7-68.7+100+2145.8+3548.4-180</f>
        <v>35840.99999999999</v>
      </c>
      <c r="H198" s="77">
        <v>35615.6</v>
      </c>
      <c r="I198" s="34">
        <f t="shared" si="6"/>
        <v>99.37111129711784</v>
      </c>
    </row>
    <row r="199" spans="1:9" ht="27" customHeight="1">
      <c r="A199" s="49" t="s">
        <v>419</v>
      </c>
      <c r="B199" s="47"/>
      <c r="C199" s="48" t="s">
        <v>233</v>
      </c>
      <c r="D199" s="48" t="s">
        <v>169</v>
      </c>
      <c r="E199" s="48" t="s">
        <v>420</v>
      </c>
      <c r="F199" s="33"/>
      <c r="G199" s="77">
        <f>SUM(G200)</f>
        <v>10000</v>
      </c>
      <c r="H199" s="77">
        <f>SUM(H200)</f>
        <v>10000</v>
      </c>
      <c r="I199" s="34">
        <f t="shared" si="6"/>
        <v>100</v>
      </c>
    </row>
    <row r="200" spans="1:9" ht="27" customHeight="1">
      <c r="A200" s="35" t="s">
        <v>174</v>
      </c>
      <c r="B200" s="47"/>
      <c r="C200" s="48" t="s">
        <v>233</v>
      </c>
      <c r="D200" s="48" t="s">
        <v>169</v>
      </c>
      <c r="E200" s="48" t="s">
        <v>420</v>
      </c>
      <c r="F200" s="33" t="s">
        <v>175</v>
      </c>
      <c r="G200" s="77">
        <v>10000</v>
      </c>
      <c r="H200" s="77">
        <v>10000</v>
      </c>
      <c r="I200" s="34">
        <f t="shared" si="6"/>
        <v>100</v>
      </c>
    </row>
    <row r="201" spans="1:9" ht="17.25" customHeight="1" hidden="1">
      <c r="A201" s="49" t="s">
        <v>331</v>
      </c>
      <c r="B201" s="63"/>
      <c r="C201" s="48" t="s">
        <v>233</v>
      </c>
      <c r="D201" s="48" t="s">
        <v>169</v>
      </c>
      <c r="E201" s="64" t="s">
        <v>332</v>
      </c>
      <c r="F201" s="36"/>
      <c r="G201" s="77">
        <f aca="true" t="shared" si="7" ref="G201:H203">SUM(G202)</f>
        <v>0</v>
      </c>
      <c r="H201" s="77">
        <f t="shared" si="7"/>
        <v>0</v>
      </c>
      <c r="I201" s="34" t="e">
        <f t="shared" si="6"/>
        <v>#DIV/0!</v>
      </c>
    </row>
    <row r="202" spans="1:9" ht="15.75" customHeight="1" hidden="1">
      <c r="A202" s="30" t="s">
        <v>381</v>
      </c>
      <c r="B202" s="63"/>
      <c r="C202" s="48" t="s">
        <v>233</v>
      </c>
      <c r="D202" s="48" t="s">
        <v>169</v>
      </c>
      <c r="E202" s="64" t="s">
        <v>382</v>
      </c>
      <c r="F202" s="36"/>
      <c r="G202" s="77">
        <f t="shared" si="7"/>
        <v>0</v>
      </c>
      <c r="H202" s="77">
        <f t="shared" si="7"/>
        <v>0</v>
      </c>
      <c r="I202" s="34" t="e">
        <f t="shared" si="6"/>
        <v>#DIV/0!</v>
      </c>
    </row>
    <row r="203" spans="1:9" ht="13.5" customHeight="1" hidden="1">
      <c r="A203" s="49" t="s">
        <v>421</v>
      </c>
      <c r="B203" s="31"/>
      <c r="C203" s="48" t="s">
        <v>233</v>
      </c>
      <c r="D203" s="48" t="s">
        <v>169</v>
      </c>
      <c r="E203" s="64" t="s">
        <v>422</v>
      </c>
      <c r="F203" s="36"/>
      <c r="G203" s="77">
        <f t="shared" si="7"/>
        <v>0</v>
      </c>
      <c r="H203" s="77">
        <f t="shared" si="7"/>
        <v>0</v>
      </c>
      <c r="I203" s="34" t="e">
        <f t="shared" si="6"/>
        <v>#DIV/0!</v>
      </c>
    </row>
    <row r="204" spans="1:9" ht="14.25" customHeight="1" hidden="1">
      <c r="A204" s="35" t="s">
        <v>174</v>
      </c>
      <c r="B204" s="47"/>
      <c r="C204" s="48" t="s">
        <v>233</v>
      </c>
      <c r="D204" s="48" t="s">
        <v>169</v>
      </c>
      <c r="E204" s="64" t="s">
        <v>422</v>
      </c>
      <c r="F204" s="33" t="s">
        <v>175</v>
      </c>
      <c r="G204" s="77"/>
      <c r="H204" s="77"/>
      <c r="I204" s="34" t="e">
        <f t="shared" si="6"/>
        <v>#DIV/0!</v>
      </c>
    </row>
    <row r="205" spans="1:9" ht="18.75" customHeight="1" hidden="1">
      <c r="A205" s="93" t="s">
        <v>278</v>
      </c>
      <c r="B205" s="99"/>
      <c r="C205" s="63" t="s">
        <v>233</v>
      </c>
      <c r="D205" s="63" t="s">
        <v>169</v>
      </c>
      <c r="E205" s="63" t="s">
        <v>279</v>
      </c>
      <c r="F205" s="68"/>
      <c r="G205" s="77">
        <f>SUM(G206)</f>
        <v>0</v>
      </c>
      <c r="H205" s="77">
        <f>SUM(H206)</f>
        <v>0</v>
      </c>
      <c r="I205" s="34" t="e">
        <f t="shared" si="6"/>
        <v>#DIV/0!</v>
      </c>
    </row>
    <row r="206" spans="1:9" s="111" customFormat="1" ht="28.5" hidden="1">
      <c r="A206" s="35" t="s">
        <v>174</v>
      </c>
      <c r="B206" s="99"/>
      <c r="C206" s="64" t="s">
        <v>233</v>
      </c>
      <c r="D206" s="64" t="s">
        <v>169</v>
      </c>
      <c r="E206" s="64" t="s">
        <v>279</v>
      </c>
      <c r="F206" s="33" t="s">
        <v>175</v>
      </c>
      <c r="G206" s="77">
        <f>SUM(G207)+G208+G210</f>
        <v>0</v>
      </c>
      <c r="H206" s="77">
        <f>SUM(H207)+H208+H210</f>
        <v>0</v>
      </c>
      <c r="I206" s="34" t="e">
        <f t="shared" si="6"/>
        <v>#DIV/0!</v>
      </c>
    </row>
    <row r="207" spans="1:9" ht="27" customHeight="1" hidden="1">
      <c r="A207" s="35" t="s">
        <v>423</v>
      </c>
      <c r="B207" s="99"/>
      <c r="C207" s="64" t="s">
        <v>233</v>
      </c>
      <c r="D207" s="64" t="s">
        <v>169</v>
      </c>
      <c r="E207" s="64" t="s">
        <v>424</v>
      </c>
      <c r="F207" s="33" t="s">
        <v>175</v>
      </c>
      <c r="G207" s="77">
        <f>600-600</f>
        <v>0</v>
      </c>
      <c r="H207" s="77">
        <f>600-600</f>
        <v>0</v>
      </c>
      <c r="I207" s="34" t="e">
        <f t="shared" si="6"/>
        <v>#DIV/0!</v>
      </c>
    </row>
    <row r="208" spans="1:9" ht="27" customHeight="1" hidden="1">
      <c r="A208" s="95" t="s">
        <v>425</v>
      </c>
      <c r="B208" s="99"/>
      <c r="C208" s="64" t="s">
        <v>233</v>
      </c>
      <c r="D208" s="64" t="s">
        <v>169</v>
      </c>
      <c r="E208" s="64" t="s">
        <v>426</v>
      </c>
      <c r="F208" s="33" t="s">
        <v>175</v>
      </c>
      <c r="G208" s="77">
        <f>900-900</f>
        <v>0</v>
      </c>
      <c r="H208" s="77">
        <f>900-900</f>
        <v>0</v>
      </c>
      <c r="I208" s="34" t="e">
        <f aca="true" t="shared" si="8" ref="I208:I271">SUM(H208/G208*100)</f>
        <v>#DIV/0!</v>
      </c>
    </row>
    <row r="209" spans="1:9" ht="21.75" customHeight="1" hidden="1">
      <c r="A209" s="95" t="s">
        <v>427</v>
      </c>
      <c r="B209" s="99"/>
      <c r="C209" s="64" t="s">
        <v>233</v>
      </c>
      <c r="D209" s="64" t="s">
        <v>169</v>
      </c>
      <c r="E209" s="64" t="s">
        <v>428</v>
      </c>
      <c r="F209" s="33" t="s">
        <v>175</v>
      </c>
      <c r="G209" s="77"/>
      <c r="H209" s="77"/>
      <c r="I209" s="34" t="e">
        <f t="shared" si="8"/>
        <v>#DIV/0!</v>
      </c>
    </row>
    <row r="210" spans="1:9" ht="42.75" hidden="1">
      <c r="A210" s="96" t="s">
        <v>429</v>
      </c>
      <c r="B210" s="99"/>
      <c r="C210" s="64" t="s">
        <v>233</v>
      </c>
      <c r="D210" s="64" t="s">
        <v>169</v>
      </c>
      <c r="E210" s="64" t="s">
        <v>430</v>
      </c>
      <c r="F210" s="33"/>
      <c r="G210" s="77">
        <f>SUM(G211)</f>
        <v>0</v>
      </c>
      <c r="H210" s="77">
        <f>SUM(H211)</f>
        <v>0</v>
      </c>
      <c r="I210" s="34" t="e">
        <f t="shared" si="8"/>
        <v>#DIV/0!</v>
      </c>
    </row>
    <row r="211" spans="1:9" ht="29.25" customHeight="1" hidden="1">
      <c r="A211" s="95" t="s">
        <v>421</v>
      </c>
      <c r="B211" s="99"/>
      <c r="C211" s="64" t="s">
        <v>233</v>
      </c>
      <c r="D211" s="64" t="s">
        <v>169</v>
      </c>
      <c r="E211" s="64" t="s">
        <v>431</v>
      </c>
      <c r="F211" s="33"/>
      <c r="G211" s="77">
        <f>SUM(G212)</f>
        <v>0</v>
      </c>
      <c r="H211" s="77">
        <f>SUM(H212)</f>
        <v>0</v>
      </c>
      <c r="I211" s="34" t="e">
        <f t="shared" si="8"/>
        <v>#DIV/0!</v>
      </c>
    </row>
    <row r="212" spans="1:9" ht="28.5" customHeight="1" hidden="1">
      <c r="A212" s="35" t="s">
        <v>174</v>
      </c>
      <c r="B212" s="99"/>
      <c r="C212" s="64" t="s">
        <v>233</v>
      </c>
      <c r="D212" s="64" t="s">
        <v>169</v>
      </c>
      <c r="E212" s="64" t="s">
        <v>431</v>
      </c>
      <c r="F212" s="33" t="s">
        <v>175</v>
      </c>
      <c r="G212" s="77">
        <f>4200.9-4200.9</f>
        <v>0</v>
      </c>
      <c r="H212" s="77">
        <f>4200.9-4200.9</f>
        <v>0</v>
      </c>
      <c r="I212" s="34" t="e">
        <f t="shared" si="8"/>
        <v>#DIV/0!</v>
      </c>
    </row>
    <row r="213" spans="1:9" s="208" customFormat="1" ht="16.5" customHeight="1">
      <c r="A213" s="100" t="s">
        <v>432</v>
      </c>
      <c r="B213" s="47"/>
      <c r="C213" s="48" t="s">
        <v>233</v>
      </c>
      <c r="D213" s="48" t="s">
        <v>177</v>
      </c>
      <c r="E213" s="48"/>
      <c r="F213" s="36"/>
      <c r="G213" s="34">
        <f>SUM(G216+G229)+G214</f>
        <v>115540.90000000001</v>
      </c>
      <c r="H213" s="34">
        <f>SUM(H216+H229)+H214</f>
        <v>114863.99999999999</v>
      </c>
      <c r="I213" s="34">
        <f t="shared" si="8"/>
        <v>99.41414685189397</v>
      </c>
    </row>
    <row r="214" spans="1:9" s="124" customFormat="1" ht="76.5" customHeight="1" hidden="1">
      <c r="A214" s="100" t="s">
        <v>433</v>
      </c>
      <c r="B214" s="47"/>
      <c r="C214" s="48" t="s">
        <v>233</v>
      </c>
      <c r="D214" s="48" t="s">
        <v>177</v>
      </c>
      <c r="E214" s="48" t="s">
        <v>434</v>
      </c>
      <c r="F214" s="36"/>
      <c r="G214" s="34">
        <f>SUM(G215)</f>
        <v>0</v>
      </c>
      <c r="H214" s="34">
        <f>SUM(H215)</f>
        <v>0</v>
      </c>
      <c r="I214" s="34" t="e">
        <f t="shared" si="8"/>
        <v>#DIV/0!</v>
      </c>
    </row>
    <row r="215" spans="1:9" s="124" customFormat="1" ht="61.5" customHeight="1" hidden="1">
      <c r="A215" s="100" t="s">
        <v>435</v>
      </c>
      <c r="B215" s="47"/>
      <c r="C215" s="48" t="s">
        <v>233</v>
      </c>
      <c r="D215" s="48" t="s">
        <v>177</v>
      </c>
      <c r="E215" s="48" t="s">
        <v>434</v>
      </c>
      <c r="F215" s="36" t="s">
        <v>436</v>
      </c>
      <c r="G215" s="34"/>
      <c r="H215" s="34"/>
      <c r="I215" s="34" t="e">
        <f t="shared" si="8"/>
        <v>#DIV/0!</v>
      </c>
    </row>
    <row r="216" spans="1:9" s="124" customFormat="1" ht="18.75" customHeight="1">
      <c r="A216" s="100" t="s">
        <v>432</v>
      </c>
      <c r="B216" s="63"/>
      <c r="C216" s="48" t="s">
        <v>233</v>
      </c>
      <c r="D216" s="48" t="s">
        <v>177</v>
      </c>
      <c r="E216" s="64" t="s">
        <v>437</v>
      </c>
      <c r="F216" s="65"/>
      <c r="G216" s="34">
        <f>SUM(G217+G221+G225+G227)+G223</f>
        <v>114940.90000000001</v>
      </c>
      <c r="H216" s="34">
        <f>SUM(H217+H221+H225+H227)+H223</f>
        <v>114263.99999999999</v>
      </c>
      <c r="I216" s="34">
        <f t="shared" si="8"/>
        <v>99.41108865512622</v>
      </c>
    </row>
    <row r="217" spans="1:9" s="124" customFormat="1" ht="15.75" customHeight="1">
      <c r="A217" s="93" t="s">
        <v>438</v>
      </c>
      <c r="B217" s="99"/>
      <c r="C217" s="48" t="s">
        <v>233</v>
      </c>
      <c r="D217" s="48" t="s">
        <v>177</v>
      </c>
      <c r="E217" s="64" t="s">
        <v>439</v>
      </c>
      <c r="F217" s="65"/>
      <c r="G217" s="34">
        <f>SUM(G218:G219)</f>
        <v>24486.4</v>
      </c>
      <c r="H217" s="34">
        <f>SUM(H218:H219)</f>
        <v>24104.5</v>
      </c>
      <c r="I217" s="34">
        <f t="shared" si="8"/>
        <v>98.44035872974385</v>
      </c>
    </row>
    <row r="218" spans="1:9" s="124" customFormat="1" ht="28.5">
      <c r="A218" s="35" t="s">
        <v>174</v>
      </c>
      <c r="B218" s="99"/>
      <c r="C218" s="48" t="s">
        <v>233</v>
      </c>
      <c r="D218" s="48" t="s">
        <v>177</v>
      </c>
      <c r="E218" s="64" t="s">
        <v>439</v>
      </c>
      <c r="F218" s="65" t="s">
        <v>175</v>
      </c>
      <c r="G218" s="34">
        <f>20287.7-715.9-1657.2</f>
        <v>17914.6</v>
      </c>
      <c r="H218" s="34">
        <v>17431.5</v>
      </c>
      <c r="I218" s="34">
        <f t="shared" si="8"/>
        <v>97.30331684771082</v>
      </c>
    </row>
    <row r="219" spans="1:9" s="124" customFormat="1" ht="59.25" customHeight="1">
      <c r="A219" s="35" t="s">
        <v>221</v>
      </c>
      <c r="B219" s="99"/>
      <c r="C219" s="48" t="s">
        <v>233</v>
      </c>
      <c r="D219" s="48" t="s">
        <v>177</v>
      </c>
      <c r="E219" s="64" t="s">
        <v>440</v>
      </c>
      <c r="F219" s="65"/>
      <c r="G219" s="34">
        <f>SUM(G220)</f>
        <v>6571.800000000001</v>
      </c>
      <c r="H219" s="34">
        <f>SUM(H220)</f>
        <v>6673</v>
      </c>
      <c r="I219" s="34">
        <f t="shared" si="8"/>
        <v>101.53991296144129</v>
      </c>
    </row>
    <row r="220" spans="1:9" s="124" customFormat="1" ht="28.5">
      <c r="A220" s="35" t="s">
        <v>174</v>
      </c>
      <c r="B220" s="99"/>
      <c r="C220" s="48" t="s">
        <v>233</v>
      </c>
      <c r="D220" s="48" t="s">
        <v>177</v>
      </c>
      <c r="E220" s="64" t="s">
        <v>440</v>
      </c>
      <c r="F220" s="65" t="s">
        <v>175</v>
      </c>
      <c r="G220" s="34">
        <f>8606.7-2034.9</f>
        <v>6571.800000000001</v>
      </c>
      <c r="H220" s="34">
        <v>6673</v>
      </c>
      <c r="I220" s="34">
        <f t="shared" si="8"/>
        <v>101.53991296144129</v>
      </c>
    </row>
    <row r="221" spans="1:9" s="124" customFormat="1" ht="43.5" customHeight="1">
      <c r="A221" s="93" t="s">
        <v>441</v>
      </c>
      <c r="B221" s="99"/>
      <c r="C221" s="48" t="s">
        <v>233</v>
      </c>
      <c r="D221" s="48" t="s">
        <v>177</v>
      </c>
      <c r="E221" s="64" t="s">
        <v>442</v>
      </c>
      <c r="F221" s="65"/>
      <c r="G221" s="34">
        <f>SUM(G222)</f>
        <v>64698.09999999999</v>
      </c>
      <c r="H221" s="34">
        <f>SUM(H222)</f>
        <v>65279.2</v>
      </c>
      <c r="I221" s="34">
        <f t="shared" si="8"/>
        <v>100.898171661919</v>
      </c>
    </row>
    <row r="222" spans="1:9" s="124" customFormat="1" ht="14.25" customHeight="1">
      <c r="A222" s="35" t="s">
        <v>174</v>
      </c>
      <c r="B222" s="99"/>
      <c r="C222" s="48" t="s">
        <v>233</v>
      </c>
      <c r="D222" s="48" t="s">
        <v>177</v>
      </c>
      <c r="E222" s="64" t="s">
        <v>442</v>
      </c>
      <c r="F222" s="65" t="s">
        <v>175</v>
      </c>
      <c r="G222" s="34">
        <f>68680+4.7+896-1874.6-3008</f>
        <v>64698.09999999999</v>
      </c>
      <c r="H222" s="34">
        <v>65279.2</v>
      </c>
      <c r="I222" s="34">
        <f t="shared" si="8"/>
        <v>100.898171661919</v>
      </c>
    </row>
    <row r="223" spans="1:9" ht="71.25">
      <c r="A223" s="35" t="s">
        <v>443</v>
      </c>
      <c r="B223" s="99"/>
      <c r="C223" s="48" t="s">
        <v>233</v>
      </c>
      <c r="D223" s="48" t="s">
        <v>177</v>
      </c>
      <c r="E223" s="64" t="s">
        <v>444</v>
      </c>
      <c r="F223" s="65"/>
      <c r="G223" s="34">
        <f>SUM(G224)</f>
        <v>2672.3</v>
      </c>
      <c r="H223" s="34">
        <f>SUM(H224)</f>
        <v>2672.2</v>
      </c>
      <c r="I223" s="34">
        <f t="shared" si="8"/>
        <v>99.9962579051753</v>
      </c>
    </row>
    <row r="224" spans="1:9" ht="30" customHeight="1">
      <c r="A224" s="35" t="s">
        <v>174</v>
      </c>
      <c r="B224" s="99"/>
      <c r="C224" s="48" t="s">
        <v>233</v>
      </c>
      <c r="D224" s="48" t="s">
        <v>177</v>
      </c>
      <c r="E224" s="64" t="s">
        <v>444</v>
      </c>
      <c r="F224" s="65" t="s">
        <v>175</v>
      </c>
      <c r="G224" s="34">
        <v>2672.3</v>
      </c>
      <c r="H224" s="34">
        <v>2672.2</v>
      </c>
      <c r="I224" s="34">
        <f t="shared" si="8"/>
        <v>99.9962579051753</v>
      </c>
    </row>
    <row r="225" spans="1:9" ht="16.5" customHeight="1">
      <c r="A225" s="93" t="s">
        <v>445</v>
      </c>
      <c r="B225" s="99"/>
      <c r="C225" s="48" t="s">
        <v>233</v>
      </c>
      <c r="D225" s="48" t="s">
        <v>177</v>
      </c>
      <c r="E225" s="64" t="s">
        <v>446</v>
      </c>
      <c r="F225" s="68"/>
      <c r="G225" s="34">
        <f>SUM(G226)</f>
        <v>811.7999999999997</v>
      </c>
      <c r="H225" s="34">
        <f>SUM(H226)</f>
        <v>653.2</v>
      </c>
      <c r="I225" s="34">
        <f t="shared" si="8"/>
        <v>80.46316826804635</v>
      </c>
    </row>
    <row r="226" spans="1:9" s="208" customFormat="1" ht="28.5">
      <c r="A226" s="35" t="s">
        <v>174</v>
      </c>
      <c r="B226" s="99"/>
      <c r="C226" s="48" t="s">
        <v>233</v>
      </c>
      <c r="D226" s="48" t="s">
        <v>177</v>
      </c>
      <c r="E226" s="64" t="s">
        <v>446</v>
      </c>
      <c r="F226" s="65" t="s">
        <v>175</v>
      </c>
      <c r="G226" s="34">
        <f>3500-124.9-2563.3</f>
        <v>811.7999999999997</v>
      </c>
      <c r="H226" s="34">
        <v>653.2</v>
      </c>
      <c r="I226" s="34">
        <f t="shared" si="8"/>
        <v>80.46316826804635</v>
      </c>
    </row>
    <row r="227" spans="1:9" s="208" customFormat="1" ht="28.5">
      <c r="A227" s="93" t="s">
        <v>447</v>
      </c>
      <c r="B227" s="99"/>
      <c r="C227" s="48" t="s">
        <v>233</v>
      </c>
      <c r="D227" s="48" t="s">
        <v>177</v>
      </c>
      <c r="E227" s="64" t="s">
        <v>448</v>
      </c>
      <c r="F227" s="65"/>
      <c r="G227" s="34">
        <f>SUM(G228)</f>
        <v>22272.300000000003</v>
      </c>
      <c r="H227" s="34">
        <f>SUM(H228)</f>
        <v>21554.9</v>
      </c>
      <c r="I227" s="34">
        <f t="shared" si="8"/>
        <v>96.77895861675712</v>
      </c>
    </row>
    <row r="228" spans="1:9" s="208" customFormat="1" ht="27" customHeight="1">
      <c r="A228" s="35" t="s">
        <v>174</v>
      </c>
      <c r="B228" s="99"/>
      <c r="C228" s="48" t="s">
        <v>233</v>
      </c>
      <c r="D228" s="48" t="s">
        <v>177</v>
      </c>
      <c r="E228" s="64" t="s">
        <v>448</v>
      </c>
      <c r="F228" s="65" t="s">
        <v>175</v>
      </c>
      <c r="G228" s="34">
        <f>27403+350+22-3748.6-1871+0.2+52.9+63.8</f>
        <v>22272.300000000003</v>
      </c>
      <c r="H228" s="34">
        <v>21554.9</v>
      </c>
      <c r="I228" s="34">
        <f t="shared" si="8"/>
        <v>96.77895861675712</v>
      </c>
    </row>
    <row r="229" spans="1:9" s="208" customFormat="1" ht="15">
      <c r="A229" s="93" t="s">
        <v>278</v>
      </c>
      <c r="B229" s="99"/>
      <c r="C229" s="48" t="s">
        <v>233</v>
      </c>
      <c r="D229" s="48" t="s">
        <v>177</v>
      </c>
      <c r="E229" s="64" t="s">
        <v>279</v>
      </c>
      <c r="F229" s="65"/>
      <c r="G229" s="34">
        <f>SUM(G230)</f>
        <v>600</v>
      </c>
      <c r="H229" s="34">
        <f>SUM(H230)</f>
        <v>600</v>
      </c>
      <c r="I229" s="34">
        <f t="shared" si="8"/>
        <v>100</v>
      </c>
    </row>
    <row r="230" spans="1:9" s="208" customFormat="1" ht="28.5">
      <c r="A230" s="35" t="s">
        <v>174</v>
      </c>
      <c r="B230" s="99"/>
      <c r="C230" s="48" t="s">
        <v>233</v>
      </c>
      <c r="D230" s="48" t="s">
        <v>177</v>
      </c>
      <c r="E230" s="64" t="s">
        <v>279</v>
      </c>
      <c r="F230" s="65" t="s">
        <v>175</v>
      </c>
      <c r="G230" s="34">
        <f>SUM(G232)+G231</f>
        <v>600</v>
      </c>
      <c r="H230" s="34">
        <f>SUM(H232)+H231</f>
        <v>600</v>
      </c>
      <c r="I230" s="34">
        <f t="shared" si="8"/>
        <v>100</v>
      </c>
    </row>
    <row r="231" spans="1:9" s="208" customFormat="1" ht="29.25" customHeight="1">
      <c r="A231" s="35" t="s">
        <v>423</v>
      </c>
      <c r="B231" s="99"/>
      <c r="C231" s="48" t="s">
        <v>233</v>
      </c>
      <c r="D231" s="48" t="s">
        <v>177</v>
      </c>
      <c r="E231" s="64" t="s">
        <v>424</v>
      </c>
      <c r="F231" s="33" t="s">
        <v>175</v>
      </c>
      <c r="G231" s="77">
        <v>600</v>
      </c>
      <c r="H231" s="77">
        <v>600</v>
      </c>
      <c r="I231" s="34">
        <f t="shared" si="8"/>
        <v>100</v>
      </c>
    </row>
    <row r="232" spans="1:9" s="208" customFormat="1" ht="39.75" customHeight="1" hidden="1">
      <c r="A232" s="95" t="s">
        <v>449</v>
      </c>
      <c r="B232" s="102"/>
      <c r="C232" s="48" t="s">
        <v>233</v>
      </c>
      <c r="D232" s="48" t="s">
        <v>177</v>
      </c>
      <c r="E232" s="64" t="s">
        <v>450</v>
      </c>
      <c r="F232" s="65" t="s">
        <v>175</v>
      </c>
      <c r="G232" s="77"/>
      <c r="H232" s="77"/>
      <c r="I232" s="34" t="e">
        <f t="shared" si="8"/>
        <v>#DIV/0!</v>
      </c>
    </row>
    <row r="233" spans="1:9" s="208" customFormat="1" ht="26.25" customHeight="1" hidden="1">
      <c r="A233" s="103" t="s">
        <v>451</v>
      </c>
      <c r="B233" s="102"/>
      <c r="C233" s="48" t="s">
        <v>233</v>
      </c>
      <c r="D233" s="48" t="s">
        <v>177</v>
      </c>
      <c r="E233" s="64" t="s">
        <v>452</v>
      </c>
      <c r="F233" s="65" t="s">
        <v>175</v>
      </c>
      <c r="G233" s="77"/>
      <c r="H233" s="77"/>
      <c r="I233" s="34" t="e">
        <f t="shared" si="8"/>
        <v>#DIV/0!</v>
      </c>
    </row>
    <row r="234" spans="1:9" ht="28.5">
      <c r="A234" s="75" t="s">
        <v>453</v>
      </c>
      <c r="B234" s="31"/>
      <c r="C234" s="48" t="s">
        <v>233</v>
      </c>
      <c r="D234" s="48" t="s">
        <v>233</v>
      </c>
      <c r="E234" s="48"/>
      <c r="F234" s="37"/>
      <c r="G234" s="34">
        <f>SUM(G235+G238+G252+G241)+G249</f>
        <v>64474.200000000004</v>
      </c>
      <c r="H234" s="34">
        <f>SUM(H235+H238+H252+H241)+H249</f>
        <v>64283.700000000004</v>
      </c>
      <c r="I234" s="34">
        <f t="shared" si="8"/>
        <v>99.70453297598108</v>
      </c>
    </row>
    <row r="235" spans="1:9" s="50" customFormat="1" ht="42.75">
      <c r="A235" s="46" t="s">
        <v>270</v>
      </c>
      <c r="B235" s="47"/>
      <c r="C235" s="48" t="s">
        <v>233</v>
      </c>
      <c r="D235" s="48" t="s">
        <v>233</v>
      </c>
      <c r="E235" s="48" t="s">
        <v>215</v>
      </c>
      <c r="F235" s="36"/>
      <c r="G235" s="34">
        <f>SUM(G236)</f>
        <v>50</v>
      </c>
      <c r="H235" s="34">
        <f>SUM(H236)</f>
        <v>50</v>
      </c>
      <c r="I235" s="34">
        <f t="shared" si="8"/>
        <v>100</v>
      </c>
    </row>
    <row r="236" spans="1:9" s="50" customFormat="1" ht="27.75" customHeight="1">
      <c r="A236" s="46" t="s">
        <v>454</v>
      </c>
      <c r="B236" s="47"/>
      <c r="C236" s="48" t="s">
        <v>233</v>
      </c>
      <c r="D236" s="48" t="s">
        <v>233</v>
      </c>
      <c r="E236" s="48" t="s">
        <v>272</v>
      </c>
      <c r="F236" s="36"/>
      <c r="G236" s="34">
        <f>SUM(G237)</f>
        <v>50</v>
      </c>
      <c r="H236" s="34">
        <f>SUM(H237)</f>
        <v>50</v>
      </c>
      <c r="I236" s="34">
        <f t="shared" si="8"/>
        <v>100</v>
      </c>
    </row>
    <row r="237" spans="1:9" s="50" customFormat="1" ht="16.5" customHeight="1">
      <c r="A237" s="46" t="s">
        <v>455</v>
      </c>
      <c r="B237" s="47"/>
      <c r="C237" s="48" t="s">
        <v>233</v>
      </c>
      <c r="D237" s="48" t="s">
        <v>233</v>
      </c>
      <c r="E237" s="48" t="s">
        <v>272</v>
      </c>
      <c r="F237" s="36" t="s">
        <v>274</v>
      </c>
      <c r="G237" s="34">
        <v>50</v>
      </c>
      <c r="H237" s="34">
        <v>50</v>
      </c>
      <c r="I237" s="34">
        <f t="shared" si="8"/>
        <v>100</v>
      </c>
    </row>
    <row r="238" spans="1:9" ht="14.25" customHeight="1" hidden="1">
      <c r="A238" s="49" t="s">
        <v>456</v>
      </c>
      <c r="B238" s="31"/>
      <c r="C238" s="48" t="s">
        <v>233</v>
      </c>
      <c r="D238" s="48" t="s">
        <v>233</v>
      </c>
      <c r="E238" s="48" t="s">
        <v>457</v>
      </c>
      <c r="F238" s="37"/>
      <c r="G238" s="34">
        <f>SUM(G239)</f>
        <v>0</v>
      </c>
      <c r="H238" s="34">
        <f>SUM(H239)</f>
        <v>0</v>
      </c>
      <c r="I238" s="34" t="e">
        <f t="shared" si="8"/>
        <v>#DIV/0!</v>
      </c>
    </row>
    <row r="239" spans="1:9" ht="18.75" customHeight="1" hidden="1">
      <c r="A239" s="49" t="s">
        <v>421</v>
      </c>
      <c r="B239" s="31"/>
      <c r="C239" s="48" t="s">
        <v>233</v>
      </c>
      <c r="D239" s="48" t="s">
        <v>233</v>
      </c>
      <c r="E239" s="48" t="s">
        <v>458</v>
      </c>
      <c r="F239" s="37"/>
      <c r="G239" s="34">
        <f>SUM(G240)</f>
        <v>0</v>
      </c>
      <c r="H239" s="34">
        <f>SUM(H240)</f>
        <v>0</v>
      </c>
      <c r="I239" s="34" t="e">
        <f t="shared" si="8"/>
        <v>#DIV/0!</v>
      </c>
    </row>
    <row r="240" spans="1:9" ht="19.5" customHeight="1" hidden="1">
      <c r="A240" s="46" t="s">
        <v>455</v>
      </c>
      <c r="B240" s="31"/>
      <c r="C240" s="48" t="s">
        <v>233</v>
      </c>
      <c r="D240" s="48" t="s">
        <v>233</v>
      </c>
      <c r="E240" s="48" t="s">
        <v>458</v>
      </c>
      <c r="F240" s="36" t="s">
        <v>274</v>
      </c>
      <c r="G240" s="77"/>
      <c r="H240" s="77"/>
      <c r="I240" s="34" t="e">
        <f t="shared" si="8"/>
        <v>#DIV/0!</v>
      </c>
    </row>
    <row r="241" spans="1:9" ht="21.75" customHeight="1">
      <c r="A241" s="49" t="s">
        <v>331</v>
      </c>
      <c r="B241" s="63"/>
      <c r="C241" s="48" t="s">
        <v>233</v>
      </c>
      <c r="D241" s="48" t="s">
        <v>233</v>
      </c>
      <c r="E241" s="64" t="s">
        <v>332</v>
      </c>
      <c r="F241" s="36"/>
      <c r="G241" s="77">
        <f>SUM(G242+G247)</f>
        <v>40317.8</v>
      </c>
      <c r="H241" s="77">
        <f>SUM(H242+H247)</f>
        <v>40129.8</v>
      </c>
      <c r="I241" s="34">
        <f t="shared" si="8"/>
        <v>99.53370471603114</v>
      </c>
    </row>
    <row r="242" spans="1:9" ht="15.75" customHeight="1">
      <c r="A242" s="30" t="s">
        <v>381</v>
      </c>
      <c r="B242" s="63"/>
      <c r="C242" s="48" t="s">
        <v>233</v>
      </c>
      <c r="D242" s="48" t="s">
        <v>233</v>
      </c>
      <c r="E242" s="64" t="s">
        <v>382</v>
      </c>
      <c r="F242" s="36"/>
      <c r="G242" s="77">
        <f>SUM(G243+G245)</f>
        <v>1009.4</v>
      </c>
      <c r="H242" s="77">
        <f>SUM(H243+H245)</f>
        <v>1009.4</v>
      </c>
      <c r="I242" s="34">
        <f t="shared" si="8"/>
        <v>100</v>
      </c>
    </row>
    <row r="243" spans="1:9" ht="28.5">
      <c r="A243" s="49" t="s">
        <v>421</v>
      </c>
      <c r="B243" s="31"/>
      <c r="C243" s="48" t="s">
        <v>233</v>
      </c>
      <c r="D243" s="48" t="s">
        <v>233</v>
      </c>
      <c r="E243" s="64" t="s">
        <v>422</v>
      </c>
      <c r="F243" s="36"/>
      <c r="G243" s="77">
        <f>SUM(G244)</f>
        <v>1009.4</v>
      </c>
      <c r="H243" s="77">
        <f>SUM(H244)</f>
        <v>1009.4</v>
      </c>
      <c r="I243" s="34">
        <f t="shared" si="8"/>
        <v>100</v>
      </c>
    </row>
    <row r="244" spans="1:9" ht="18.75" customHeight="1">
      <c r="A244" s="46" t="s">
        <v>455</v>
      </c>
      <c r="B244" s="31"/>
      <c r="C244" s="48" t="s">
        <v>233</v>
      </c>
      <c r="D244" s="48" t="s">
        <v>233</v>
      </c>
      <c r="E244" s="64" t="s">
        <v>422</v>
      </c>
      <c r="F244" s="36" t="s">
        <v>274</v>
      </c>
      <c r="G244" s="77">
        <f>1009.4</f>
        <v>1009.4</v>
      </c>
      <c r="H244" s="77">
        <f>1009.4</f>
        <v>1009.4</v>
      </c>
      <c r="I244" s="34">
        <f t="shared" si="8"/>
        <v>100</v>
      </c>
    </row>
    <row r="245" spans="1:9" ht="21" customHeight="1" hidden="1">
      <c r="A245" s="46" t="s">
        <v>459</v>
      </c>
      <c r="B245" s="31"/>
      <c r="C245" s="48" t="s">
        <v>233</v>
      </c>
      <c r="D245" s="48" t="s">
        <v>233</v>
      </c>
      <c r="E245" s="64" t="s">
        <v>460</v>
      </c>
      <c r="F245" s="36"/>
      <c r="G245" s="77">
        <f>SUM(G246)</f>
        <v>0</v>
      </c>
      <c r="H245" s="77">
        <f>SUM(H246)</f>
        <v>0</v>
      </c>
      <c r="I245" s="34" t="e">
        <f t="shared" si="8"/>
        <v>#DIV/0!</v>
      </c>
    </row>
    <row r="246" spans="1:9" ht="21.75" customHeight="1" hidden="1">
      <c r="A246" s="46" t="s">
        <v>455</v>
      </c>
      <c r="B246" s="31"/>
      <c r="C246" s="48" t="s">
        <v>233</v>
      </c>
      <c r="D246" s="48" t="s">
        <v>233</v>
      </c>
      <c r="E246" s="64" t="s">
        <v>460</v>
      </c>
      <c r="F246" s="36" t="s">
        <v>274</v>
      </c>
      <c r="G246" s="77"/>
      <c r="H246" s="77"/>
      <c r="I246" s="34" t="e">
        <f t="shared" si="8"/>
        <v>#DIV/0!</v>
      </c>
    </row>
    <row r="247" spans="1:9" ht="42.75" customHeight="1">
      <c r="A247" s="46" t="s">
        <v>461</v>
      </c>
      <c r="B247" s="31"/>
      <c r="C247" s="48" t="s">
        <v>233</v>
      </c>
      <c r="D247" s="48" t="s">
        <v>233</v>
      </c>
      <c r="E247" s="64" t="s">
        <v>462</v>
      </c>
      <c r="F247" s="36"/>
      <c r="G247" s="77">
        <f>SUM(G248)</f>
        <v>39308.4</v>
      </c>
      <c r="H247" s="77">
        <f>SUM(H248)</f>
        <v>39120.4</v>
      </c>
      <c r="I247" s="34">
        <f t="shared" si="8"/>
        <v>99.5217307242218</v>
      </c>
    </row>
    <row r="248" spans="1:9" ht="21.75" customHeight="1">
      <c r="A248" s="46" t="s">
        <v>455</v>
      </c>
      <c r="B248" s="31"/>
      <c r="C248" s="48" t="s">
        <v>233</v>
      </c>
      <c r="D248" s="48" t="s">
        <v>233</v>
      </c>
      <c r="E248" s="64" t="s">
        <v>462</v>
      </c>
      <c r="F248" s="36" t="s">
        <v>274</v>
      </c>
      <c r="G248" s="77">
        <v>39308.4</v>
      </c>
      <c r="H248" s="77">
        <v>39120.4</v>
      </c>
      <c r="I248" s="34">
        <f t="shared" si="8"/>
        <v>99.5217307242218</v>
      </c>
    </row>
    <row r="249" spans="1:9" ht="16.5" customHeight="1">
      <c r="A249" s="86" t="s">
        <v>463</v>
      </c>
      <c r="B249" s="31"/>
      <c r="C249" s="48" t="s">
        <v>233</v>
      </c>
      <c r="D249" s="48" t="s">
        <v>233</v>
      </c>
      <c r="E249" s="64" t="s">
        <v>464</v>
      </c>
      <c r="F249" s="36"/>
      <c r="G249" s="77">
        <f>SUM(G250)</f>
        <v>7073.6</v>
      </c>
      <c r="H249" s="77">
        <f>SUM(H250)</f>
        <v>7073.6</v>
      </c>
      <c r="I249" s="34">
        <f t="shared" si="8"/>
        <v>100</v>
      </c>
    </row>
    <row r="250" spans="1:9" ht="16.5" customHeight="1">
      <c r="A250" s="86" t="s">
        <v>465</v>
      </c>
      <c r="B250" s="31"/>
      <c r="C250" s="48" t="s">
        <v>233</v>
      </c>
      <c r="D250" s="48" t="s">
        <v>233</v>
      </c>
      <c r="E250" s="64" t="s">
        <v>466</v>
      </c>
      <c r="F250" s="36"/>
      <c r="G250" s="77">
        <f>SUM(G251)</f>
        <v>7073.6</v>
      </c>
      <c r="H250" s="77">
        <f>SUM(H251)</f>
        <v>7073.6</v>
      </c>
      <c r="I250" s="34">
        <f t="shared" si="8"/>
        <v>100</v>
      </c>
    </row>
    <row r="251" spans="1:9" ht="16.5" customHeight="1">
      <c r="A251" s="46" t="s">
        <v>455</v>
      </c>
      <c r="B251" s="31"/>
      <c r="C251" s="48" t="s">
        <v>233</v>
      </c>
      <c r="D251" s="48" t="s">
        <v>233</v>
      </c>
      <c r="E251" s="64" t="s">
        <v>466</v>
      </c>
      <c r="F251" s="36" t="s">
        <v>274</v>
      </c>
      <c r="G251" s="77">
        <v>7073.6</v>
      </c>
      <c r="H251" s="77">
        <v>7073.6</v>
      </c>
      <c r="I251" s="34">
        <f t="shared" si="8"/>
        <v>100</v>
      </c>
    </row>
    <row r="252" spans="1:9" ht="15">
      <c r="A252" s="35" t="s">
        <v>278</v>
      </c>
      <c r="B252" s="31"/>
      <c r="C252" s="48" t="s">
        <v>233</v>
      </c>
      <c r="D252" s="48" t="s">
        <v>233</v>
      </c>
      <c r="E252" s="32" t="s">
        <v>279</v>
      </c>
      <c r="F252" s="37"/>
      <c r="G252" s="34">
        <f>SUM(G254+G256+G257+G263)</f>
        <v>17032.8</v>
      </c>
      <c r="H252" s="34">
        <f>SUM(H254+H256+H257+H263)</f>
        <v>17030.3</v>
      </c>
      <c r="I252" s="34">
        <f t="shared" si="8"/>
        <v>99.98532243671035</v>
      </c>
    </row>
    <row r="253" spans="1:9" ht="15">
      <c r="A253" s="46" t="s">
        <v>455</v>
      </c>
      <c r="B253" s="31"/>
      <c r="C253" s="48" t="s">
        <v>233</v>
      </c>
      <c r="D253" s="48" t="s">
        <v>233</v>
      </c>
      <c r="E253" s="32" t="s">
        <v>279</v>
      </c>
      <c r="F253" s="37" t="s">
        <v>274</v>
      </c>
      <c r="G253" s="34">
        <f>SUM(G254)</f>
        <v>1060.4</v>
      </c>
      <c r="H253" s="34">
        <f>SUM(H254)</f>
        <v>1060.4</v>
      </c>
      <c r="I253" s="34">
        <f t="shared" si="8"/>
        <v>100</v>
      </c>
    </row>
    <row r="254" spans="1:9" ht="15">
      <c r="A254" s="96" t="s">
        <v>467</v>
      </c>
      <c r="B254" s="104"/>
      <c r="C254" s="105" t="s">
        <v>233</v>
      </c>
      <c r="D254" s="105" t="s">
        <v>233</v>
      </c>
      <c r="E254" s="60" t="s">
        <v>468</v>
      </c>
      <c r="F254" s="37" t="s">
        <v>274</v>
      </c>
      <c r="G254" s="106">
        <v>1060.4</v>
      </c>
      <c r="H254" s="106">
        <v>1060.4</v>
      </c>
      <c r="I254" s="34">
        <f t="shared" si="8"/>
        <v>100</v>
      </c>
    </row>
    <row r="255" spans="1:9" ht="28.5">
      <c r="A255" s="35" t="s">
        <v>174</v>
      </c>
      <c r="B255" s="99"/>
      <c r="C255" s="105" t="s">
        <v>233</v>
      </c>
      <c r="D255" s="105" t="s">
        <v>233</v>
      </c>
      <c r="E255" s="64" t="s">
        <v>279</v>
      </c>
      <c r="F255" s="65" t="s">
        <v>175</v>
      </c>
      <c r="G255" s="34">
        <f>SUM(G256)</f>
        <v>900</v>
      </c>
      <c r="H255" s="34">
        <f>SUM(H256)</f>
        <v>900</v>
      </c>
      <c r="I255" s="34">
        <f t="shared" si="8"/>
        <v>100</v>
      </c>
    </row>
    <row r="256" spans="1:9" ht="28.5">
      <c r="A256" s="95" t="s">
        <v>425</v>
      </c>
      <c r="B256" s="99"/>
      <c r="C256" s="105" t="s">
        <v>233</v>
      </c>
      <c r="D256" s="105" t="s">
        <v>233</v>
      </c>
      <c r="E256" s="64" t="s">
        <v>426</v>
      </c>
      <c r="F256" s="33" t="s">
        <v>175</v>
      </c>
      <c r="G256" s="77">
        <v>900</v>
      </c>
      <c r="H256" s="77">
        <v>900</v>
      </c>
      <c r="I256" s="34">
        <f t="shared" si="8"/>
        <v>100</v>
      </c>
    </row>
    <row r="257" spans="1:9" ht="28.5" customHeight="1">
      <c r="A257" s="46" t="s">
        <v>397</v>
      </c>
      <c r="B257" s="31"/>
      <c r="C257" s="48" t="s">
        <v>233</v>
      </c>
      <c r="D257" s="48" t="s">
        <v>233</v>
      </c>
      <c r="E257" s="32" t="s">
        <v>430</v>
      </c>
      <c r="F257" s="37"/>
      <c r="G257" s="34">
        <f>SUM(G258+G261)</f>
        <v>14873.699999999999</v>
      </c>
      <c r="H257" s="34">
        <f>SUM(H258+H261)</f>
        <v>14872.999999999998</v>
      </c>
      <c r="I257" s="34">
        <f t="shared" si="8"/>
        <v>99.99529370634072</v>
      </c>
    </row>
    <row r="258" spans="1:9" ht="28.5" customHeight="1">
      <c r="A258" s="96" t="s">
        <v>421</v>
      </c>
      <c r="B258" s="104"/>
      <c r="C258" s="48" t="s">
        <v>233</v>
      </c>
      <c r="D258" s="48" t="s">
        <v>233</v>
      </c>
      <c r="E258" s="32" t="s">
        <v>431</v>
      </c>
      <c r="F258" s="37"/>
      <c r="G258" s="106">
        <f>SUM(G259:G260)</f>
        <v>11706.8</v>
      </c>
      <c r="H258" s="106">
        <f>SUM(H259:H260)</f>
        <v>11706.099999999999</v>
      </c>
      <c r="I258" s="34">
        <f t="shared" si="8"/>
        <v>99.9940205692418</v>
      </c>
    </row>
    <row r="259" spans="1:9" ht="15.75" customHeight="1">
      <c r="A259" s="46" t="s">
        <v>455</v>
      </c>
      <c r="B259" s="31"/>
      <c r="C259" s="48" t="s">
        <v>233</v>
      </c>
      <c r="D259" s="48" t="s">
        <v>233</v>
      </c>
      <c r="E259" s="32" t="s">
        <v>431</v>
      </c>
      <c r="F259" s="36" t="s">
        <v>274</v>
      </c>
      <c r="G259" s="77">
        <f>7302.1+203.9-0.1</f>
        <v>7505.9</v>
      </c>
      <c r="H259" s="77">
        <v>7505.2</v>
      </c>
      <c r="I259" s="34">
        <f t="shared" si="8"/>
        <v>99.99067400311755</v>
      </c>
    </row>
    <row r="260" spans="1:9" ht="28.5" customHeight="1">
      <c r="A260" s="35" t="s">
        <v>174</v>
      </c>
      <c r="B260" s="99"/>
      <c r="C260" s="48" t="s">
        <v>233</v>
      </c>
      <c r="D260" s="48" t="s">
        <v>233</v>
      </c>
      <c r="E260" s="32" t="s">
        <v>431</v>
      </c>
      <c r="F260" s="65" t="s">
        <v>175</v>
      </c>
      <c r="G260" s="34">
        <v>4200.9</v>
      </c>
      <c r="H260" s="34">
        <v>4200.9</v>
      </c>
      <c r="I260" s="34">
        <f t="shared" si="8"/>
        <v>100</v>
      </c>
    </row>
    <row r="261" spans="1:9" ht="36.75" customHeight="1">
      <c r="A261" s="95" t="s">
        <v>469</v>
      </c>
      <c r="B261" s="31"/>
      <c r="C261" s="48" t="s">
        <v>233</v>
      </c>
      <c r="D261" s="48" t="s">
        <v>233</v>
      </c>
      <c r="E261" s="32" t="s">
        <v>356</v>
      </c>
      <c r="F261" s="37"/>
      <c r="G261" s="34">
        <f>SUM(G262)</f>
        <v>3166.8999999999996</v>
      </c>
      <c r="H261" s="34">
        <f>SUM(H262)</f>
        <v>3166.8999999999996</v>
      </c>
      <c r="I261" s="34">
        <f t="shared" si="8"/>
        <v>100</v>
      </c>
    </row>
    <row r="262" spans="1:9" ht="18" customHeight="1">
      <c r="A262" s="46" t="s">
        <v>455</v>
      </c>
      <c r="B262" s="31"/>
      <c r="C262" s="48" t="s">
        <v>233</v>
      </c>
      <c r="D262" s="48" t="s">
        <v>233</v>
      </c>
      <c r="E262" s="32" t="s">
        <v>356</v>
      </c>
      <c r="F262" s="36" t="s">
        <v>274</v>
      </c>
      <c r="G262" s="77">
        <f>3235.2-68.3</f>
        <v>3166.8999999999996</v>
      </c>
      <c r="H262" s="77">
        <f>3235.2-68.3</f>
        <v>3166.8999999999996</v>
      </c>
      <c r="I262" s="34">
        <f t="shared" si="8"/>
        <v>100</v>
      </c>
    </row>
    <row r="263" spans="1:9" ht="42.75" customHeight="1">
      <c r="A263" s="46" t="s">
        <v>470</v>
      </c>
      <c r="B263" s="31"/>
      <c r="C263" s="48" t="s">
        <v>233</v>
      </c>
      <c r="D263" s="48" t="s">
        <v>233</v>
      </c>
      <c r="E263" s="64" t="s">
        <v>471</v>
      </c>
      <c r="F263" s="36"/>
      <c r="G263" s="77">
        <f>SUM(G264)</f>
        <v>198.69999999999982</v>
      </c>
      <c r="H263" s="77">
        <f>SUM(H264)</f>
        <v>196.9</v>
      </c>
      <c r="I263" s="34">
        <f t="shared" si="8"/>
        <v>99.09411172622052</v>
      </c>
    </row>
    <row r="264" spans="1:9" ht="18" customHeight="1">
      <c r="A264" s="46" t="s">
        <v>455</v>
      </c>
      <c r="B264" s="31"/>
      <c r="C264" s="48" t="s">
        <v>233</v>
      </c>
      <c r="D264" s="48" t="s">
        <v>233</v>
      </c>
      <c r="E264" s="64" t="s">
        <v>471</v>
      </c>
      <c r="F264" s="36" t="s">
        <v>274</v>
      </c>
      <c r="G264" s="77">
        <f>2344.5-2145.8</f>
        <v>198.69999999999982</v>
      </c>
      <c r="H264" s="77">
        <v>196.9</v>
      </c>
      <c r="I264" s="34">
        <f t="shared" si="8"/>
        <v>99.09411172622052</v>
      </c>
    </row>
    <row r="265" spans="1:9" ht="26.25" customHeight="1">
      <c r="A265" s="30" t="s">
        <v>472</v>
      </c>
      <c r="B265" s="31"/>
      <c r="C265" s="32" t="s">
        <v>237</v>
      </c>
      <c r="D265" s="32"/>
      <c r="E265" s="32"/>
      <c r="F265" s="33"/>
      <c r="G265" s="34">
        <f>SUM(G266)+G270</f>
        <v>3848.8</v>
      </c>
      <c r="H265" s="34">
        <f>SUM(H266)+H270</f>
        <v>3821.3999999999996</v>
      </c>
      <c r="I265" s="34">
        <f t="shared" si="8"/>
        <v>99.28808979422156</v>
      </c>
    </row>
    <row r="266" spans="1:9" ht="31.5" customHeight="1">
      <c r="A266" s="30" t="s">
        <v>473</v>
      </c>
      <c r="B266" s="31"/>
      <c r="C266" s="32" t="s">
        <v>237</v>
      </c>
      <c r="D266" s="32" t="s">
        <v>177</v>
      </c>
      <c r="E266" s="32"/>
      <c r="F266" s="33"/>
      <c r="G266" s="34">
        <f>SUM(G269)</f>
        <v>3170.9</v>
      </c>
      <c r="H266" s="34">
        <f>SUM(H269)</f>
        <v>3159.7</v>
      </c>
      <c r="I266" s="34">
        <f t="shared" si="8"/>
        <v>99.64678797817653</v>
      </c>
    </row>
    <row r="267" spans="1:9" ht="15.75" customHeight="1">
      <c r="A267" s="30" t="s">
        <v>474</v>
      </c>
      <c r="B267" s="31"/>
      <c r="C267" s="32" t="s">
        <v>237</v>
      </c>
      <c r="D267" s="32" t="s">
        <v>177</v>
      </c>
      <c r="E267" s="32" t="s">
        <v>475</v>
      </c>
      <c r="F267" s="33"/>
      <c r="G267" s="34">
        <f>SUM(G268)</f>
        <v>3170.9</v>
      </c>
      <c r="H267" s="34">
        <f>SUM(H268)</f>
        <v>3159.7</v>
      </c>
      <c r="I267" s="34">
        <f t="shared" si="8"/>
        <v>99.64678797817653</v>
      </c>
    </row>
    <row r="268" spans="1:9" ht="28.5">
      <c r="A268" s="108" t="s">
        <v>263</v>
      </c>
      <c r="B268" s="109"/>
      <c r="C268" s="70" t="s">
        <v>237</v>
      </c>
      <c r="D268" s="70" t="s">
        <v>177</v>
      </c>
      <c r="E268" s="70" t="s">
        <v>476</v>
      </c>
      <c r="F268" s="37"/>
      <c r="G268" s="34">
        <f>SUM(G269)</f>
        <v>3170.9</v>
      </c>
      <c r="H268" s="34">
        <f>SUM(H269)</f>
        <v>3159.7</v>
      </c>
      <c r="I268" s="34">
        <f t="shared" si="8"/>
        <v>99.64678797817653</v>
      </c>
    </row>
    <row r="269" spans="1:9" ht="21.75" customHeight="1">
      <c r="A269" s="52" t="s">
        <v>265</v>
      </c>
      <c r="B269" s="31"/>
      <c r="C269" s="32" t="s">
        <v>237</v>
      </c>
      <c r="D269" s="32" t="s">
        <v>177</v>
      </c>
      <c r="E269" s="70" t="s">
        <v>476</v>
      </c>
      <c r="F269" s="37" t="s">
        <v>266</v>
      </c>
      <c r="G269" s="34">
        <f>3370.9-200</f>
        <v>3170.9</v>
      </c>
      <c r="H269" s="34">
        <v>3159.7</v>
      </c>
      <c r="I269" s="34">
        <f t="shared" si="8"/>
        <v>99.64678797817653</v>
      </c>
    </row>
    <row r="270" spans="1:9" ht="15" customHeight="1">
      <c r="A270" s="41" t="s">
        <v>477</v>
      </c>
      <c r="B270" s="31"/>
      <c r="C270" s="110" t="s">
        <v>237</v>
      </c>
      <c r="D270" s="110" t="s">
        <v>233</v>
      </c>
      <c r="E270" s="110"/>
      <c r="F270" s="62"/>
      <c r="G270" s="77">
        <f>SUM(G271+G274)</f>
        <v>677.8999999999999</v>
      </c>
      <c r="H270" s="77">
        <f>SUM(H271+H274)</f>
        <v>661.7</v>
      </c>
      <c r="I270" s="34">
        <f t="shared" si="8"/>
        <v>97.61026700103262</v>
      </c>
    </row>
    <row r="271" spans="1:9" ht="19.5" customHeight="1">
      <c r="A271" s="49" t="s">
        <v>331</v>
      </c>
      <c r="B271" s="31"/>
      <c r="C271" s="110" t="s">
        <v>237</v>
      </c>
      <c r="D271" s="110" t="s">
        <v>233</v>
      </c>
      <c r="E271" s="32" t="s">
        <v>332</v>
      </c>
      <c r="F271" s="62"/>
      <c r="G271" s="77">
        <f>SUM(G272)</f>
        <v>73.2</v>
      </c>
      <c r="H271" s="77">
        <f>SUM(H272)</f>
        <v>73.2</v>
      </c>
      <c r="I271" s="34">
        <f t="shared" si="8"/>
        <v>100</v>
      </c>
    </row>
    <row r="272" spans="1:9" ht="42.75" customHeight="1">
      <c r="A272" s="49" t="s">
        <v>478</v>
      </c>
      <c r="B272" s="31"/>
      <c r="C272" s="110" t="s">
        <v>237</v>
      </c>
      <c r="D272" s="110" t="s">
        <v>233</v>
      </c>
      <c r="E272" s="32" t="s">
        <v>479</v>
      </c>
      <c r="F272" s="37"/>
      <c r="G272" s="77">
        <f>SUM(G273)</f>
        <v>73.2</v>
      </c>
      <c r="H272" s="77">
        <f>SUM(H273)</f>
        <v>73.2</v>
      </c>
      <c r="I272" s="34">
        <f aca="true" t="shared" si="9" ref="I272:I335">SUM(H272/G272*100)</f>
        <v>100</v>
      </c>
    </row>
    <row r="273" spans="1:9" ht="21" customHeight="1">
      <c r="A273" s="46" t="s">
        <v>455</v>
      </c>
      <c r="B273" s="31"/>
      <c r="C273" s="110" t="s">
        <v>237</v>
      </c>
      <c r="D273" s="110" t="s">
        <v>233</v>
      </c>
      <c r="E273" s="32" t="s">
        <v>479</v>
      </c>
      <c r="F273" s="37" t="s">
        <v>274</v>
      </c>
      <c r="G273" s="77">
        <v>73.2</v>
      </c>
      <c r="H273" s="77">
        <v>73.2</v>
      </c>
      <c r="I273" s="34">
        <f t="shared" si="9"/>
        <v>100</v>
      </c>
    </row>
    <row r="274" spans="1:9" ht="20.25" customHeight="1">
      <c r="A274" s="35" t="s">
        <v>278</v>
      </c>
      <c r="B274" s="31"/>
      <c r="C274" s="110" t="s">
        <v>237</v>
      </c>
      <c r="D274" s="110" t="s">
        <v>233</v>
      </c>
      <c r="E274" s="32" t="s">
        <v>279</v>
      </c>
      <c r="F274" s="62"/>
      <c r="G274" s="77">
        <f>SUM(G278+G281)</f>
        <v>604.6999999999998</v>
      </c>
      <c r="H274" s="77">
        <f>SUM(H278+H281)</f>
        <v>588.5</v>
      </c>
      <c r="I274" s="34">
        <f t="shared" si="9"/>
        <v>97.32098561270054</v>
      </c>
    </row>
    <row r="275" spans="1:9" ht="24" customHeight="1" hidden="1">
      <c r="A275" s="49" t="s">
        <v>480</v>
      </c>
      <c r="B275" s="31"/>
      <c r="C275" s="110" t="s">
        <v>237</v>
      </c>
      <c r="D275" s="110" t="s">
        <v>233</v>
      </c>
      <c r="E275" s="32" t="s">
        <v>279</v>
      </c>
      <c r="F275" s="62" t="s">
        <v>481</v>
      </c>
      <c r="G275" s="77"/>
      <c r="H275" s="77"/>
      <c r="I275" s="34" t="e">
        <f t="shared" si="9"/>
        <v>#DIV/0!</v>
      </c>
    </row>
    <row r="276" spans="1:9" ht="22.5" customHeight="1" hidden="1">
      <c r="A276" s="112" t="s">
        <v>482</v>
      </c>
      <c r="B276" s="31"/>
      <c r="C276" s="110" t="s">
        <v>237</v>
      </c>
      <c r="D276" s="110" t="s">
        <v>233</v>
      </c>
      <c r="E276" s="113" t="s">
        <v>279</v>
      </c>
      <c r="F276" s="114" t="s">
        <v>481</v>
      </c>
      <c r="G276" s="115"/>
      <c r="H276" s="115"/>
      <c r="I276" s="34" t="e">
        <f t="shared" si="9"/>
        <v>#DIV/0!</v>
      </c>
    </row>
    <row r="277" spans="1:9" ht="0.75" customHeight="1" hidden="1">
      <c r="A277" s="52" t="s">
        <v>265</v>
      </c>
      <c r="B277" s="31"/>
      <c r="C277" s="110" t="s">
        <v>237</v>
      </c>
      <c r="D277" s="110" t="s">
        <v>233</v>
      </c>
      <c r="E277" s="110" t="s">
        <v>279</v>
      </c>
      <c r="F277" s="62" t="s">
        <v>266</v>
      </c>
      <c r="G277" s="77"/>
      <c r="H277" s="77"/>
      <c r="I277" s="34" t="e">
        <f t="shared" si="9"/>
        <v>#DIV/0!</v>
      </c>
    </row>
    <row r="278" spans="1:9" ht="28.5" customHeight="1">
      <c r="A278" s="41" t="s">
        <v>482</v>
      </c>
      <c r="B278" s="31"/>
      <c r="C278" s="110" t="s">
        <v>237</v>
      </c>
      <c r="D278" s="110" t="s">
        <v>233</v>
      </c>
      <c r="E278" s="110" t="s">
        <v>483</v>
      </c>
      <c r="F278" s="62"/>
      <c r="G278" s="77">
        <f>SUM(G279:G280)</f>
        <v>604.6999999999998</v>
      </c>
      <c r="H278" s="77">
        <f>SUM(H279:H280)</f>
        <v>588.5</v>
      </c>
      <c r="I278" s="34">
        <f t="shared" si="9"/>
        <v>97.32098561270054</v>
      </c>
    </row>
    <row r="279" spans="1:9" ht="15.75" customHeight="1" hidden="1">
      <c r="A279" s="46" t="s">
        <v>455</v>
      </c>
      <c r="B279" s="31"/>
      <c r="C279" s="110" t="s">
        <v>237</v>
      </c>
      <c r="D279" s="110" t="s">
        <v>233</v>
      </c>
      <c r="E279" s="110" t="s">
        <v>483</v>
      </c>
      <c r="F279" s="37" t="s">
        <v>274</v>
      </c>
      <c r="G279" s="77"/>
      <c r="H279" s="77"/>
      <c r="I279" s="34" t="e">
        <f t="shared" si="9"/>
        <v>#DIV/0!</v>
      </c>
    </row>
    <row r="280" spans="1:9" ht="15">
      <c r="A280" s="52" t="s">
        <v>484</v>
      </c>
      <c r="B280" s="31"/>
      <c r="C280" s="110" t="s">
        <v>237</v>
      </c>
      <c r="D280" s="110" t="s">
        <v>233</v>
      </c>
      <c r="E280" s="110" t="s">
        <v>483</v>
      </c>
      <c r="F280" s="62" t="s">
        <v>485</v>
      </c>
      <c r="G280" s="77">
        <f>2752.7-900-660-588</f>
        <v>604.6999999999998</v>
      </c>
      <c r="H280" s="77">
        <v>588.5</v>
      </c>
      <c r="I280" s="34">
        <f t="shared" si="9"/>
        <v>97.32098561270054</v>
      </c>
    </row>
    <row r="281" spans="1:9" ht="26.25" customHeight="1" hidden="1">
      <c r="A281" s="116" t="s">
        <v>486</v>
      </c>
      <c r="B281" s="31"/>
      <c r="C281" s="110" t="s">
        <v>237</v>
      </c>
      <c r="D281" s="110" t="s">
        <v>233</v>
      </c>
      <c r="E281" s="110" t="s">
        <v>487</v>
      </c>
      <c r="F281" s="62"/>
      <c r="G281" s="77">
        <f>SUM(G282:G283)</f>
        <v>0</v>
      </c>
      <c r="H281" s="77">
        <f>SUM(H282:H283)</f>
        <v>0</v>
      </c>
      <c r="I281" s="34" t="e">
        <f t="shared" si="9"/>
        <v>#DIV/0!</v>
      </c>
    </row>
    <row r="282" spans="1:9" ht="15.75" customHeight="1" hidden="1">
      <c r="A282" s="46" t="s">
        <v>455</v>
      </c>
      <c r="B282" s="31"/>
      <c r="C282" s="110" t="s">
        <v>237</v>
      </c>
      <c r="D282" s="110" t="s">
        <v>233</v>
      </c>
      <c r="E282" s="110" t="s">
        <v>487</v>
      </c>
      <c r="F282" s="37" t="s">
        <v>274</v>
      </c>
      <c r="G282" s="77"/>
      <c r="H282" s="77"/>
      <c r="I282" s="34" t="e">
        <f t="shared" si="9"/>
        <v>#DIV/0!</v>
      </c>
    </row>
    <row r="283" spans="1:9" ht="18" customHeight="1" hidden="1">
      <c r="A283" s="52" t="s">
        <v>484</v>
      </c>
      <c r="B283" s="31"/>
      <c r="C283" s="110" t="s">
        <v>237</v>
      </c>
      <c r="D283" s="110" t="s">
        <v>233</v>
      </c>
      <c r="E283" s="110" t="s">
        <v>487</v>
      </c>
      <c r="F283" s="62" t="s">
        <v>485</v>
      </c>
      <c r="G283" s="77"/>
      <c r="H283" s="77"/>
      <c r="I283" s="34" t="e">
        <f t="shared" si="9"/>
        <v>#DIV/0!</v>
      </c>
    </row>
    <row r="284" spans="1:9" ht="15">
      <c r="A284" s="38" t="s">
        <v>189</v>
      </c>
      <c r="B284" s="39"/>
      <c r="C284" s="110" t="s">
        <v>190</v>
      </c>
      <c r="D284" s="110"/>
      <c r="E284" s="110"/>
      <c r="F284" s="62"/>
      <c r="G284" s="77">
        <f>SUM(G285+G289+G303+G296)</f>
        <v>8848.5</v>
      </c>
      <c r="H284" s="77">
        <f>SUM(H285+H289+H303+H296)</f>
        <v>8848.4</v>
      </c>
      <c r="I284" s="34">
        <f t="shared" si="9"/>
        <v>99.99886986494886</v>
      </c>
    </row>
    <row r="285" spans="1:9" ht="15.75">
      <c r="A285" s="35" t="s">
        <v>494</v>
      </c>
      <c r="B285" s="123"/>
      <c r="C285" s="43" t="s">
        <v>190</v>
      </c>
      <c r="D285" s="43" t="s">
        <v>167</v>
      </c>
      <c r="E285" s="43"/>
      <c r="F285" s="130"/>
      <c r="G285" s="34">
        <f aca="true" t="shared" si="10" ref="G285:H287">SUM(G286)</f>
        <v>538.3</v>
      </c>
      <c r="H285" s="34">
        <f t="shared" si="10"/>
        <v>538.3</v>
      </c>
      <c r="I285" s="34">
        <f t="shared" si="9"/>
        <v>100</v>
      </c>
    </row>
    <row r="286" spans="1:9" ht="15.75">
      <c r="A286" s="35" t="s">
        <v>495</v>
      </c>
      <c r="B286" s="123"/>
      <c r="C286" s="43" t="s">
        <v>190</v>
      </c>
      <c r="D286" s="43" t="s">
        <v>167</v>
      </c>
      <c r="E286" s="43" t="s">
        <v>496</v>
      </c>
      <c r="F286" s="130"/>
      <c r="G286" s="34">
        <f t="shared" si="10"/>
        <v>538.3</v>
      </c>
      <c r="H286" s="34">
        <f t="shared" si="10"/>
        <v>538.3</v>
      </c>
      <c r="I286" s="34">
        <f t="shared" si="9"/>
        <v>100</v>
      </c>
    </row>
    <row r="287" spans="1:9" ht="29.25">
      <c r="A287" s="35" t="s">
        <v>263</v>
      </c>
      <c r="B287" s="123"/>
      <c r="C287" s="43" t="s">
        <v>190</v>
      </c>
      <c r="D287" s="43" t="s">
        <v>167</v>
      </c>
      <c r="E287" s="43" t="s">
        <v>497</v>
      </c>
      <c r="F287" s="130"/>
      <c r="G287" s="34">
        <f t="shared" si="10"/>
        <v>538.3</v>
      </c>
      <c r="H287" s="34">
        <f t="shared" si="10"/>
        <v>538.3</v>
      </c>
      <c r="I287" s="34">
        <f t="shared" si="9"/>
        <v>100</v>
      </c>
    </row>
    <row r="288" spans="1:9" ht="15.75">
      <c r="A288" s="52" t="s">
        <v>265</v>
      </c>
      <c r="B288" s="69"/>
      <c r="C288" s="209" t="s">
        <v>190</v>
      </c>
      <c r="D288" s="209" t="s">
        <v>167</v>
      </c>
      <c r="E288" s="209" t="s">
        <v>497</v>
      </c>
      <c r="F288" s="210" t="s">
        <v>266</v>
      </c>
      <c r="G288" s="34">
        <v>538.3</v>
      </c>
      <c r="H288" s="34">
        <v>538.3</v>
      </c>
      <c r="I288" s="34">
        <f t="shared" si="9"/>
        <v>100</v>
      </c>
    </row>
    <row r="289" spans="1:9" ht="15.75">
      <c r="A289" s="35" t="s">
        <v>512</v>
      </c>
      <c r="B289" s="123"/>
      <c r="C289" s="48" t="s">
        <v>190</v>
      </c>
      <c r="D289" s="48" t="s">
        <v>169</v>
      </c>
      <c r="E289" s="48"/>
      <c r="F289" s="36"/>
      <c r="G289" s="34">
        <f>SUM(G290+G293)</f>
        <v>7836</v>
      </c>
      <c r="H289" s="34">
        <f>SUM(H290+H293)</f>
        <v>7836</v>
      </c>
      <c r="I289" s="34">
        <f t="shared" si="9"/>
        <v>100</v>
      </c>
    </row>
    <row r="290" spans="1:9" ht="14.25" customHeight="1">
      <c r="A290" s="35" t="s">
        <v>515</v>
      </c>
      <c r="B290" s="123"/>
      <c r="C290" s="48" t="s">
        <v>190</v>
      </c>
      <c r="D290" s="48" t="s">
        <v>169</v>
      </c>
      <c r="E290" s="48" t="s">
        <v>516</v>
      </c>
      <c r="F290" s="36"/>
      <c r="G290" s="34">
        <f>SUM(G291)</f>
        <v>48</v>
      </c>
      <c r="H290" s="34">
        <f>SUM(H291)</f>
        <v>48</v>
      </c>
      <c r="I290" s="34">
        <f t="shared" si="9"/>
        <v>100</v>
      </c>
    </row>
    <row r="291" spans="1:9" ht="29.25">
      <c r="A291" s="35" t="s">
        <v>263</v>
      </c>
      <c r="B291" s="123"/>
      <c r="C291" s="48" t="s">
        <v>190</v>
      </c>
      <c r="D291" s="48" t="s">
        <v>169</v>
      </c>
      <c r="E291" s="48" t="s">
        <v>517</v>
      </c>
      <c r="F291" s="36"/>
      <c r="G291" s="34">
        <f>SUM(G292)</f>
        <v>48</v>
      </c>
      <c r="H291" s="34">
        <f>SUM(H292)</f>
        <v>48</v>
      </c>
      <c r="I291" s="34">
        <f t="shared" si="9"/>
        <v>100</v>
      </c>
    </row>
    <row r="292" spans="1:9" ht="15.75">
      <c r="A292" s="52" t="s">
        <v>265</v>
      </c>
      <c r="B292" s="69"/>
      <c r="C292" s="70" t="s">
        <v>190</v>
      </c>
      <c r="D292" s="70" t="s">
        <v>169</v>
      </c>
      <c r="E292" s="70" t="s">
        <v>517</v>
      </c>
      <c r="F292" s="37" t="s">
        <v>266</v>
      </c>
      <c r="G292" s="34">
        <v>48</v>
      </c>
      <c r="H292" s="34">
        <v>48</v>
      </c>
      <c r="I292" s="34">
        <f t="shared" si="9"/>
        <v>100</v>
      </c>
    </row>
    <row r="293" spans="1:9" ht="15.75">
      <c r="A293" s="52" t="s">
        <v>555</v>
      </c>
      <c r="B293" s="69"/>
      <c r="C293" s="48" t="s">
        <v>190</v>
      </c>
      <c r="D293" s="48" t="s">
        <v>169</v>
      </c>
      <c r="E293" s="70" t="s">
        <v>556</v>
      </c>
      <c r="F293" s="37"/>
      <c r="G293" s="125">
        <f>SUM(G294)</f>
        <v>7788</v>
      </c>
      <c r="H293" s="125">
        <f>SUM(H294)</f>
        <v>7788</v>
      </c>
      <c r="I293" s="34">
        <f t="shared" si="9"/>
        <v>100</v>
      </c>
    </row>
    <row r="294" spans="1:9" ht="57.75">
      <c r="A294" s="52" t="s">
        <v>557</v>
      </c>
      <c r="B294" s="69"/>
      <c r="C294" s="48" t="s">
        <v>190</v>
      </c>
      <c r="D294" s="48" t="s">
        <v>169</v>
      </c>
      <c r="E294" s="70" t="s">
        <v>558</v>
      </c>
      <c r="F294" s="37"/>
      <c r="G294" s="125">
        <f>SUM(G295)</f>
        <v>7788</v>
      </c>
      <c r="H294" s="125">
        <f>SUM(H295)</f>
        <v>7788</v>
      </c>
      <c r="I294" s="34">
        <f t="shared" si="9"/>
        <v>100</v>
      </c>
    </row>
    <row r="295" spans="1:9" s="111" customFormat="1" ht="20.25" customHeight="1">
      <c r="A295" s="52" t="s">
        <v>265</v>
      </c>
      <c r="B295" s="69"/>
      <c r="C295" s="48" t="s">
        <v>190</v>
      </c>
      <c r="D295" s="48" t="s">
        <v>169</v>
      </c>
      <c r="E295" s="70" t="s">
        <v>558</v>
      </c>
      <c r="F295" s="37" t="s">
        <v>266</v>
      </c>
      <c r="G295" s="125">
        <f>1900+5888</f>
        <v>7788</v>
      </c>
      <c r="H295" s="125">
        <f>1900+5888</f>
        <v>7788</v>
      </c>
      <c r="I295" s="34">
        <f t="shared" si="9"/>
        <v>100</v>
      </c>
    </row>
    <row r="296" spans="1:9" s="50" customFormat="1" ht="17.25" customHeight="1">
      <c r="A296" s="35" t="s">
        <v>191</v>
      </c>
      <c r="B296" s="39"/>
      <c r="C296" s="32" t="s">
        <v>190</v>
      </c>
      <c r="D296" s="32" t="s">
        <v>190</v>
      </c>
      <c r="E296" s="32"/>
      <c r="F296" s="33"/>
      <c r="G296" s="34">
        <f>SUM(G300)+G297</f>
        <v>162.5</v>
      </c>
      <c r="H296" s="34">
        <f>SUM(H300)+H297</f>
        <v>162.4</v>
      </c>
      <c r="I296" s="34">
        <f t="shared" si="9"/>
        <v>99.93846153846154</v>
      </c>
    </row>
    <row r="297" spans="1:9" s="50" customFormat="1" ht="18.75" customHeight="1">
      <c r="A297" s="46" t="s">
        <v>569</v>
      </c>
      <c r="B297" s="47"/>
      <c r="C297" s="48" t="s">
        <v>190</v>
      </c>
      <c r="D297" s="48" t="s">
        <v>190</v>
      </c>
      <c r="E297" s="48" t="s">
        <v>570</v>
      </c>
      <c r="F297" s="36"/>
      <c r="G297" s="34">
        <f>SUM(G298)</f>
        <v>119</v>
      </c>
      <c r="H297" s="34">
        <f>SUM(H298)</f>
        <v>119</v>
      </c>
      <c r="I297" s="34">
        <f t="shared" si="9"/>
        <v>100</v>
      </c>
    </row>
    <row r="298" spans="1:9" s="88" customFormat="1" ht="24.75" customHeight="1">
      <c r="A298" s="46" t="s">
        <v>571</v>
      </c>
      <c r="B298" s="48"/>
      <c r="C298" s="48" t="s">
        <v>190</v>
      </c>
      <c r="D298" s="48" t="s">
        <v>190</v>
      </c>
      <c r="E298" s="48" t="s">
        <v>572</v>
      </c>
      <c r="F298" s="36"/>
      <c r="G298" s="34">
        <f>SUM(G299)</f>
        <v>119</v>
      </c>
      <c r="H298" s="34">
        <f>SUM(H299)</f>
        <v>119</v>
      </c>
      <c r="I298" s="34">
        <f t="shared" si="9"/>
        <v>100</v>
      </c>
    </row>
    <row r="299" spans="1:9" s="88" customFormat="1" ht="27" customHeight="1">
      <c r="A299" s="35" t="s">
        <v>174</v>
      </c>
      <c r="B299" s="39"/>
      <c r="C299" s="48" t="s">
        <v>190</v>
      </c>
      <c r="D299" s="48" t="s">
        <v>190</v>
      </c>
      <c r="E299" s="48" t="s">
        <v>572</v>
      </c>
      <c r="F299" s="33" t="s">
        <v>175</v>
      </c>
      <c r="G299" s="34">
        <v>119</v>
      </c>
      <c r="H299" s="34">
        <v>119</v>
      </c>
      <c r="I299" s="34">
        <f t="shared" si="9"/>
        <v>100</v>
      </c>
    </row>
    <row r="300" spans="1:9" s="40" customFormat="1" ht="28.5">
      <c r="A300" s="49" t="s">
        <v>575</v>
      </c>
      <c r="B300" s="39"/>
      <c r="C300" s="32" t="s">
        <v>190</v>
      </c>
      <c r="D300" s="32" t="s">
        <v>190</v>
      </c>
      <c r="E300" s="32" t="s">
        <v>193</v>
      </c>
      <c r="F300" s="33"/>
      <c r="G300" s="34">
        <f>SUM(G301)</f>
        <v>43.5</v>
      </c>
      <c r="H300" s="34">
        <f>SUM(H301)</f>
        <v>43.4</v>
      </c>
      <c r="I300" s="34">
        <f t="shared" si="9"/>
        <v>99.77011494252874</v>
      </c>
    </row>
    <row r="301" spans="1:9" s="40" customFormat="1" ht="15">
      <c r="A301" s="49" t="s">
        <v>576</v>
      </c>
      <c r="B301" s="39"/>
      <c r="C301" s="32" t="s">
        <v>190</v>
      </c>
      <c r="D301" s="32" t="s">
        <v>190</v>
      </c>
      <c r="E301" s="32" t="s">
        <v>577</v>
      </c>
      <c r="F301" s="33"/>
      <c r="G301" s="34">
        <f>SUM(G302)</f>
        <v>43.5</v>
      </c>
      <c r="H301" s="34">
        <f>SUM(H302)</f>
        <v>43.4</v>
      </c>
      <c r="I301" s="34">
        <f t="shared" si="9"/>
        <v>99.77011494252874</v>
      </c>
    </row>
    <row r="302" spans="1:9" s="40" customFormat="1" ht="15">
      <c r="A302" s="52" t="s">
        <v>265</v>
      </c>
      <c r="B302" s="39"/>
      <c r="C302" s="32" t="s">
        <v>190</v>
      </c>
      <c r="D302" s="32" t="s">
        <v>190</v>
      </c>
      <c r="E302" s="32" t="s">
        <v>577</v>
      </c>
      <c r="F302" s="33" t="s">
        <v>266</v>
      </c>
      <c r="G302" s="34">
        <f>36+7.5</f>
        <v>43.5</v>
      </c>
      <c r="H302" s="34">
        <v>43.4</v>
      </c>
      <c r="I302" s="34">
        <f t="shared" si="9"/>
        <v>99.77011494252874</v>
      </c>
    </row>
    <row r="303" spans="1:9" s="40" customFormat="1" ht="21.75" customHeight="1">
      <c r="A303" s="30" t="s">
        <v>586</v>
      </c>
      <c r="B303" s="31"/>
      <c r="C303" s="48" t="s">
        <v>190</v>
      </c>
      <c r="D303" s="48" t="s">
        <v>317</v>
      </c>
      <c r="E303" s="48"/>
      <c r="F303" s="36"/>
      <c r="G303" s="34">
        <f>SUM(G304+G307)</f>
        <v>311.70000000000005</v>
      </c>
      <c r="H303" s="34">
        <f>SUM(H304+H307)</f>
        <v>311.70000000000005</v>
      </c>
      <c r="I303" s="34">
        <f t="shared" si="9"/>
        <v>100</v>
      </c>
    </row>
    <row r="304" spans="1:9" s="40" customFormat="1" ht="15" customHeight="1">
      <c r="A304" s="46" t="s">
        <v>270</v>
      </c>
      <c r="B304" s="47"/>
      <c r="C304" s="48" t="s">
        <v>190</v>
      </c>
      <c r="D304" s="48" t="s">
        <v>317</v>
      </c>
      <c r="E304" s="48" t="s">
        <v>215</v>
      </c>
      <c r="F304" s="36"/>
      <c r="G304" s="34">
        <f>SUM(G305)</f>
        <v>311.70000000000005</v>
      </c>
      <c r="H304" s="34">
        <f>SUM(H305)</f>
        <v>311.70000000000005</v>
      </c>
      <c r="I304" s="34">
        <f t="shared" si="9"/>
        <v>100</v>
      </c>
    </row>
    <row r="305" spans="1:9" s="40" customFormat="1" ht="14.25" customHeight="1">
      <c r="A305" s="46" t="s">
        <v>454</v>
      </c>
      <c r="B305" s="47"/>
      <c r="C305" s="48" t="s">
        <v>190</v>
      </c>
      <c r="D305" s="48" t="s">
        <v>317</v>
      </c>
      <c r="E305" s="48" t="s">
        <v>272</v>
      </c>
      <c r="F305" s="36"/>
      <c r="G305" s="34">
        <f>SUM(G306)</f>
        <v>311.70000000000005</v>
      </c>
      <c r="H305" s="34">
        <f>SUM(H306)</f>
        <v>311.70000000000005</v>
      </c>
      <c r="I305" s="34">
        <f t="shared" si="9"/>
        <v>100</v>
      </c>
    </row>
    <row r="306" spans="1:9" ht="14.25" customHeight="1">
      <c r="A306" s="46" t="s">
        <v>455</v>
      </c>
      <c r="B306" s="47"/>
      <c r="C306" s="48" t="s">
        <v>190</v>
      </c>
      <c r="D306" s="48" t="s">
        <v>317</v>
      </c>
      <c r="E306" s="48" t="s">
        <v>272</v>
      </c>
      <c r="F306" s="36" t="s">
        <v>274</v>
      </c>
      <c r="G306" s="34">
        <f>825-508.4-4.9</f>
        <v>311.70000000000005</v>
      </c>
      <c r="H306" s="34">
        <f>825-508.4-4.9</f>
        <v>311.70000000000005</v>
      </c>
      <c r="I306" s="34">
        <f t="shared" si="9"/>
        <v>100</v>
      </c>
    </row>
    <row r="307" spans="1:9" s="50" customFormat="1" ht="15" hidden="1">
      <c r="A307" s="49" t="s">
        <v>331</v>
      </c>
      <c r="B307" s="47"/>
      <c r="C307" s="48" t="s">
        <v>190</v>
      </c>
      <c r="D307" s="48" t="s">
        <v>317</v>
      </c>
      <c r="E307" s="48" t="s">
        <v>332</v>
      </c>
      <c r="F307" s="36"/>
      <c r="G307" s="34">
        <f>SUM(G308)</f>
        <v>0</v>
      </c>
      <c r="H307" s="34">
        <f>SUM(H308)</f>
        <v>0</v>
      </c>
      <c r="I307" s="34" t="e">
        <f t="shared" si="9"/>
        <v>#DIV/0!</v>
      </c>
    </row>
    <row r="308" spans="1:9" s="50" customFormat="1" ht="42.75" hidden="1">
      <c r="A308" s="46" t="s">
        <v>1054</v>
      </c>
      <c r="B308" s="47"/>
      <c r="C308" s="48" t="s">
        <v>190</v>
      </c>
      <c r="D308" s="48" t="s">
        <v>317</v>
      </c>
      <c r="E308" s="48" t="s">
        <v>511</v>
      </c>
      <c r="F308" s="36"/>
      <c r="G308" s="34">
        <f>SUM(G309)</f>
        <v>0</v>
      </c>
      <c r="H308" s="34">
        <f>SUM(H309)</f>
        <v>0</v>
      </c>
      <c r="I308" s="34" t="e">
        <f t="shared" si="9"/>
        <v>#DIV/0!</v>
      </c>
    </row>
    <row r="309" spans="1:9" s="50" customFormat="1" ht="15.75" hidden="1">
      <c r="A309" s="52" t="s">
        <v>265</v>
      </c>
      <c r="B309" s="69"/>
      <c r="C309" s="48" t="s">
        <v>190</v>
      </c>
      <c r="D309" s="48" t="s">
        <v>317</v>
      </c>
      <c r="E309" s="48" t="s">
        <v>511</v>
      </c>
      <c r="F309" s="37" t="s">
        <v>266</v>
      </c>
      <c r="G309" s="34"/>
      <c r="H309" s="34"/>
      <c r="I309" s="34" t="e">
        <f t="shared" si="9"/>
        <v>#DIV/0!</v>
      </c>
    </row>
    <row r="310" spans="1:9" s="40" customFormat="1" ht="28.5">
      <c r="A310" s="30" t="s">
        <v>981</v>
      </c>
      <c r="B310" s="31"/>
      <c r="C310" s="48" t="s">
        <v>203</v>
      </c>
      <c r="D310" s="48"/>
      <c r="E310" s="48"/>
      <c r="F310" s="36"/>
      <c r="G310" s="34">
        <f>SUM(G311+G318)</f>
        <v>0.002</v>
      </c>
      <c r="H310" s="34">
        <f>SUM(H311+H318)</f>
        <v>0.002</v>
      </c>
      <c r="I310" s="34">
        <f t="shared" si="9"/>
        <v>100</v>
      </c>
    </row>
    <row r="311" spans="1:9" s="40" customFormat="1" ht="15" hidden="1">
      <c r="A311" s="30" t="s">
        <v>982</v>
      </c>
      <c r="B311" s="31"/>
      <c r="C311" s="48" t="s">
        <v>203</v>
      </c>
      <c r="D311" s="48" t="s">
        <v>167</v>
      </c>
      <c r="E311" s="48"/>
      <c r="F311" s="36"/>
      <c r="G311" s="34">
        <f>SUM(G312+G315)</f>
        <v>0</v>
      </c>
      <c r="H311" s="34">
        <f>SUM(H312+H315)</f>
        <v>0</v>
      </c>
      <c r="I311" s="34" t="e">
        <f t="shared" si="9"/>
        <v>#DIV/0!</v>
      </c>
    </row>
    <row r="312" spans="1:9" s="40" customFormat="1" ht="28.5" hidden="1">
      <c r="A312" s="30" t="s">
        <v>275</v>
      </c>
      <c r="B312" s="31"/>
      <c r="C312" s="48" t="s">
        <v>203</v>
      </c>
      <c r="D312" s="48" t="s">
        <v>167</v>
      </c>
      <c r="E312" s="48" t="s">
        <v>276</v>
      </c>
      <c r="F312" s="36"/>
      <c r="G312" s="34">
        <f>SUM(G313)</f>
        <v>0</v>
      </c>
      <c r="H312" s="34">
        <f>SUM(H313)</f>
        <v>0</v>
      </c>
      <c r="I312" s="34" t="e">
        <f t="shared" si="9"/>
        <v>#DIV/0!</v>
      </c>
    </row>
    <row r="313" spans="1:9" s="40" customFormat="1" ht="27.75" customHeight="1" hidden="1">
      <c r="A313" s="35" t="s">
        <v>263</v>
      </c>
      <c r="B313" s="31"/>
      <c r="C313" s="48" t="s">
        <v>203</v>
      </c>
      <c r="D313" s="48" t="s">
        <v>167</v>
      </c>
      <c r="E313" s="48" t="s">
        <v>277</v>
      </c>
      <c r="F313" s="36"/>
      <c r="G313" s="34">
        <f>SUM(G314)</f>
        <v>0</v>
      </c>
      <c r="H313" s="34">
        <f>SUM(H314)</f>
        <v>0</v>
      </c>
      <c r="I313" s="34" t="e">
        <f t="shared" si="9"/>
        <v>#DIV/0!</v>
      </c>
    </row>
    <row r="314" spans="1:9" s="111" customFormat="1" ht="24" customHeight="1" hidden="1">
      <c r="A314" s="52" t="s">
        <v>265</v>
      </c>
      <c r="B314" s="109"/>
      <c r="C314" s="70" t="s">
        <v>203</v>
      </c>
      <c r="D314" s="70" t="s">
        <v>167</v>
      </c>
      <c r="E314" s="70" t="s">
        <v>277</v>
      </c>
      <c r="F314" s="37" t="s">
        <v>266</v>
      </c>
      <c r="G314" s="34"/>
      <c r="H314" s="34"/>
      <c r="I314" s="34" t="e">
        <f t="shared" si="9"/>
        <v>#DIV/0!</v>
      </c>
    </row>
    <row r="315" spans="1:9" s="111" customFormat="1" ht="27.75" customHeight="1" hidden="1">
      <c r="A315" s="108" t="s">
        <v>625</v>
      </c>
      <c r="B315" s="109"/>
      <c r="C315" s="70" t="s">
        <v>203</v>
      </c>
      <c r="D315" s="70" t="s">
        <v>167</v>
      </c>
      <c r="E315" s="70" t="s">
        <v>626</v>
      </c>
      <c r="F315" s="37"/>
      <c r="G315" s="34">
        <f>SUM(G316)</f>
        <v>0</v>
      </c>
      <c r="H315" s="34">
        <f>SUM(H316)</f>
        <v>0</v>
      </c>
      <c r="I315" s="34" t="e">
        <f t="shared" si="9"/>
        <v>#DIV/0!</v>
      </c>
    </row>
    <row r="316" spans="1:9" ht="27" customHeight="1" hidden="1">
      <c r="A316" s="52" t="s">
        <v>263</v>
      </c>
      <c r="B316" s="109"/>
      <c r="C316" s="70" t="s">
        <v>203</v>
      </c>
      <c r="D316" s="70" t="s">
        <v>167</v>
      </c>
      <c r="E316" s="70" t="s">
        <v>627</v>
      </c>
      <c r="F316" s="37"/>
      <c r="G316" s="34">
        <f>SUM(G317)</f>
        <v>0</v>
      </c>
      <c r="H316" s="34">
        <f>SUM(H317)</f>
        <v>0</v>
      </c>
      <c r="I316" s="34" t="e">
        <f t="shared" si="9"/>
        <v>#DIV/0!</v>
      </c>
    </row>
    <row r="317" spans="1:9" s="50" customFormat="1" ht="27.75" customHeight="1" hidden="1">
      <c r="A317" s="52" t="s">
        <v>265</v>
      </c>
      <c r="B317" s="109"/>
      <c r="C317" s="70" t="s">
        <v>203</v>
      </c>
      <c r="D317" s="70" t="s">
        <v>167</v>
      </c>
      <c r="E317" s="70" t="s">
        <v>627</v>
      </c>
      <c r="F317" s="37" t="s">
        <v>266</v>
      </c>
      <c r="G317" s="34"/>
      <c r="H317" s="34"/>
      <c r="I317" s="34" t="e">
        <f t="shared" si="9"/>
        <v>#DIV/0!</v>
      </c>
    </row>
    <row r="318" spans="1:9" ht="29.25">
      <c r="A318" s="49" t="s">
        <v>635</v>
      </c>
      <c r="B318" s="54"/>
      <c r="C318" s="43" t="s">
        <v>203</v>
      </c>
      <c r="D318" s="43" t="s">
        <v>237</v>
      </c>
      <c r="E318" s="43"/>
      <c r="F318" s="130"/>
      <c r="G318" s="131">
        <f aca="true" t="shared" si="11" ref="G318:H320">SUM(G319)</f>
        <v>0.002</v>
      </c>
      <c r="H318" s="131">
        <f t="shared" si="11"/>
        <v>0.002</v>
      </c>
      <c r="I318" s="34">
        <f t="shared" si="9"/>
        <v>100</v>
      </c>
    </row>
    <row r="319" spans="1:9" s="50" customFormat="1" ht="42.75">
      <c r="A319" s="46" t="s">
        <v>270</v>
      </c>
      <c r="B319" s="47"/>
      <c r="C319" s="43" t="s">
        <v>203</v>
      </c>
      <c r="D319" s="43" t="s">
        <v>237</v>
      </c>
      <c r="E319" s="48" t="s">
        <v>215</v>
      </c>
      <c r="F319" s="36"/>
      <c r="G319" s="131">
        <f t="shared" si="11"/>
        <v>0.002</v>
      </c>
      <c r="H319" s="131">
        <f t="shared" si="11"/>
        <v>0.002</v>
      </c>
      <c r="I319" s="34">
        <f t="shared" si="9"/>
        <v>100</v>
      </c>
    </row>
    <row r="320" spans="1:9" ht="42.75">
      <c r="A320" s="46" t="s">
        <v>454</v>
      </c>
      <c r="B320" s="47"/>
      <c r="C320" s="43" t="s">
        <v>203</v>
      </c>
      <c r="D320" s="43" t="s">
        <v>237</v>
      </c>
      <c r="E320" s="48" t="s">
        <v>272</v>
      </c>
      <c r="F320" s="36"/>
      <c r="G320" s="131">
        <f t="shared" si="11"/>
        <v>0.002</v>
      </c>
      <c r="H320" s="131">
        <f t="shared" si="11"/>
        <v>0.002</v>
      </c>
      <c r="I320" s="34">
        <f t="shared" si="9"/>
        <v>100</v>
      </c>
    </row>
    <row r="321" spans="1:9" s="50" customFormat="1" ht="18" customHeight="1">
      <c r="A321" s="46" t="s">
        <v>455</v>
      </c>
      <c r="B321" s="47"/>
      <c r="C321" s="43" t="s">
        <v>203</v>
      </c>
      <c r="D321" s="43" t="s">
        <v>237</v>
      </c>
      <c r="E321" s="48" t="s">
        <v>272</v>
      </c>
      <c r="F321" s="36" t="s">
        <v>274</v>
      </c>
      <c r="G321" s="131">
        <v>0.002</v>
      </c>
      <c r="H321" s="131">
        <v>0.002</v>
      </c>
      <c r="I321" s="34">
        <f t="shared" si="9"/>
        <v>100</v>
      </c>
    </row>
    <row r="322" spans="1:9" s="50" customFormat="1" ht="15">
      <c r="A322" s="30" t="s">
        <v>1055</v>
      </c>
      <c r="B322" s="31"/>
      <c r="C322" s="32" t="s">
        <v>317</v>
      </c>
      <c r="D322" s="32"/>
      <c r="E322" s="32"/>
      <c r="F322" s="33"/>
      <c r="G322" s="34">
        <f>SUM(G323+G340+G333+G329)</f>
        <v>8421.8</v>
      </c>
      <c r="H322" s="34">
        <f>SUM(H323+H340+H333+H329)</f>
        <v>8392</v>
      </c>
      <c r="I322" s="34">
        <f t="shared" si="9"/>
        <v>99.64615640361919</v>
      </c>
    </row>
    <row r="323" spans="1:9" s="50" customFormat="1" ht="15">
      <c r="A323" s="30" t="s">
        <v>647</v>
      </c>
      <c r="B323" s="31"/>
      <c r="C323" s="48" t="s">
        <v>317</v>
      </c>
      <c r="D323" s="48" t="s">
        <v>167</v>
      </c>
      <c r="E323" s="48"/>
      <c r="F323" s="36"/>
      <c r="G323" s="34">
        <f>SUM(G326)+G324</f>
        <v>2013.1</v>
      </c>
      <c r="H323" s="34">
        <f>SUM(H326)+H324</f>
        <v>2013.1</v>
      </c>
      <c r="I323" s="34">
        <f t="shared" si="9"/>
        <v>100</v>
      </c>
    </row>
    <row r="324" spans="1:9" s="2" customFormat="1" ht="16.5" customHeight="1" hidden="1">
      <c r="A324" s="30" t="s">
        <v>255</v>
      </c>
      <c r="B324" s="31"/>
      <c r="C324" s="48" t="s">
        <v>317</v>
      </c>
      <c r="D324" s="48" t="s">
        <v>167</v>
      </c>
      <c r="E324" s="48" t="s">
        <v>256</v>
      </c>
      <c r="F324" s="36"/>
      <c r="G324" s="34">
        <f>SUM(G325)</f>
        <v>0</v>
      </c>
      <c r="H324" s="34">
        <f>SUM(H325)</f>
        <v>0</v>
      </c>
      <c r="I324" s="34" t="e">
        <f t="shared" si="9"/>
        <v>#DIV/0!</v>
      </c>
    </row>
    <row r="325" spans="1:9" s="2" customFormat="1" ht="16.5" customHeight="1" hidden="1">
      <c r="A325" s="52" t="s">
        <v>265</v>
      </c>
      <c r="B325" s="31"/>
      <c r="C325" s="48" t="s">
        <v>317</v>
      </c>
      <c r="D325" s="48" t="s">
        <v>167</v>
      </c>
      <c r="E325" s="48" t="s">
        <v>256</v>
      </c>
      <c r="F325" s="36" t="s">
        <v>266</v>
      </c>
      <c r="G325" s="34"/>
      <c r="H325" s="34"/>
      <c r="I325" s="34" t="e">
        <f t="shared" si="9"/>
        <v>#DIV/0!</v>
      </c>
    </row>
    <row r="326" spans="1:9" s="2" customFormat="1" ht="15">
      <c r="A326" s="30" t="s">
        <v>1056</v>
      </c>
      <c r="B326" s="31"/>
      <c r="C326" s="48" t="s">
        <v>317</v>
      </c>
      <c r="D326" s="48" t="s">
        <v>167</v>
      </c>
      <c r="E326" s="48" t="s">
        <v>652</v>
      </c>
      <c r="F326" s="36"/>
      <c r="G326" s="34">
        <f>SUM(G327)</f>
        <v>2013.1</v>
      </c>
      <c r="H326" s="34">
        <f>SUM(H327)</f>
        <v>2013.1</v>
      </c>
      <c r="I326" s="34">
        <f t="shared" si="9"/>
        <v>100</v>
      </c>
    </row>
    <row r="327" spans="1:9" s="2" customFormat="1" ht="26.25" customHeight="1">
      <c r="A327" s="35" t="s">
        <v>263</v>
      </c>
      <c r="B327" s="31"/>
      <c r="C327" s="48" t="s">
        <v>317</v>
      </c>
      <c r="D327" s="48" t="s">
        <v>167</v>
      </c>
      <c r="E327" s="48" t="s">
        <v>653</v>
      </c>
      <c r="F327" s="36"/>
      <c r="G327" s="34">
        <f>SUM(G328)</f>
        <v>2013.1</v>
      </c>
      <c r="H327" s="34">
        <f>SUM(H328)</f>
        <v>2013.1</v>
      </c>
      <c r="I327" s="34">
        <f t="shared" si="9"/>
        <v>100</v>
      </c>
    </row>
    <row r="328" spans="1:9" s="2" customFormat="1" ht="15">
      <c r="A328" s="52" t="s">
        <v>265</v>
      </c>
      <c r="B328" s="109"/>
      <c r="C328" s="70" t="s">
        <v>317</v>
      </c>
      <c r="D328" s="70" t="s">
        <v>167</v>
      </c>
      <c r="E328" s="70" t="s">
        <v>653</v>
      </c>
      <c r="F328" s="37" t="s">
        <v>266</v>
      </c>
      <c r="G328" s="34">
        <f>404.6+3184.4-1575.9</f>
        <v>2013.1</v>
      </c>
      <c r="H328" s="34">
        <f>404.6+3184.4-1575.9</f>
        <v>2013.1</v>
      </c>
      <c r="I328" s="34">
        <f t="shared" si="9"/>
        <v>100</v>
      </c>
    </row>
    <row r="329" spans="1:9" s="2" customFormat="1" ht="21" customHeight="1" hidden="1">
      <c r="A329" s="52" t="s">
        <v>670</v>
      </c>
      <c r="B329" s="31"/>
      <c r="C329" s="48" t="s">
        <v>317</v>
      </c>
      <c r="D329" s="48" t="s">
        <v>201</v>
      </c>
      <c r="E329" s="48"/>
      <c r="F329" s="36"/>
      <c r="G329" s="34">
        <f aca="true" t="shared" si="12" ref="G329:H331">SUM(G330)</f>
        <v>0</v>
      </c>
      <c r="H329" s="34">
        <f t="shared" si="12"/>
        <v>0</v>
      </c>
      <c r="I329" s="34" t="e">
        <f t="shared" si="9"/>
        <v>#DIV/0!</v>
      </c>
    </row>
    <row r="330" spans="1:9" s="2" customFormat="1" ht="15" hidden="1">
      <c r="A330" s="108" t="s">
        <v>671</v>
      </c>
      <c r="B330" s="109"/>
      <c r="C330" s="48" t="s">
        <v>317</v>
      </c>
      <c r="D330" s="48" t="s">
        <v>201</v>
      </c>
      <c r="E330" s="70" t="s">
        <v>672</v>
      </c>
      <c r="F330" s="37"/>
      <c r="G330" s="34">
        <f t="shared" si="12"/>
        <v>0</v>
      </c>
      <c r="H330" s="34">
        <f t="shared" si="12"/>
        <v>0</v>
      </c>
      <c r="I330" s="34" t="e">
        <f t="shared" si="9"/>
        <v>#DIV/0!</v>
      </c>
    </row>
    <row r="331" spans="1:9" s="50" customFormat="1" ht="28.5" hidden="1">
      <c r="A331" s="52" t="s">
        <v>263</v>
      </c>
      <c r="B331" s="109"/>
      <c r="C331" s="48" t="s">
        <v>317</v>
      </c>
      <c r="D331" s="48" t="s">
        <v>201</v>
      </c>
      <c r="E331" s="70" t="s">
        <v>673</v>
      </c>
      <c r="F331" s="37"/>
      <c r="G331" s="34">
        <f t="shared" si="12"/>
        <v>0</v>
      </c>
      <c r="H331" s="34">
        <f t="shared" si="12"/>
        <v>0</v>
      </c>
      <c r="I331" s="34" t="e">
        <f t="shared" si="9"/>
        <v>#DIV/0!</v>
      </c>
    </row>
    <row r="332" spans="1:9" s="50" customFormat="1" ht="15" hidden="1">
      <c r="A332" s="52" t="s">
        <v>265</v>
      </c>
      <c r="B332" s="109"/>
      <c r="C332" s="48" t="s">
        <v>317</v>
      </c>
      <c r="D332" s="48" t="s">
        <v>201</v>
      </c>
      <c r="E332" s="70" t="s">
        <v>673</v>
      </c>
      <c r="F332" s="37" t="s">
        <v>266</v>
      </c>
      <c r="G332" s="34"/>
      <c r="H332" s="34"/>
      <c r="I332" s="34" t="e">
        <f t="shared" si="9"/>
        <v>#DIV/0!</v>
      </c>
    </row>
    <row r="333" spans="1:9" s="50" customFormat="1" ht="15">
      <c r="A333" s="30" t="s">
        <v>674</v>
      </c>
      <c r="B333" s="31"/>
      <c r="C333" s="32" t="s">
        <v>317</v>
      </c>
      <c r="D333" s="32" t="s">
        <v>203</v>
      </c>
      <c r="E333" s="32"/>
      <c r="F333" s="33"/>
      <c r="G333" s="34">
        <f>SUM(G334+G337)</f>
        <v>3023.8999999999996</v>
      </c>
      <c r="H333" s="34">
        <f>SUM(H334+H337)</f>
        <v>2994.2</v>
      </c>
      <c r="I333" s="34">
        <f t="shared" si="9"/>
        <v>99.017824663514</v>
      </c>
    </row>
    <row r="334" spans="1:9" s="50" customFormat="1" ht="28.5">
      <c r="A334" s="30" t="s">
        <v>675</v>
      </c>
      <c r="B334" s="31"/>
      <c r="C334" s="32" t="s">
        <v>317</v>
      </c>
      <c r="D334" s="32" t="s">
        <v>203</v>
      </c>
      <c r="E334" s="58" t="s">
        <v>560</v>
      </c>
      <c r="F334" s="33"/>
      <c r="G334" s="34">
        <f>SUM(G335)</f>
        <v>583.1999999999999</v>
      </c>
      <c r="H334" s="34">
        <f>SUM(H335)</f>
        <v>583.1</v>
      </c>
      <c r="I334" s="34">
        <f t="shared" si="9"/>
        <v>99.98285322359398</v>
      </c>
    </row>
    <row r="335" spans="1:9" s="50" customFormat="1" ht="28.5">
      <c r="A335" s="30" t="s">
        <v>521</v>
      </c>
      <c r="B335" s="31"/>
      <c r="C335" s="32" t="s">
        <v>317</v>
      </c>
      <c r="D335" s="32" t="s">
        <v>203</v>
      </c>
      <c r="E335" s="58" t="s">
        <v>561</v>
      </c>
      <c r="F335" s="33"/>
      <c r="G335" s="34">
        <f>SUM(G336)</f>
        <v>583.1999999999999</v>
      </c>
      <c r="H335" s="34">
        <f>SUM(H336)</f>
        <v>583.1</v>
      </c>
      <c r="I335" s="34">
        <f t="shared" si="9"/>
        <v>99.98285322359398</v>
      </c>
    </row>
    <row r="336" spans="1:9" s="50" customFormat="1" ht="28.5">
      <c r="A336" s="35" t="s">
        <v>174</v>
      </c>
      <c r="B336" s="31"/>
      <c r="C336" s="32" t="s">
        <v>317</v>
      </c>
      <c r="D336" s="32" t="s">
        <v>203</v>
      </c>
      <c r="E336" s="58" t="s">
        <v>561</v>
      </c>
      <c r="F336" s="33" t="s">
        <v>175</v>
      </c>
      <c r="G336" s="34">
        <f>650-59.6-7.2</f>
        <v>583.1999999999999</v>
      </c>
      <c r="H336" s="34">
        <v>583.1</v>
      </c>
      <c r="I336" s="34">
        <f aca="true" t="shared" si="13" ref="I336:I399">SUM(H336/G336*100)</f>
        <v>99.98285322359398</v>
      </c>
    </row>
    <row r="337" spans="1:9" s="50" customFormat="1" ht="17.25" customHeight="1">
      <c r="A337" s="108" t="s">
        <v>278</v>
      </c>
      <c r="B337" s="47"/>
      <c r="C337" s="32" t="s">
        <v>317</v>
      </c>
      <c r="D337" s="32" t="s">
        <v>203</v>
      </c>
      <c r="E337" s="48" t="s">
        <v>279</v>
      </c>
      <c r="F337" s="36"/>
      <c r="G337" s="34">
        <f>SUM(G338)</f>
        <v>2440.7</v>
      </c>
      <c r="H337" s="34">
        <f>SUM(H338)</f>
        <v>2411.1</v>
      </c>
      <c r="I337" s="34">
        <f t="shared" si="13"/>
        <v>98.78723317081166</v>
      </c>
    </row>
    <row r="338" spans="1:9" s="50" customFormat="1" ht="28.5">
      <c r="A338" s="30" t="s">
        <v>521</v>
      </c>
      <c r="B338" s="109"/>
      <c r="C338" s="32" t="s">
        <v>317</v>
      </c>
      <c r="D338" s="32" t="s">
        <v>203</v>
      </c>
      <c r="E338" s="70" t="s">
        <v>279</v>
      </c>
      <c r="F338" s="37" t="s">
        <v>6</v>
      </c>
      <c r="G338" s="34">
        <f>SUM(G339)</f>
        <v>2440.7</v>
      </c>
      <c r="H338" s="34">
        <f>SUM(H339)</f>
        <v>2411.1</v>
      </c>
      <c r="I338" s="34">
        <f t="shared" si="13"/>
        <v>98.78723317081166</v>
      </c>
    </row>
    <row r="339" spans="1:9" s="50" customFormat="1" ht="29.25" customHeight="1">
      <c r="A339" s="35" t="s">
        <v>676</v>
      </c>
      <c r="B339" s="31"/>
      <c r="C339" s="32" t="s">
        <v>317</v>
      </c>
      <c r="D339" s="32" t="s">
        <v>203</v>
      </c>
      <c r="E339" s="70" t="s">
        <v>677</v>
      </c>
      <c r="F339" s="37" t="s">
        <v>6</v>
      </c>
      <c r="G339" s="34">
        <f>3303.2-482.6-100.5-279.4</f>
        <v>2440.7</v>
      </c>
      <c r="H339" s="34">
        <v>2411.1</v>
      </c>
      <c r="I339" s="34">
        <f t="shared" si="13"/>
        <v>98.78723317081166</v>
      </c>
    </row>
    <row r="340" spans="1:9" s="50" customFormat="1" ht="28.5">
      <c r="A340" s="30" t="s">
        <v>678</v>
      </c>
      <c r="B340" s="31"/>
      <c r="C340" s="48" t="s">
        <v>317</v>
      </c>
      <c r="D340" s="48" t="s">
        <v>339</v>
      </c>
      <c r="E340" s="48"/>
      <c r="F340" s="36"/>
      <c r="G340" s="34">
        <f>SUM(G344+G341)</f>
        <v>3384.8</v>
      </c>
      <c r="H340" s="34">
        <f>SUM(H344+H341)</f>
        <v>3384.7000000000003</v>
      </c>
      <c r="I340" s="34">
        <f t="shared" si="13"/>
        <v>99.9970456156937</v>
      </c>
    </row>
    <row r="341" spans="1:9" s="124" customFormat="1" ht="42.75">
      <c r="A341" s="46" t="s">
        <v>270</v>
      </c>
      <c r="B341" s="47"/>
      <c r="C341" s="48" t="s">
        <v>317</v>
      </c>
      <c r="D341" s="48" t="s">
        <v>339</v>
      </c>
      <c r="E341" s="48" t="s">
        <v>215</v>
      </c>
      <c r="F341" s="36"/>
      <c r="G341" s="34">
        <f>SUM(G342)</f>
        <v>250</v>
      </c>
      <c r="H341" s="34">
        <f>SUM(H342)</f>
        <v>250</v>
      </c>
      <c r="I341" s="34">
        <f t="shared" si="13"/>
        <v>100</v>
      </c>
    </row>
    <row r="342" spans="1:9" ht="42.75">
      <c r="A342" s="46" t="s">
        <v>454</v>
      </c>
      <c r="B342" s="47"/>
      <c r="C342" s="48" t="s">
        <v>317</v>
      </c>
      <c r="D342" s="48" t="s">
        <v>339</v>
      </c>
      <c r="E342" s="48" t="s">
        <v>272</v>
      </c>
      <c r="F342" s="36"/>
      <c r="G342" s="34">
        <f>SUM(G343)</f>
        <v>250</v>
      </c>
      <c r="H342" s="34">
        <f>SUM(H343)</f>
        <v>250</v>
      </c>
      <c r="I342" s="34">
        <f t="shared" si="13"/>
        <v>100</v>
      </c>
    </row>
    <row r="343" spans="1:9" ht="20.25" customHeight="1">
      <c r="A343" s="46" t="s">
        <v>455</v>
      </c>
      <c r="B343" s="47"/>
      <c r="C343" s="48" t="s">
        <v>317</v>
      </c>
      <c r="D343" s="48" t="s">
        <v>339</v>
      </c>
      <c r="E343" s="48" t="s">
        <v>272</v>
      </c>
      <c r="F343" s="36" t="s">
        <v>274</v>
      </c>
      <c r="G343" s="34">
        <f>1109.5-489.5-300-70</f>
        <v>250</v>
      </c>
      <c r="H343" s="34">
        <f>1109.5-489.5-300-70</f>
        <v>250</v>
      </c>
      <c r="I343" s="34">
        <f t="shared" si="13"/>
        <v>100</v>
      </c>
    </row>
    <row r="344" spans="1:9" ht="21.75" customHeight="1">
      <c r="A344" s="108" t="s">
        <v>278</v>
      </c>
      <c r="B344" s="47"/>
      <c r="C344" s="48" t="s">
        <v>317</v>
      </c>
      <c r="D344" s="48" t="s">
        <v>339</v>
      </c>
      <c r="E344" s="48" t="s">
        <v>279</v>
      </c>
      <c r="F344" s="36"/>
      <c r="G344" s="34">
        <f>SUM(G345)+G349</f>
        <v>3134.8</v>
      </c>
      <c r="H344" s="34">
        <f>SUM(H345)+H349</f>
        <v>3134.7000000000003</v>
      </c>
      <c r="I344" s="34">
        <f t="shared" si="13"/>
        <v>99.996810003828</v>
      </c>
    </row>
    <row r="345" spans="1:9" ht="28.5" customHeight="1">
      <c r="A345" s="30" t="s">
        <v>681</v>
      </c>
      <c r="B345" s="47"/>
      <c r="C345" s="48" t="s">
        <v>317</v>
      </c>
      <c r="D345" s="48" t="s">
        <v>339</v>
      </c>
      <c r="E345" s="48" t="s">
        <v>682</v>
      </c>
      <c r="F345" s="36"/>
      <c r="G345" s="34">
        <f>SUM(G346:G348)</f>
        <v>3134.8</v>
      </c>
      <c r="H345" s="34">
        <f>SUM(H346:H348)</f>
        <v>3134.7000000000003</v>
      </c>
      <c r="I345" s="34">
        <f t="shared" si="13"/>
        <v>99.996810003828</v>
      </c>
    </row>
    <row r="346" spans="1:9" ht="17.25" customHeight="1">
      <c r="A346" s="46" t="s">
        <v>455</v>
      </c>
      <c r="B346" s="31"/>
      <c r="C346" s="48" t="s">
        <v>317</v>
      </c>
      <c r="D346" s="48" t="s">
        <v>339</v>
      </c>
      <c r="E346" s="48" t="s">
        <v>682</v>
      </c>
      <c r="F346" s="36" t="s">
        <v>274</v>
      </c>
      <c r="G346" s="34">
        <v>309.5</v>
      </c>
      <c r="H346" s="34">
        <v>309.4</v>
      </c>
      <c r="I346" s="34">
        <f t="shared" si="13"/>
        <v>99.96768982229402</v>
      </c>
    </row>
    <row r="347" spans="1:9" ht="18" customHeight="1" hidden="1">
      <c r="A347" s="35" t="s">
        <v>174</v>
      </c>
      <c r="B347" s="109"/>
      <c r="C347" s="70" t="s">
        <v>317</v>
      </c>
      <c r="D347" s="48" t="s">
        <v>339</v>
      </c>
      <c r="E347" s="48" t="s">
        <v>682</v>
      </c>
      <c r="F347" s="37" t="s">
        <v>175</v>
      </c>
      <c r="G347" s="34"/>
      <c r="H347" s="34"/>
      <c r="I347" s="34" t="e">
        <f t="shared" si="13"/>
        <v>#DIV/0!</v>
      </c>
    </row>
    <row r="348" spans="1:9" s="40" customFormat="1" ht="30" customHeight="1">
      <c r="A348" s="30" t="s">
        <v>521</v>
      </c>
      <c r="B348" s="31"/>
      <c r="C348" s="48" t="s">
        <v>317</v>
      </c>
      <c r="D348" s="48" t="s">
        <v>339</v>
      </c>
      <c r="E348" s="48" t="s">
        <v>682</v>
      </c>
      <c r="F348" s="130" t="s">
        <v>6</v>
      </c>
      <c r="G348" s="77">
        <v>2825.3</v>
      </c>
      <c r="H348" s="77">
        <v>2825.3</v>
      </c>
      <c r="I348" s="34">
        <f t="shared" si="13"/>
        <v>100</v>
      </c>
    </row>
    <row r="349" spans="1:9" ht="17.25" customHeight="1" hidden="1">
      <c r="A349" s="95" t="s">
        <v>973</v>
      </c>
      <c r="B349" s="31"/>
      <c r="C349" s="48" t="s">
        <v>317</v>
      </c>
      <c r="D349" s="48" t="s">
        <v>339</v>
      </c>
      <c r="E349" s="48" t="s">
        <v>974</v>
      </c>
      <c r="F349" s="130"/>
      <c r="G349" s="77">
        <f>SUM(G350)</f>
        <v>0</v>
      </c>
      <c r="H349" s="77">
        <f>SUM(H350)</f>
        <v>0</v>
      </c>
      <c r="I349" s="34" t="e">
        <f t="shared" si="13"/>
        <v>#DIV/0!</v>
      </c>
    </row>
    <row r="350" spans="1:9" ht="16.5" customHeight="1" hidden="1">
      <c r="A350" s="30" t="s">
        <v>521</v>
      </c>
      <c r="B350" s="31"/>
      <c r="C350" s="48" t="s">
        <v>317</v>
      </c>
      <c r="D350" s="48" t="s">
        <v>339</v>
      </c>
      <c r="E350" s="48" t="s">
        <v>974</v>
      </c>
      <c r="F350" s="130" t="s">
        <v>6</v>
      </c>
      <c r="G350" s="77"/>
      <c r="H350" s="77"/>
      <c r="I350" s="34" t="e">
        <f t="shared" si="13"/>
        <v>#DIV/0!</v>
      </c>
    </row>
    <row r="351" spans="1:9" ht="15">
      <c r="A351" s="30" t="s">
        <v>693</v>
      </c>
      <c r="B351" s="31"/>
      <c r="C351" s="32" t="s">
        <v>339</v>
      </c>
      <c r="D351" s="32"/>
      <c r="E351" s="32"/>
      <c r="F351" s="33"/>
      <c r="G351" s="34">
        <f>SUM(G355)</f>
        <v>20233.699999999997</v>
      </c>
      <c r="H351" s="34">
        <f>SUM(H355)</f>
        <v>20233.699999999997</v>
      </c>
      <c r="I351" s="34">
        <f t="shared" si="13"/>
        <v>100</v>
      </c>
    </row>
    <row r="352" spans="1:9" ht="15" hidden="1">
      <c r="A352" s="30" t="s">
        <v>700</v>
      </c>
      <c r="B352" s="31"/>
      <c r="C352" s="32" t="s">
        <v>339</v>
      </c>
      <c r="D352" s="32" t="s">
        <v>169</v>
      </c>
      <c r="E352" s="32"/>
      <c r="F352" s="33"/>
      <c r="G352" s="34">
        <f>SUM(G353)</f>
        <v>0</v>
      </c>
      <c r="H352" s="34">
        <f>SUM(H353)</f>
        <v>0</v>
      </c>
      <c r="I352" s="34" t="e">
        <f t="shared" si="13"/>
        <v>#DIV/0!</v>
      </c>
    </row>
    <row r="353" spans="1:9" ht="19.5" customHeight="1" hidden="1">
      <c r="A353" s="30" t="s">
        <v>701</v>
      </c>
      <c r="B353" s="31"/>
      <c r="C353" s="32" t="s">
        <v>339</v>
      </c>
      <c r="D353" s="32" t="s">
        <v>169</v>
      </c>
      <c r="E353" s="32" t="s">
        <v>1057</v>
      </c>
      <c r="F353" s="33"/>
      <c r="G353" s="34">
        <f>SUM(G354)</f>
        <v>0</v>
      </c>
      <c r="H353" s="34">
        <f>SUM(H354)</f>
        <v>0</v>
      </c>
      <c r="I353" s="34" t="e">
        <f t="shared" si="13"/>
        <v>#DIV/0!</v>
      </c>
    </row>
    <row r="354" spans="1:9" ht="28.5" hidden="1">
      <c r="A354" s="30" t="s">
        <v>263</v>
      </c>
      <c r="B354" s="31"/>
      <c r="C354" s="32" t="s">
        <v>339</v>
      </c>
      <c r="D354" s="32" t="s">
        <v>169</v>
      </c>
      <c r="E354" s="32" t="s">
        <v>1057</v>
      </c>
      <c r="F354" s="33" t="s">
        <v>1058</v>
      </c>
      <c r="G354" s="34"/>
      <c r="H354" s="34"/>
      <c r="I354" s="34" t="e">
        <f t="shared" si="13"/>
        <v>#DIV/0!</v>
      </c>
    </row>
    <row r="355" spans="1:9" ht="15">
      <c r="A355" s="49" t="s">
        <v>711</v>
      </c>
      <c r="B355" s="31"/>
      <c r="C355" s="32" t="s">
        <v>339</v>
      </c>
      <c r="D355" s="48" t="s">
        <v>177</v>
      </c>
      <c r="E355" s="32"/>
      <c r="F355" s="33"/>
      <c r="G355" s="34">
        <f>SUM(G356+G359+G368+G375)</f>
        <v>20233.699999999997</v>
      </c>
      <c r="H355" s="34">
        <f>SUM(H356+H359+H368+H375)</f>
        <v>20233.699999999997</v>
      </c>
      <c r="I355" s="34">
        <f t="shared" si="13"/>
        <v>100</v>
      </c>
    </row>
    <row r="356" spans="1:9" ht="30" customHeight="1">
      <c r="A356" s="49" t="s">
        <v>712</v>
      </c>
      <c r="B356" s="31"/>
      <c r="C356" s="32" t="s">
        <v>339</v>
      </c>
      <c r="D356" s="48" t="s">
        <v>177</v>
      </c>
      <c r="E356" s="32" t="s">
        <v>457</v>
      </c>
      <c r="F356" s="33"/>
      <c r="G356" s="34">
        <f>SUM(G357)</f>
        <v>1690.6</v>
      </c>
      <c r="H356" s="34">
        <f>SUM(H357)</f>
        <v>1690.6</v>
      </c>
      <c r="I356" s="34">
        <f t="shared" si="13"/>
        <v>100</v>
      </c>
    </row>
    <row r="357" spans="1:9" ht="26.25" customHeight="1">
      <c r="A357" s="49" t="s">
        <v>713</v>
      </c>
      <c r="B357" s="31"/>
      <c r="C357" s="32" t="s">
        <v>339</v>
      </c>
      <c r="D357" s="48" t="s">
        <v>177</v>
      </c>
      <c r="E357" s="32" t="s">
        <v>714</v>
      </c>
      <c r="F357" s="33"/>
      <c r="G357" s="34">
        <f>SUM(G358)</f>
        <v>1690.6</v>
      </c>
      <c r="H357" s="34">
        <f>SUM(H358)</f>
        <v>1690.6</v>
      </c>
      <c r="I357" s="34">
        <f t="shared" si="13"/>
        <v>100</v>
      </c>
    </row>
    <row r="358" spans="1:9" ht="24.75" customHeight="1">
      <c r="A358" s="49" t="s">
        <v>715</v>
      </c>
      <c r="B358" s="31"/>
      <c r="C358" s="32" t="s">
        <v>339</v>
      </c>
      <c r="D358" s="48" t="s">
        <v>177</v>
      </c>
      <c r="E358" s="32" t="s">
        <v>714</v>
      </c>
      <c r="F358" s="33" t="s">
        <v>716</v>
      </c>
      <c r="G358" s="34">
        <v>1690.6</v>
      </c>
      <c r="H358" s="34">
        <v>1690.6</v>
      </c>
      <c r="I358" s="34">
        <f t="shared" si="13"/>
        <v>100</v>
      </c>
    </row>
    <row r="359" spans="1:9" s="50" customFormat="1" ht="21" customHeight="1">
      <c r="A359" s="30" t="s">
        <v>717</v>
      </c>
      <c r="B359" s="31"/>
      <c r="C359" s="32" t="s">
        <v>339</v>
      </c>
      <c r="D359" s="48" t="s">
        <v>177</v>
      </c>
      <c r="E359" s="32" t="s">
        <v>718</v>
      </c>
      <c r="F359" s="33"/>
      <c r="G359" s="34">
        <f>SUM(G363+G366+G360)</f>
        <v>12633.3</v>
      </c>
      <c r="H359" s="34">
        <f>SUM(H363+H366+H360)</f>
        <v>12633.3</v>
      </c>
      <c r="I359" s="34">
        <f t="shared" si="13"/>
        <v>100</v>
      </c>
    </row>
    <row r="360" spans="1:9" s="50" customFormat="1" ht="21.75" customHeight="1" hidden="1">
      <c r="A360" s="49" t="s">
        <v>2</v>
      </c>
      <c r="B360" s="31"/>
      <c r="C360" s="32" t="s">
        <v>339</v>
      </c>
      <c r="D360" s="32" t="s">
        <v>177</v>
      </c>
      <c r="E360" s="32" t="s">
        <v>1059</v>
      </c>
      <c r="F360" s="33"/>
      <c r="G360" s="34">
        <f>SUM(G361)</f>
        <v>0</v>
      </c>
      <c r="H360" s="34">
        <f>SUM(H361)</f>
        <v>0</v>
      </c>
      <c r="I360" s="34" t="e">
        <f t="shared" si="13"/>
        <v>#DIV/0!</v>
      </c>
    </row>
    <row r="361" spans="1:9" s="50" customFormat="1" ht="21.75" customHeight="1" hidden="1">
      <c r="A361" s="140" t="s">
        <v>740</v>
      </c>
      <c r="B361" s="109"/>
      <c r="C361" s="70" t="s">
        <v>339</v>
      </c>
      <c r="D361" s="70" t="s">
        <v>177</v>
      </c>
      <c r="E361" s="70" t="s">
        <v>741</v>
      </c>
      <c r="F361" s="37"/>
      <c r="G361" s="34">
        <f>SUM(G362)</f>
        <v>0</v>
      </c>
      <c r="H361" s="34">
        <f>SUM(H362)</f>
        <v>0</v>
      </c>
      <c r="I361" s="34" t="e">
        <f t="shared" si="13"/>
        <v>#DIV/0!</v>
      </c>
    </row>
    <row r="362" spans="1:9" s="50" customFormat="1" ht="21.75" customHeight="1" hidden="1">
      <c r="A362" s="30" t="s">
        <v>309</v>
      </c>
      <c r="B362" s="109"/>
      <c r="C362" s="70" t="s">
        <v>339</v>
      </c>
      <c r="D362" s="70" t="s">
        <v>177</v>
      </c>
      <c r="E362" s="70" t="s">
        <v>741</v>
      </c>
      <c r="F362" s="37" t="s">
        <v>310</v>
      </c>
      <c r="G362" s="34">
        <f>650-650</f>
        <v>0</v>
      </c>
      <c r="H362" s="34">
        <f>650-650</f>
        <v>0</v>
      </c>
      <c r="I362" s="34" t="e">
        <f t="shared" si="13"/>
        <v>#DIV/0!</v>
      </c>
    </row>
    <row r="363" spans="1:9" ht="71.25">
      <c r="A363" s="30" t="s">
        <v>1060</v>
      </c>
      <c r="B363" s="31"/>
      <c r="C363" s="48" t="s">
        <v>339</v>
      </c>
      <c r="D363" s="48" t="s">
        <v>177</v>
      </c>
      <c r="E363" s="32" t="s">
        <v>745</v>
      </c>
      <c r="F363" s="33"/>
      <c r="G363" s="34">
        <f>SUM(G364)</f>
        <v>12633.3</v>
      </c>
      <c r="H363" s="34">
        <f>SUM(H364)</f>
        <v>12633.3</v>
      </c>
      <c r="I363" s="34">
        <f t="shared" si="13"/>
        <v>100</v>
      </c>
    </row>
    <row r="364" spans="1:9" ht="75" customHeight="1">
      <c r="A364" s="49" t="s">
        <v>746</v>
      </c>
      <c r="B364" s="31"/>
      <c r="C364" s="48" t="s">
        <v>339</v>
      </c>
      <c r="D364" s="48" t="s">
        <v>177</v>
      </c>
      <c r="E364" s="32" t="s">
        <v>747</v>
      </c>
      <c r="F364" s="36"/>
      <c r="G364" s="34">
        <f>SUM(G365)</f>
        <v>12633.3</v>
      </c>
      <c r="H364" s="34">
        <f>SUM(H365)</f>
        <v>12633.3</v>
      </c>
      <c r="I364" s="34">
        <f t="shared" si="13"/>
        <v>100</v>
      </c>
    </row>
    <row r="365" spans="1:9" ht="15.75" customHeight="1">
      <c r="A365" s="30" t="s">
        <v>309</v>
      </c>
      <c r="B365" s="118"/>
      <c r="C365" s="48" t="s">
        <v>339</v>
      </c>
      <c r="D365" s="48" t="s">
        <v>177</v>
      </c>
      <c r="E365" s="32" t="s">
        <v>747</v>
      </c>
      <c r="F365" s="130" t="s">
        <v>310</v>
      </c>
      <c r="G365" s="77">
        <f>9656.4+2976.9</f>
        <v>12633.3</v>
      </c>
      <c r="H365" s="77">
        <f>9656.4+2976.9</f>
        <v>12633.3</v>
      </c>
      <c r="I365" s="34">
        <f t="shared" si="13"/>
        <v>100</v>
      </c>
    </row>
    <row r="366" spans="1:9" s="50" customFormat="1" ht="15" hidden="1">
      <c r="A366" s="49" t="s">
        <v>18</v>
      </c>
      <c r="B366" s="31"/>
      <c r="C366" s="48" t="s">
        <v>339</v>
      </c>
      <c r="D366" s="48" t="s">
        <v>177</v>
      </c>
      <c r="E366" s="32" t="s">
        <v>1061</v>
      </c>
      <c r="F366" s="36"/>
      <c r="G366" s="34">
        <f>SUM(G367)</f>
        <v>0</v>
      </c>
      <c r="H366" s="34">
        <f>SUM(H367)</f>
        <v>0</v>
      </c>
      <c r="I366" s="34" t="e">
        <f t="shared" si="13"/>
        <v>#DIV/0!</v>
      </c>
    </row>
    <row r="367" spans="1:9" ht="18" customHeight="1" hidden="1">
      <c r="A367" s="30" t="s">
        <v>309</v>
      </c>
      <c r="B367" s="118"/>
      <c r="C367" s="48" t="s">
        <v>339</v>
      </c>
      <c r="D367" s="48" t="s">
        <v>177</v>
      </c>
      <c r="E367" s="32" t="s">
        <v>1061</v>
      </c>
      <c r="F367" s="130" t="s">
        <v>310</v>
      </c>
      <c r="G367" s="77"/>
      <c r="H367" s="77"/>
      <c r="I367" s="34" t="e">
        <f t="shared" si="13"/>
        <v>#DIV/0!</v>
      </c>
    </row>
    <row r="368" spans="1:9" ht="15.75">
      <c r="A368" s="35" t="s">
        <v>331</v>
      </c>
      <c r="B368" s="69"/>
      <c r="C368" s="48" t="s">
        <v>339</v>
      </c>
      <c r="D368" s="48" t="s">
        <v>177</v>
      </c>
      <c r="E368" s="48" t="s">
        <v>332</v>
      </c>
      <c r="F368" s="130"/>
      <c r="G368" s="77">
        <f>SUM(G369)</f>
        <v>4685.200000000001</v>
      </c>
      <c r="H368" s="77">
        <f>SUM(H369)</f>
        <v>4685.200000000001</v>
      </c>
      <c r="I368" s="34">
        <f t="shared" si="13"/>
        <v>100</v>
      </c>
    </row>
    <row r="369" spans="1:9" ht="71.25">
      <c r="A369" s="30" t="s">
        <v>1062</v>
      </c>
      <c r="B369" s="118"/>
      <c r="C369" s="48" t="s">
        <v>339</v>
      </c>
      <c r="D369" s="48" t="s">
        <v>177</v>
      </c>
      <c r="E369" s="48" t="s">
        <v>382</v>
      </c>
      <c r="F369" s="130"/>
      <c r="G369" s="77">
        <f>SUM(G370)+G373</f>
        <v>4685.200000000001</v>
      </c>
      <c r="H369" s="77">
        <f>SUM(H370)+H373</f>
        <v>4685.200000000001</v>
      </c>
      <c r="I369" s="34">
        <f t="shared" si="13"/>
        <v>100</v>
      </c>
    </row>
    <row r="370" spans="1:9" s="50" customFormat="1" ht="28.5">
      <c r="A370" s="30" t="s">
        <v>24</v>
      </c>
      <c r="B370" s="118"/>
      <c r="C370" s="48" t="s">
        <v>339</v>
      </c>
      <c r="D370" s="48" t="s">
        <v>177</v>
      </c>
      <c r="E370" s="48" t="s">
        <v>25</v>
      </c>
      <c r="F370" s="130"/>
      <c r="G370" s="77">
        <f>SUM(G371+G372)</f>
        <v>3627.7000000000003</v>
      </c>
      <c r="H370" s="77">
        <f>SUM(H371+H372)</f>
        <v>3627.7000000000003</v>
      </c>
      <c r="I370" s="34">
        <f t="shared" si="13"/>
        <v>100</v>
      </c>
    </row>
    <row r="371" spans="1:9" ht="28.5" hidden="1">
      <c r="A371" s="41" t="s">
        <v>174</v>
      </c>
      <c r="B371" s="118"/>
      <c r="C371" s="48" t="s">
        <v>339</v>
      </c>
      <c r="D371" s="48" t="s">
        <v>177</v>
      </c>
      <c r="E371" s="48" t="s">
        <v>25</v>
      </c>
      <c r="F371" s="130" t="s">
        <v>175</v>
      </c>
      <c r="G371" s="77"/>
      <c r="H371" s="77"/>
      <c r="I371" s="34" t="e">
        <f t="shared" si="13"/>
        <v>#DIV/0!</v>
      </c>
    </row>
    <row r="372" spans="1:9" ht="19.5" customHeight="1">
      <c r="A372" s="30" t="s">
        <v>715</v>
      </c>
      <c r="B372" s="118"/>
      <c r="C372" s="48" t="s">
        <v>339</v>
      </c>
      <c r="D372" s="48" t="s">
        <v>177</v>
      </c>
      <c r="E372" s="48" t="s">
        <v>25</v>
      </c>
      <c r="F372" s="130" t="s">
        <v>716</v>
      </c>
      <c r="G372" s="77">
        <f>3157.8-117.6+587.5</f>
        <v>3627.7000000000003</v>
      </c>
      <c r="H372" s="77">
        <f>3157.8-117.6+587.5</f>
        <v>3627.7000000000003</v>
      </c>
      <c r="I372" s="34">
        <f t="shared" si="13"/>
        <v>100</v>
      </c>
    </row>
    <row r="373" spans="1:9" ht="43.5" customHeight="1">
      <c r="A373" s="30" t="s">
        <v>26</v>
      </c>
      <c r="B373" s="118"/>
      <c r="C373" s="48" t="s">
        <v>339</v>
      </c>
      <c r="D373" s="48" t="s">
        <v>177</v>
      </c>
      <c r="E373" s="48" t="s">
        <v>27</v>
      </c>
      <c r="F373" s="130"/>
      <c r="G373" s="77">
        <f>SUM(G374)</f>
        <v>1057.5</v>
      </c>
      <c r="H373" s="77">
        <f>SUM(H374)</f>
        <v>1057.5</v>
      </c>
      <c r="I373" s="34">
        <f t="shared" si="13"/>
        <v>100</v>
      </c>
    </row>
    <row r="374" spans="1:9" ht="19.5" customHeight="1">
      <c r="A374" s="30" t="s">
        <v>715</v>
      </c>
      <c r="B374" s="118"/>
      <c r="C374" s="48" t="s">
        <v>339</v>
      </c>
      <c r="D374" s="48" t="s">
        <v>177</v>
      </c>
      <c r="E374" s="48" t="s">
        <v>27</v>
      </c>
      <c r="F374" s="130" t="s">
        <v>716</v>
      </c>
      <c r="G374" s="77">
        <f>1160.5-103</f>
        <v>1057.5</v>
      </c>
      <c r="H374" s="77">
        <f>1160.5-103</f>
        <v>1057.5</v>
      </c>
      <c r="I374" s="34">
        <f t="shared" si="13"/>
        <v>100</v>
      </c>
    </row>
    <row r="375" spans="1:9" ht="22.5" customHeight="1">
      <c r="A375" s="108" t="s">
        <v>278</v>
      </c>
      <c r="B375" s="47"/>
      <c r="C375" s="48" t="s">
        <v>339</v>
      </c>
      <c r="D375" s="48" t="s">
        <v>177</v>
      </c>
      <c r="E375" s="48" t="s">
        <v>279</v>
      </c>
      <c r="F375" s="36"/>
      <c r="G375" s="34">
        <f>SUM(G376)</f>
        <v>1224.6</v>
      </c>
      <c r="H375" s="34">
        <f>SUM(H376)</f>
        <v>1224.6</v>
      </c>
      <c r="I375" s="34">
        <f t="shared" si="13"/>
        <v>100</v>
      </c>
    </row>
    <row r="376" spans="1:9" ht="28.5">
      <c r="A376" s="41" t="s">
        <v>174</v>
      </c>
      <c r="B376" s="31"/>
      <c r="C376" s="48" t="s">
        <v>339</v>
      </c>
      <c r="D376" s="48" t="s">
        <v>177</v>
      </c>
      <c r="E376" s="48" t="s">
        <v>279</v>
      </c>
      <c r="F376" s="36" t="s">
        <v>175</v>
      </c>
      <c r="G376" s="34">
        <f>SUM(G377:G377)</f>
        <v>1224.6</v>
      </c>
      <c r="H376" s="34">
        <f>SUM(H377:H377)</f>
        <v>1224.6</v>
      </c>
      <c r="I376" s="34">
        <f t="shared" si="13"/>
        <v>100</v>
      </c>
    </row>
    <row r="377" spans="1:9" ht="42.75">
      <c r="A377" s="41" t="s">
        <v>429</v>
      </c>
      <c r="B377" s="31"/>
      <c r="C377" s="48" t="s">
        <v>339</v>
      </c>
      <c r="D377" s="48" t="s">
        <v>177</v>
      </c>
      <c r="E377" s="43" t="s">
        <v>430</v>
      </c>
      <c r="F377" s="33" t="s">
        <v>175</v>
      </c>
      <c r="G377" s="34">
        <f>SUM(G378:G379)</f>
        <v>1224.6</v>
      </c>
      <c r="H377" s="34">
        <f>SUM(H378:H379)</f>
        <v>1224.6</v>
      </c>
      <c r="I377" s="34">
        <f t="shared" si="13"/>
        <v>100</v>
      </c>
    </row>
    <row r="378" spans="1:9" ht="28.5">
      <c r="A378" s="30" t="s">
        <v>24</v>
      </c>
      <c r="B378" s="47"/>
      <c r="C378" s="48" t="s">
        <v>339</v>
      </c>
      <c r="D378" s="48" t="s">
        <v>177</v>
      </c>
      <c r="E378" s="43" t="s">
        <v>30</v>
      </c>
      <c r="F378" s="33" t="s">
        <v>175</v>
      </c>
      <c r="G378" s="77">
        <f>740.5-44.6</f>
        <v>695.9</v>
      </c>
      <c r="H378" s="77">
        <f>740.5-44.6</f>
        <v>695.9</v>
      </c>
      <c r="I378" s="34">
        <f t="shared" si="13"/>
        <v>100</v>
      </c>
    </row>
    <row r="379" spans="1:9" ht="42.75">
      <c r="A379" s="30" t="s">
        <v>31</v>
      </c>
      <c r="B379" s="47"/>
      <c r="C379" s="48" t="s">
        <v>339</v>
      </c>
      <c r="D379" s="48" t="s">
        <v>177</v>
      </c>
      <c r="E379" s="43" t="s">
        <v>32</v>
      </c>
      <c r="F379" s="33" t="s">
        <v>175</v>
      </c>
      <c r="G379" s="77">
        <f>626.1-97.4</f>
        <v>528.7</v>
      </c>
      <c r="H379" s="77">
        <f>626.1-97.4</f>
        <v>528.7</v>
      </c>
      <c r="I379" s="34">
        <f t="shared" si="13"/>
        <v>100</v>
      </c>
    </row>
    <row r="380" spans="1:9" ht="30">
      <c r="A380" s="204" t="s">
        <v>1063</v>
      </c>
      <c r="B380" s="123" t="s">
        <v>1064</v>
      </c>
      <c r="C380" s="58"/>
      <c r="D380" s="121"/>
      <c r="E380" s="121"/>
      <c r="F380" s="122"/>
      <c r="G380" s="203">
        <f>SUM(G381)+G403+G408</f>
        <v>18086.899999999998</v>
      </c>
      <c r="H380" s="203">
        <f>SUM(H381)+H403+H408</f>
        <v>15024</v>
      </c>
      <c r="I380" s="57">
        <f t="shared" si="13"/>
        <v>83.06564419552274</v>
      </c>
    </row>
    <row r="381" spans="1:9" ht="15">
      <c r="A381" s="30" t="s">
        <v>166</v>
      </c>
      <c r="B381" s="31"/>
      <c r="C381" s="32" t="s">
        <v>167</v>
      </c>
      <c r="D381" s="32"/>
      <c r="E381" s="32"/>
      <c r="F381" s="33"/>
      <c r="G381" s="34">
        <f>SUM(G382+G392+G396+G388)</f>
        <v>18072.399999999998</v>
      </c>
      <c r="H381" s="34">
        <f>SUM(H382+H392+H396+H388)</f>
        <v>15009.5</v>
      </c>
      <c r="I381" s="34">
        <f t="shared" si="13"/>
        <v>83.05205728071535</v>
      </c>
    </row>
    <row r="382" spans="1:9" ht="42.75">
      <c r="A382" s="30" t="s">
        <v>236</v>
      </c>
      <c r="B382" s="31"/>
      <c r="C382" s="32" t="s">
        <v>167</v>
      </c>
      <c r="D382" s="32" t="s">
        <v>237</v>
      </c>
      <c r="E382" s="32"/>
      <c r="F382" s="33"/>
      <c r="G382" s="34">
        <f>SUM(G383)</f>
        <v>13959.199999999999</v>
      </c>
      <c r="H382" s="34">
        <f>SUM(H383)</f>
        <v>13582.199999999999</v>
      </c>
      <c r="I382" s="34">
        <f t="shared" si="13"/>
        <v>97.29927216459396</v>
      </c>
    </row>
    <row r="383" spans="1:9" ht="45.75" customHeight="1">
      <c r="A383" s="30" t="s">
        <v>170</v>
      </c>
      <c r="B383" s="31"/>
      <c r="C383" s="32" t="s">
        <v>167</v>
      </c>
      <c r="D383" s="32" t="s">
        <v>237</v>
      </c>
      <c r="E383" s="32" t="s">
        <v>171</v>
      </c>
      <c r="F383" s="33"/>
      <c r="G383" s="34">
        <f>SUM(G384)</f>
        <v>13959.199999999999</v>
      </c>
      <c r="H383" s="34">
        <f>SUM(H384)</f>
        <v>13582.199999999999</v>
      </c>
      <c r="I383" s="34">
        <f t="shared" si="13"/>
        <v>97.29927216459396</v>
      </c>
    </row>
    <row r="384" spans="1:9" ht="15">
      <c r="A384" s="30" t="s">
        <v>178</v>
      </c>
      <c r="B384" s="31"/>
      <c r="C384" s="32" t="s">
        <v>167</v>
      </c>
      <c r="D384" s="32" t="s">
        <v>237</v>
      </c>
      <c r="E384" s="32" t="s">
        <v>180</v>
      </c>
      <c r="F384" s="33"/>
      <c r="G384" s="34">
        <f>SUM(G385+G386)</f>
        <v>13959.199999999999</v>
      </c>
      <c r="H384" s="34">
        <f>SUM(H385+H386)</f>
        <v>13582.199999999999</v>
      </c>
      <c r="I384" s="34">
        <f t="shared" si="13"/>
        <v>97.29927216459396</v>
      </c>
    </row>
    <row r="385" spans="1:9" s="6" customFormat="1" ht="27" customHeight="1">
      <c r="A385" s="35" t="s">
        <v>174</v>
      </c>
      <c r="B385" s="31"/>
      <c r="C385" s="32" t="s">
        <v>179</v>
      </c>
      <c r="D385" s="32" t="s">
        <v>237</v>
      </c>
      <c r="E385" s="32" t="s">
        <v>180</v>
      </c>
      <c r="F385" s="37" t="s">
        <v>175</v>
      </c>
      <c r="G385" s="34">
        <f>879.8-300</f>
        <v>579.8</v>
      </c>
      <c r="H385" s="34">
        <v>444.8</v>
      </c>
      <c r="I385" s="34">
        <f t="shared" si="13"/>
        <v>76.71610900310452</v>
      </c>
    </row>
    <row r="386" spans="1:9" s="6" customFormat="1" ht="42.75" customHeight="1">
      <c r="A386" s="35" t="s">
        <v>238</v>
      </c>
      <c r="B386" s="31"/>
      <c r="C386" s="32" t="s">
        <v>179</v>
      </c>
      <c r="D386" s="32" t="s">
        <v>237</v>
      </c>
      <c r="E386" s="32" t="s">
        <v>239</v>
      </c>
      <c r="F386" s="33"/>
      <c r="G386" s="34">
        <f>SUM(G387)</f>
        <v>13379.4</v>
      </c>
      <c r="H386" s="34">
        <f>SUM(H387)</f>
        <v>13137.4</v>
      </c>
      <c r="I386" s="34">
        <f t="shared" si="13"/>
        <v>98.19124923389688</v>
      </c>
    </row>
    <row r="387" spans="1:9" ht="27" customHeight="1">
      <c r="A387" s="35" t="s">
        <v>174</v>
      </c>
      <c r="B387" s="31"/>
      <c r="C387" s="32" t="s">
        <v>179</v>
      </c>
      <c r="D387" s="32" t="s">
        <v>237</v>
      </c>
      <c r="E387" s="32" t="s">
        <v>239</v>
      </c>
      <c r="F387" s="37" t="s">
        <v>175</v>
      </c>
      <c r="G387" s="34">
        <v>13379.4</v>
      </c>
      <c r="H387" s="34">
        <v>13137.4</v>
      </c>
      <c r="I387" s="34">
        <f t="shared" si="13"/>
        <v>98.19124923389688</v>
      </c>
    </row>
    <row r="388" spans="1:9" ht="26.25" customHeight="1">
      <c r="A388" s="35" t="s">
        <v>246</v>
      </c>
      <c r="B388" s="31"/>
      <c r="C388" s="32" t="s">
        <v>167</v>
      </c>
      <c r="D388" s="32" t="s">
        <v>209</v>
      </c>
      <c r="E388" s="32"/>
      <c r="F388" s="37"/>
      <c r="G388" s="34">
        <f>SUM(G389)</f>
        <v>1623.2</v>
      </c>
      <c r="H388" s="34">
        <f>SUM(H389)</f>
        <v>899.6</v>
      </c>
      <c r="I388" s="34">
        <f t="shared" si="13"/>
        <v>55.42138984721537</v>
      </c>
    </row>
    <row r="389" spans="1:9" ht="17.25" customHeight="1">
      <c r="A389" s="35" t="s">
        <v>247</v>
      </c>
      <c r="B389" s="31"/>
      <c r="C389" s="32" t="s">
        <v>167</v>
      </c>
      <c r="D389" s="32" t="s">
        <v>209</v>
      </c>
      <c r="E389" s="32" t="s">
        <v>248</v>
      </c>
      <c r="F389" s="37"/>
      <c r="G389" s="34">
        <f>SUM(G391)</f>
        <v>1623.2</v>
      </c>
      <c r="H389" s="34">
        <f>SUM(H391)</f>
        <v>899.6</v>
      </c>
      <c r="I389" s="34">
        <f t="shared" si="13"/>
        <v>55.42138984721537</v>
      </c>
    </row>
    <row r="390" spans="1:9" ht="15.75" customHeight="1">
      <c r="A390" s="35" t="s">
        <v>249</v>
      </c>
      <c r="B390" s="31"/>
      <c r="C390" s="32" t="s">
        <v>167</v>
      </c>
      <c r="D390" s="32" t="s">
        <v>209</v>
      </c>
      <c r="E390" s="32" t="s">
        <v>250</v>
      </c>
      <c r="F390" s="37"/>
      <c r="G390" s="34">
        <f>SUM(G391)</f>
        <v>1623.2</v>
      </c>
      <c r="H390" s="34">
        <f>SUM(H391)</f>
        <v>899.6</v>
      </c>
      <c r="I390" s="34">
        <f t="shared" si="13"/>
        <v>55.42138984721537</v>
      </c>
    </row>
    <row r="391" spans="1:9" ht="15" customHeight="1">
      <c r="A391" s="35" t="s">
        <v>251</v>
      </c>
      <c r="B391" s="31"/>
      <c r="C391" s="32" t="s">
        <v>167</v>
      </c>
      <c r="D391" s="32" t="s">
        <v>209</v>
      </c>
      <c r="E391" s="32" t="s">
        <v>250</v>
      </c>
      <c r="F391" s="37" t="s">
        <v>252</v>
      </c>
      <c r="G391" s="34">
        <v>1623.2</v>
      </c>
      <c r="H391" s="34">
        <v>899.6</v>
      </c>
      <c r="I391" s="34">
        <f t="shared" si="13"/>
        <v>55.42138984721537</v>
      </c>
    </row>
    <row r="392" spans="1:9" ht="15">
      <c r="A392" s="30" t="s">
        <v>253</v>
      </c>
      <c r="B392" s="31"/>
      <c r="C392" s="32" t="s">
        <v>167</v>
      </c>
      <c r="D392" s="32" t="s">
        <v>254</v>
      </c>
      <c r="E392" s="32"/>
      <c r="F392" s="33"/>
      <c r="G392" s="34">
        <f>SUM(G393)</f>
        <v>1962.3</v>
      </c>
      <c r="H392" s="34">
        <f>SUM(H393)</f>
        <v>0</v>
      </c>
      <c r="I392" s="34">
        <f t="shared" si="13"/>
        <v>0</v>
      </c>
    </row>
    <row r="393" spans="1:9" ht="15">
      <c r="A393" s="30" t="s">
        <v>253</v>
      </c>
      <c r="B393" s="31"/>
      <c r="C393" s="32" t="s">
        <v>167</v>
      </c>
      <c r="D393" s="32" t="s">
        <v>254</v>
      </c>
      <c r="E393" s="32" t="s">
        <v>230</v>
      </c>
      <c r="F393" s="33"/>
      <c r="G393" s="34">
        <f>SUM(G395)</f>
        <v>1962.3</v>
      </c>
      <c r="H393" s="34">
        <f>SUM(H395)</f>
        <v>0</v>
      </c>
      <c r="I393" s="34">
        <f t="shared" si="13"/>
        <v>0</v>
      </c>
    </row>
    <row r="394" spans="1:9" ht="15">
      <c r="A394" s="30" t="s">
        <v>255</v>
      </c>
      <c r="B394" s="31"/>
      <c r="C394" s="32" t="s">
        <v>167</v>
      </c>
      <c r="D394" s="32" t="s">
        <v>254</v>
      </c>
      <c r="E394" s="32" t="s">
        <v>256</v>
      </c>
      <c r="F394" s="33"/>
      <c r="G394" s="34">
        <f>SUM(G395)</f>
        <v>1962.3</v>
      </c>
      <c r="H394" s="34">
        <f>SUM(H395)</f>
        <v>0</v>
      </c>
      <c r="I394" s="34">
        <f t="shared" si="13"/>
        <v>0</v>
      </c>
    </row>
    <row r="395" spans="1:9" ht="13.5" customHeight="1">
      <c r="A395" s="46" t="s">
        <v>257</v>
      </c>
      <c r="B395" s="47"/>
      <c r="C395" s="32" t="s">
        <v>167</v>
      </c>
      <c r="D395" s="32" t="s">
        <v>254</v>
      </c>
      <c r="E395" s="32" t="s">
        <v>256</v>
      </c>
      <c r="F395" s="36" t="s">
        <v>252</v>
      </c>
      <c r="G395" s="34">
        <f>1414.3-40+588</f>
        <v>1962.3</v>
      </c>
      <c r="H395" s="34"/>
      <c r="I395" s="34">
        <f t="shared" si="13"/>
        <v>0</v>
      </c>
    </row>
    <row r="396" spans="1:9" ht="15">
      <c r="A396" s="35" t="s">
        <v>183</v>
      </c>
      <c r="B396" s="31"/>
      <c r="C396" s="32" t="s">
        <v>167</v>
      </c>
      <c r="D396" s="32" t="s">
        <v>258</v>
      </c>
      <c r="E396" s="32"/>
      <c r="F396" s="36"/>
      <c r="G396" s="34">
        <f>SUM(G400)+G397</f>
        <v>527.7</v>
      </c>
      <c r="H396" s="34">
        <f>SUM(H400)+H397</f>
        <v>527.7</v>
      </c>
      <c r="I396" s="34">
        <f t="shared" si="13"/>
        <v>100</v>
      </c>
    </row>
    <row r="397" spans="1:9" ht="15">
      <c r="A397" s="30" t="s">
        <v>253</v>
      </c>
      <c r="B397" s="31"/>
      <c r="C397" s="32" t="s">
        <v>167</v>
      </c>
      <c r="D397" s="32" t="s">
        <v>258</v>
      </c>
      <c r="E397" s="32" t="s">
        <v>230</v>
      </c>
      <c r="F397" s="33"/>
      <c r="G397" s="34">
        <f>SUM(G399)</f>
        <v>1</v>
      </c>
      <c r="H397" s="34">
        <f>SUM(H399)</f>
        <v>1</v>
      </c>
      <c r="I397" s="34">
        <f t="shared" si="13"/>
        <v>100</v>
      </c>
    </row>
    <row r="398" spans="1:9" ht="15">
      <c r="A398" s="30" t="s">
        <v>255</v>
      </c>
      <c r="B398" s="31"/>
      <c r="C398" s="32" t="s">
        <v>167</v>
      </c>
      <c r="D398" s="32" t="s">
        <v>258</v>
      </c>
      <c r="E398" s="32" t="s">
        <v>256</v>
      </c>
      <c r="F398" s="33"/>
      <c r="G398" s="34">
        <f>SUM(G399)</f>
        <v>1</v>
      </c>
      <c r="H398" s="34">
        <f>SUM(H399)</f>
        <v>1</v>
      </c>
      <c r="I398" s="34">
        <f t="shared" si="13"/>
        <v>100</v>
      </c>
    </row>
    <row r="399" spans="1:9" ht="28.5">
      <c r="A399" s="35" t="s">
        <v>174</v>
      </c>
      <c r="B399" s="47"/>
      <c r="C399" s="32" t="s">
        <v>167</v>
      </c>
      <c r="D399" s="32" t="s">
        <v>258</v>
      </c>
      <c r="E399" s="32" t="s">
        <v>256</v>
      </c>
      <c r="F399" s="36" t="s">
        <v>175</v>
      </c>
      <c r="G399" s="34">
        <v>1</v>
      </c>
      <c r="H399" s="34">
        <v>1</v>
      </c>
      <c r="I399" s="34">
        <f t="shared" si="13"/>
        <v>100</v>
      </c>
    </row>
    <row r="400" spans="1:9" ht="28.5">
      <c r="A400" s="35" t="s">
        <v>185</v>
      </c>
      <c r="B400" s="31"/>
      <c r="C400" s="32" t="s">
        <v>167</v>
      </c>
      <c r="D400" s="32" t="s">
        <v>258</v>
      </c>
      <c r="E400" s="32" t="s">
        <v>186</v>
      </c>
      <c r="F400" s="37"/>
      <c r="G400" s="34">
        <f>SUM(G401)</f>
        <v>526.7</v>
      </c>
      <c r="H400" s="34">
        <f>SUM(H401)</f>
        <v>526.7</v>
      </c>
      <c r="I400" s="34">
        <f aca="true" t="shared" si="14" ref="I400:I463">SUM(H400/G400*100)</f>
        <v>100</v>
      </c>
    </row>
    <row r="401" spans="1:9" ht="15">
      <c r="A401" s="35" t="s">
        <v>187</v>
      </c>
      <c r="B401" s="31"/>
      <c r="C401" s="32" t="s">
        <v>167</v>
      </c>
      <c r="D401" s="32" t="s">
        <v>258</v>
      </c>
      <c r="E401" s="32" t="s">
        <v>269</v>
      </c>
      <c r="F401" s="37"/>
      <c r="G401" s="34">
        <f>SUM(G402)</f>
        <v>526.7</v>
      </c>
      <c r="H401" s="34">
        <f>SUM(H402)</f>
        <v>526.7</v>
      </c>
      <c r="I401" s="34">
        <f t="shared" si="14"/>
        <v>100</v>
      </c>
    </row>
    <row r="402" spans="1:9" ht="27.75" customHeight="1">
      <c r="A402" s="35" t="s">
        <v>174</v>
      </c>
      <c r="B402" s="31"/>
      <c r="C402" s="32" t="s">
        <v>167</v>
      </c>
      <c r="D402" s="32" t="s">
        <v>258</v>
      </c>
      <c r="E402" s="32" t="s">
        <v>269</v>
      </c>
      <c r="F402" s="37" t="s">
        <v>175</v>
      </c>
      <c r="G402" s="34">
        <v>526.7</v>
      </c>
      <c r="H402" s="34">
        <v>526.7</v>
      </c>
      <c r="I402" s="34">
        <f t="shared" si="14"/>
        <v>100</v>
      </c>
    </row>
    <row r="403" spans="1:9" ht="15.75" customHeight="1">
      <c r="A403" s="30" t="s">
        <v>189</v>
      </c>
      <c r="B403" s="31"/>
      <c r="C403" s="48" t="s">
        <v>190</v>
      </c>
      <c r="D403" s="113"/>
      <c r="E403" s="113"/>
      <c r="F403" s="119"/>
      <c r="G403" s="77">
        <f aca="true" t="shared" si="15" ref="G403:H406">SUM(G404)</f>
        <v>14.5</v>
      </c>
      <c r="H403" s="77">
        <f t="shared" si="15"/>
        <v>14.5</v>
      </c>
      <c r="I403" s="34">
        <f t="shared" si="14"/>
        <v>100</v>
      </c>
    </row>
    <row r="404" spans="1:9" ht="15">
      <c r="A404" s="35" t="s">
        <v>191</v>
      </c>
      <c r="B404" s="39"/>
      <c r="C404" s="32" t="s">
        <v>190</v>
      </c>
      <c r="D404" s="32" t="s">
        <v>190</v>
      </c>
      <c r="E404" s="113"/>
      <c r="F404" s="119"/>
      <c r="G404" s="77">
        <f t="shared" si="15"/>
        <v>14.5</v>
      </c>
      <c r="H404" s="77">
        <f t="shared" si="15"/>
        <v>14.5</v>
      </c>
      <c r="I404" s="34">
        <f t="shared" si="14"/>
        <v>100</v>
      </c>
    </row>
    <row r="405" spans="1:9" ht="28.5">
      <c r="A405" s="49" t="s">
        <v>575</v>
      </c>
      <c r="B405" s="39"/>
      <c r="C405" s="32" t="s">
        <v>190</v>
      </c>
      <c r="D405" s="32" t="s">
        <v>190</v>
      </c>
      <c r="E405" s="32" t="s">
        <v>193</v>
      </c>
      <c r="F405" s="33"/>
      <c r="G405" s="77">
        <f t="shared" si="15"/>
        <v>14.5</v>
      </c>
      <c r="H405" s="77">
        <f t="shared" si="15"/>
        <v>14.5</v>
      </c>
      <c r="I405" s="34">
        <f t="shared" si="14"/>
        <v>100</v>
      </c>
    </row>
    <row r="406" spans="1:9" ht="15">
      <c r="A406" s="49" t="s">
        <v>576</v>
      </c>
      <c r="B406" s="39"/>
      <c r="C406" s="32" t="s">
        <v>190</v>
      </c>
      <c r="D406" s="32" t="s">
        <v>190</v>
      </c>
      <c r="E406" s="32" t="s">
        <v>577</v>
      </c>
      <c r="F406" s="33"/>
      <c r="G406" s="77">
        <f t="shared" si="15"/>
        <v>14.5</v>
      </c>
      <c r="H406" s="77">
        <f t="shared" si="15"/>
        <v>14.5</v>
      </c>
      <c r="I406" s="34">
        <f t="shared" si="14"/>
        <v>100</v>
      </c>
    </row>
    <row r="407" spans="1:9" ht="18" customHeight="1">
      <c r="A407" s="52" t="s">
        <v>265</v>
      </c>
      <c r="B407" s="39"/>
      <c r="C407" s="32" t="s">
        <v>190</v>
      </c>
      <c r="D407" s="32" t="s">
        <v>190</v>
      </c>
      <c r="E407" s="32" t="s">
        <v>577</v>
      </c>
      <c r="F407" s="33" t="s">
        <v>266</v>
      </c>
      <c r="G407" s="77">
        <v>14.5</v>
      </c>
      <c r="H407" s="77">
        <v>14.5</v>
      </c>
      <c r="I407" s="34">
        <f t="shared" si="14"/>
        <v>100</v>
      </c>
    </row>
    <row r="408" spans="1:9" ht="15" hidden="1">
      <c r="A408" s="41" t="s">
        <v>693</v>
      </c>
      <c r="B408" s="31"/>
      <c r="C408" s="110" t="s">
        <v>339</v>
      </c>
      <c r="D408" s="110" t="s">
        <v>694</v>
      </c>
      <c r="E408" s="110"/>
      <c r="F408" s="62"/>
      <c r="G408" s="77">
        <f aca="true" t="shared" si="16" ref="G408:H412">SUM(G409)</f>
        <v>0</v>
      </c>
      <c r="H408" s="77">
        <f t="shared" si="16"/>
        <v>0</v>
      </c>
      <c r="I408" s="34" t="e">
        <f t="shared" si="14"/>
        <v>#DIV/0!</v>
      </c>
    </row>
    <row r="409" spans="1:9" ht="15" hidden="1">
      <c r="A409" s="41" t="s">
        <v>1005</v>
      </c>
      <c r="B409" s="31"/>
      <c r="C409" s="110" t="s">
        <v>339</v>
      </c>
      <c r="D409" s="110" t="s">
        <v>237</v>
      </c>
      <c r="E409" s="32"/>
      <c r="F409" s="33"/>
      <c r="G409" s="77">
        <f t="shared" si="16"/>
        <v>0</v>
      </c>
      <c r="H409" s="77">
        <f t="shared" si="16"/>
        <v>0</v>
      </c>
      <c r="I409" s="34" t="e">
        <f t="shared" si="14"/>
        <v>#DIV/0!</v>
      </c>
    </row>
    <row r="410" spans="1:9" ht="28.5" hidden="1">
      <c r="A410" s="52" t="s">
        <v>1013</v>
      </c>
      <c r="B410" s="39"/>
      <c r="C410" s="110" t="s">
        <v>339</v>
      </c>
      <c r="D410" s="110" t="s">
        <v>237</v>
      </c>
      <c r="E410" s="32" t="s">
        <v>1014</v>
      </c>
      <c r="F410" s="33"/>
      <c r="G410" s="77">
        <f t="shared" si="16"/>
        <v>0</v>
      </c>
      <c r="H410" s="77">
        <f t="shared" si="16"/>
        <v>0</v>
      </c>
      <c r="I410" s="34" t="e">
        <f t="shared" si="14"/>
        <v>#DIV/0!</v>
      </c>
    </row>
    <row r="411" spans="1:9" ht="15" hidden="1">
      <c r="A411" s="52" t="s">
        <v>1015</v>
      </c>
      <c r="B411" s="39"/>
      <c r="C411" s="110" t="s">
        <v>339</v>
      </c>
      <c r="D411" s="110" t="s">
        <v>237</v>
      </c>
      <c r="E411" s="32" t="s">
        <v>1016</v>
      </c>
      <c r="F411" s="33"/>
      <c r="G411" s="77">
        <f t="shared" si="16"/>
        <v>0</v>
      </c>
      <c r="H411" s="77">
        <f t="shared" si="16"/>
        <v>0</v>
      </c>
      <c r="I411" s="34" t="e">
        <f t="shared" si="14"/>
        <v>#DIV/0!</v>
      </c>
    </row>
    <row r="412" spans="1:9" ht="87.75" customHeight="1" hidden="1">
      <c r="A412" s="52" t="s">
        <v>1017</v>
      </c>
      <c r="B412" s="211"/>
      <c r="C412" s="209" t="s">
        <v>339</v>
      </c>
      <c r="D412" s="209" t="s">
        <v>237</v>
      </c>
      <c r="E412" s="70" t="s">
        <v>1018</v>
      </c>
      <c r="F412" s="37"/>
      <c r="G412" s="212">
        <f t="shared" si="16"/>
        <v>0</v>
      </c>
      <c r="H412" s="212">
        <f t="shared" si="16"/>
        <v>0</v>
      </c>
      <c r="I412" s="34" t="e">
        <f t="shared" si="14"/>
        <v>#DIV/0!</v>
      </c>
    </row>
    <row r="413" spans="1:9" ht="15" hidden="1">
      <c r="A413" s="52" t="s">
        <v>265</v>
      </c>
      <c r="B413" s="211"/>
      <c r="C413" s="209" t="s">
        <v>339</v>
      </c>
      <c r="D413" s="209" t="s">
        <v>237</v>
      </c>
      <c r="E413" s="70" t="s">
        <v>1018</v>
      </c>
      <c r="F413" s="37" t="s">
        <v>266</v>
      </c>
      <c r="G413" s="212"/>
      <c r="H413" s="212"/>
      <c r="I413" s="34" t="e">
        <f t="shared" si="14"/>
        <v>#DIV/0!</v>
      </c>
    </row>
    <row r="414" spans="1:9" ht="29.25" customHeight="1">
      <c r="A414" s="204" t="s">
        <v>1065</v>
      </c>
      <c r="B414" s="123" t="s">
        <v>1066</v>
      </c>
      <c r="C414" s="58"/>
      <c r="D414" s="121"/>
      <c r="E414" s="121"/>
      <c r="F414" s="122"/>
      <c r="G414" s="203">
        <f>SUM(G460+G538)+G415+G449+G440+G455+G495+G511</f>
        <v>545585.2</v>
      </c>
      <c r="H414" s="203">
        <f>SUM(H460+H538)+H415+H449+H440+H455+H495+H511</f>
        <v>530633.4</v>
      </c>
      <c r="I414" s="57">
        <f t="shared" si="14"/>
        <v>97.2594931094172</v>
      </c>
    </row>
    <row r="415" spans="1:9" ht="15">
      <c r="A415" s="30" t="s">
        <v>166</v>
      </c>
      <c r="B415" s="31"/>
      <c r="C415" s="32" t="s">
        <v>167</v>
      </c>
      <c r="D415" s="32"/>
      <c r="E415" s="32"/>
      <c r="F415" s="33"/>
      <c r="G415" s="34">
        <f>SUM(G416+G420+G424+G428)</f>
        <v>126.5</v>
      </c>
      <c r="H415" s="34">
        <f>SUM(H416+H420+H424+H428)</f>
        <v>124.19999999999999</v>
      </c>
      <c r="I415" s="34">
        <f t="shared" si="14"/>
        <v>98.18181818181817</v>
      </c>
    </row>
    <row r="416" spans="1:9" ht="62.25" customHeight="1">
      <c r="A416" s="35" t="s">
        <v>176</v>
      </c>
      <c r="B416" s="31"/>
      <c r="C416" s="32" t="s">
        <v>167</v>
      </c>
      <c r="D416" s="32" t="s">
        <v>177</v>
      </c>
      <c r="E416" s="32"/>
      <c r="F416" s="33"/>
      <c r="G416" s="34">
        <f aca="true" t="shared" si="17" ref="G416:H418">SUM(G417)</f>
        <v>4.6</v>
      </c>
      <c r="H416" s="34">
        <f t="shared" si="17"/>
        <v>4.6</v>
      </c>
      <c r="I416" s="34">
        <f t="shared" si="14"/>
        <v>100</v>
      </c>
    </row>
    <row r="417" spans="1:9" ht="42.75" customHeight="1">
      <c r="A417" s="35" t="s">
        <v>170</v>
      </c>
      <c r="B417" s="31"/>
      <c r="C417" s="32" t="s">
        <v>167</v>
      </c>
      <c r="D417" s="32" t="s">
        <v>177</v>
      </c>
      <c r="E417" s="32" t="s">
        <v>171</v>
      </c>
      <c r="F417" s="36"/>
      <c r="G417" s="34">
        <f t="shared" si="17"/>
        <v>4.6</v>
      </c>
      <c r="H417" s="34">
        <f t="shared" si="17"/>
        <v>4.6</v>
      </c>
      <c r="I417" s="34">
        <f t="shared" si="14"/>
        <v>100</v>
      </c>
    </row>
    <row r="418" spans="1:9" ht="15">
      <c r="A418" s="35" t="s">
        <v>178</v>
      </c>
      <c r="B418" s="31"/>
      <c r="C418" s="32" t="s">
        <v>179</v>
      </c>
      <c r="D418" s="32" t="s">
        <v>177</v>
      </c>
      <c r="E418" s="32" t="s">
        <v>180</v>
      </c>
      <c r="F418" s="36"/>
      <c r="G418" s="34">
        <f t="shared" si="17"/>
        <v>4.6</v>
      </c>
      <c r="H418" s="34">
        <f t="shared" si="17"/>
        <v>4.6</v>
      </c>
      <c r="I418" s="34">
        <f t="shared" si="14"/>
        <v>100</v>
      </c>
    </row>
    <row r="419" spans="1:9" ht="28.5" customHeight="1">
      <c r="A419" s="35" t="s">
        <v>174</v>
      </c>
      <c r="B419" s="31"/>
      <c r="C419" s="32" t="s">
        <v>167</v>
      </c>
      <c r="D419" s="32" t="s">
        <v>177</v>
      </c>
      <c r="E419" s="32" t="s">
        <v>180</v>
      </c>
      <c r="F419" s="33" t="s">
        <v>175</v>
      </c>
      <c r="G419" s="34">
        <v>4.6</v>
      </c>
      <c r="H419" s="34">
        <v>4.6</v>
      </c>
      <c r="I419" s="34">
        <f t="shared" si="14"/>
        <v>100</v>
      </c>
    </row>
    <row r="420" spans="1:9" ht="42.75">
      <c r="A420" s="35" t="s">
        <v>218</v>
      </c>
      <c r="B420" s="31"/>
      <c r="C420" s="32" t="s">
        <v>167</v>
      </c>
      <c r="D420" s="32" t="s">
        <v>201</v>
      </c>
      <c r="E420" s="32"/>
      <c r="F420" s="33"/>
      <c r="G420" s="34">
        <f aca="true" t="shared" si="18" ref="G420:H422">SUM(G421)</f>
        <v>66.7</v>
      </c>
      <c r="H420" s="34">
        <f t="shared" si="18"/>
        <v>66.7</v>
      </c>
      <c r="I420" s="34">
        <f t="shared" si="14"/>
        <v>100</v>
      </c>
    </row>
    <row r="421" spans="1:9" ht="43.5" customHeight="1">
      <c r="A421" s="35" t="s">
        <v>170</v>
      </c>
      <c r="B421" s="31"/>
      <c r="C421" s="32" t="s">
        <v>167</v>
      </c>
      <c r="D421" s="32" t="s">
        <v>201</v>
      </c>
      <c r="E421" s="32" t="s">
        <v>171</v>
      </c>
      <c r="F421" s="36"/>
      <c r="G421" s="34">
        <f t="shared" si="18"/>
        <v>66.7</v>
      </c>
      <c r="H421" s="34">
        <f t="shared" si="18"/>
        <v>66.7</v>
      </c>
      <c r="I421" s="34">
        <f t="shared" si="14"/>
        <v>100</v>
      </c>
    </row>
    <row r="422" spans="1:9" ht="14.25" customHeight="1">
      <c r="A422" s="35" t="s">
        <v>178</v>
      </c>
      <c r="B422" s="31"/>
      <c r="C422" s="32" t="s">
        <v>167</v>
      </c>
      <c r="D422" s="32" t="s">
        <v>201</v>
      </c>
      <c r="E422" s="32" t="s">
        <v>180</v>
      </c>
      <c r="F422" s="36"/>
      <c r="G422" s="34">
        <f t="shared" si="18"/>
        <v>66.7</v>
      </c>
      <c r="H422" s="34">
        <f t="shared" si="18"/>
        <v>66.7</v>
      </c>
      <c r="I422" s="34">
        <f t="shared" si="14"/>
        <v>100</v>
      </c>
    </row>
    <row r="423" spans="1:9" ht="29.25" customHeight="1">
      <c r="A423" s="35" t="s">
        <v>174</v>
      </c>
      <c r="B423" s="31"/>
      <c r="C423" s="32" t="s">
        <v>167</v>
      </c>
      <c r="D423" s="32" t="s">
        <v>201</v>
      </c>
      <c r="E423" s="32" t="s">
        <v>180</v>
      </c>
      <c r="F423" s="33" t="s">
        <v>175</v>
      </c>
      <c r="G423" s="34">
        <v>66.7</v>
      </c>
      <c r="H423" s="34">
        <v>66.7</v>
      </c>
      <c r="I423" s="34">
        <f t="shared" si="14"/>
        <v>100</v>
      </c>
    </row>
    <row r="424" spans="1:9" ht="42.75">
      <c r="A424" s="49" t="s">
        <v>236</v>
      </c>
      <c r="B424" s="31"/>
      <c r="C424" s="32" t="s">
        <v>167</v>
      </c>
      <c r="D424" s="32" t="s">
        <v>237</v>
      </c>
      <c r="E424" s="32"/>
      <c r="F424" s="33"/>
      <c r="G424" s="34">
        <f aca="true" t="shared" si="19" ref="G424:H426">SUM(G425)</f>
        <v>6.9</v>
      </c>
      <c r="H424" s="34">
        <f t="shared" si="19"/>
        <v>6.9</v>
      </c>
      <c r="I424" s="34">
        <f t="shared" si="14"/>
        <v>100</v>
      </c>
    </row>
    <row r="425" spans="1:9" ht="42.75" customHeight="1">
      <c r="A425" s="35" t="s">
        <v>170</v>
      </c>
      <c r="B425" s="31"/>
      <c r="C425" s="32" t="s">
        <v>167</v>
      </c>
      <c r="D425" s="32" t="s">
        <v>237</v>
      </c>
      <c r="E425" s="32" t="s">
        <v>171</v>
      </c>
      <c r="F425" s="36"/>
      <c r="G425" s="34">
        <f t="shared" si="19"/>
        <v>6.9</v>
      </c>
      <c r="H425" s="34">
        <f t="shared" si="19"/>
        <v>6.9</v>
      </c>
      <c r="I425" s="34">
        <f t="shared" si="14"/>
        <v>100</v>
      </c>
    </row>
    <row r="426" spans="1:9" ht="19.5" customHeight="1">
      <c r="A426" s="35" t="s">
        <v>178</v>
      </c>
      <c r="B426" s="31"/>
      <c r="C426" s="32" t="s">
        <v>167</v>
      </c>
      <c r="D426" s="32" t="s">
        <v>237</v>
      </c>
      <c r="E426" s="32" t="s">
        <v>180</v>
      </c>
      <c r="F426" s="36"/>
      <c r="G426" s="34">
        <f t="shared" si="19"/>
        <v>6.9</v>
      </c>
      <c r="H426" s="34">
        <f t="shared" si="19"/>
        <v>6.9</v>
      </c>
      <c r="I426" s="34">
        <f t="shared" si="14"/>
        <v>100</v>
      </c>
    </row>
    <row r="427" spans="1:9" ht="28.5">
      <c r="A427" s="35" t="s">
        <v>174</v>
      </c>
      <c r="B427" s="31"/>
      <c r="C427" s="32" t="s">
        <v>167</v>
      </c>
      <c r="D427" s="32" t="s">
        <v>237</v>
      </c>
      <c r="E427" s="32" t="s">
        <v>180</v>
      </c>
      <c r="F427" s="33" t="s">
        <v>175</v>
      </c>
      <c r="G427" s="34">
        <v>6.9</v>
      </c>
      <c r="H427" s="34">
        <v>6.9</v>
      </c>
      <c r="I427" s="34">
        <f t="shared" si="14"/>
        <v>100</v>
      </c>
    </row>
    <row r="428" spans="1:9" ht="15">
      <c r="A428" s="35" t="s">
        <v>183</v>
      </c>
      <c r="B428" s="31"/>
      <c r="C428" s="32" t="s">
        <v>167</v>
      </c>
      <c r="D428" s="32" t="s">
        <v>258</v>
      </c>
      <c r="E428" s="32"/>
      <c r="F428" s="33"/>
      <c r="G428" s="34">
        <f>SUM(G432+G429)</f>
        <v>48.3</v>
      </c>
      <c r="H428" s="34">
        <f>SUM(H432+H429)</f>
        <v>45.99999999999999</v>
      </c>
      <c r="I428" s="34">
        <f t="shared" si="14"/>
        <v>95.23809523809523</v>
      </c>
    </row>
    <row r="429" spans="1:9" ht="28.5">
      <c r="A429" s="30" t="s">
        <v>259</v>
      </c>
      <c r="B429" s="31"/>
      <c r="C429" s="32" t="s">
        <v>167</v>
      </c>
      <c r="D429" s="32" t="s">
        <v>258</v>
      </c>
      <c r="E429" s="32" t="s">
        <v>260</v>
      </c>
      <c r="F429" s="33"/>
      <c r="G429" s="34">
        <f>SUM(G430)</f>
        <v>6.9</v>
      </c>
      <c r="H429" s="34">
        <f>SUM(H430)</f>
        <v>6.9</v>
      </c>
      <c r="I429" s="34">
        <f t="shared" si="14"/>
        <v>100</v>
      </c>
    </row>
    <row r="430" spans="1:9" ht="28.5">
      <c r="A430" s="30" t="s">
        <v>261</v>
      </c>
      <c r="B430" s="31"/>
      <c r="C430" s="32" t="s">
        <v>167</v>
      </c>
      <c r="D430" s="32" t="s">
        <v>258</v>
      </c>
      <c r="E430" s="32" t="s">
        <v>262</v>
      </c>
      <c r="F430" s="33"/>
      <c r="G430" s="34">
        <f>SUM(G431)</f>
        <v>6.9</v>
      </c>
      <c r="H430" s="34">
        <f>SUM(H431)</f>
        <v>6.9</v>
      </c>
      <c r="I430" s="34">
        <f t="shared" si="14"/>
        <v>100</v>
      </c>
    </row>
    <row r="431" spans="1:9" ht="28.5">
      <c r="A431" s="35" t="s">
        <v>174</v>
      </c>
      <c r="B431" s="31"/>
      <c r="C431" s="32" t="s">
        <v>167</v>
      </c>
      <c r="D431" s="32" t="s">
        <v>258</v>
      </c>
      <c r="E431" s="32" t="s">
        <v>262</v>
      </c>
      <c r="F431" s="33" t="s">
        <v>175</v>
      </c>
      <c r="G431" s="34">
        <v>6.9</v>
      </c>
      <c r="H431" s="34">
        <v>6.9</v>
      </c>
      <c r="I431" s="34">
        <f t="shared" si="14"/>
        <v>100</v>
      </c>
    </row>
    <row r="432" spans="1:9" ht="30" customHeight="1">
      <c r="A432" s="35" t="s">
        <v>259</v>
      </c>
      <c r="B432" s="31"/>
      <c r="C432" s="32" t="s">
        <v>167</v>
      </c>
      <c r="D432" s="32" t="s">
        <v>258</v>
      </c>
      <c r="E432" s="32" t="s">
        <v>171</v>
      </c>
      <c r="F432" s="36"/>
      <c r="G432" s="34">
        <f>SUM(G433+G435+G437)</f>
        <v>41.4</v>
      </c>
      <c r="H432" s="34">
        <f>SUM(H433+H435+H437)</f>
        <v>39.099999999999994</v>
      </c>
      <c r="I432" s="34">
        <f t="shared" si="14"/>
        <v>94.44444444444443</v>
      </c>
    </row>
    <row r="433" spans="1:9" ht="14.25" customHeight="1" hidden="1">
      <c r="A433" s="35" t="s">
        <v>178</v>
      </c>
      <c r="B433" s="31"/>
      <c r="C433" s="32" t="s">
        <v>167</v>
      </c>
      <c r="D433" s="32" t="s">
        <v>258</v>
      </c>
      <c r="E433" s="32" t="s">
        <v>180</v>
      </c>
      <c r="F433" s="36"/>
      <c r="G433" s="34">
        <f>SUM(G434)</f>
        <v>0</v>
      </c>
      <c r="H433" s="34">
        <f>SUM(H434)</f>
        <v>0</v>
      </c>
      <c r="I433" s="34" t="e">
        <f t="shared" si="14"/>
        <v>#DIV/0!</v>
      </c>
    </row>
    <row r="434" spans="1:9" ht="29.25" customHeight="1" hidden="1">
      <c r="A434" s="35" t="s">
        <v>174</v>
      </c>
      <c r="B434" s="31"/>
      <c r="C434" s="32" t="s">
        <v>167</v>
      </c>
      <c r="D434" s="32" t="s">
        <v>258</v>
      </c>
      <c r="E434" s="32" t="s">
        <v>180</v>
      </c>
      <c r="F434" s="33" t="s">
        <v>175</v>
      </c>
      <c r="G434" s="34"/>
      <c r="H434" s="34"/>
      <c r="I434" s="34" t="e">
        <f t="shared" si="14"/>
        <v>#DIV/0!</v>
      </c>
    </row>
    <row r="435" spans="1:9" s="124" customFormat="1" ht="28.5">
      <c r="A435" s="35" t="s">
        <v>263</v>
      </c>
      <c r="B435" s="31"/>
      <c r="C435" s="32" t="s">
        <v>167</v>
      </c>
      <c r="D435" s="32" t="s">
        <v>258</v>
      </c>
      <c r="E435" s="32" t="s">
        <v>264</v>
      </c>
      <c r="F435" s="36"/>
      <c r="G435" s="34">
        <f>SUM(G436)</f>
        <v>23</v>
      </c>
      <c r="H435" s="34">
        <f>SUM(H436)</f>
        <v>20.7</v>
      </c>
      <c r="I435" s="34">
        <f t="shared" si="14"/>
        <v>90</v>
      </c>
    </row>
    <row r="436" spans="1:9" ht="18" customHeight="1">
      <c r="A436" s="52" t="s">
        <v>265</v>
      </c>
      <c r="B436" s="31"/>
      <c r="C436" s="32" t="s">
        <v>167</v>
      </c>
      <c r="D436" s="32" t="s">
        <v>258</v>
      </c>
      <c r="E436" s="32" t="s">
        <v>264</v>
      </c>
      <c r="F436" s="36" t="s">
        <v>266</v>
      </c>
      <c r="G436" s="34">
        <v>23</v>
      </c>
      <c r="H436" s="34">
        <v>20.7</v>
      </c>
      <c r="I436" s="34">
        <f t="shared" si="14"/>
        <v>90</v>
      </c>
    </row>
    <row r="437" spans="1:9" ht="29.25" customHeight="1">
      <c r="A437" s="30" t="s">
        <v>275</v>
      </c>
      <c r="B437" s="31"/>
      <c r="C437" s="32" t="s">
        <v>167</v>
      </c>
      <c r="D437" s="32" t="s">
        <v>258</v>
      </c>
      <c r="E437" s="48" t="s">
        <v>276</v>
      </c>
      <c r="F437" s="36"/>
      <c r="G437" s="34">
        <f>SUM(G438)</f>
        <v>18.4</v>
      </c>
      <c r="H437" s="34">
        <f>SUM(H438)</f>
        <v>18.4</v>
      </c>
      <c r="I437" s="34">
        <f t="shared" si="14"/>
        <v>100</v>
      </c>
    </row>
    <row r="438" spans="1:9" ht="29.25" customHeight="1">
      <c r="A438" s="35" t="s">
        <v>263</v>
      </c>
      <c r="B438" s="31"/>
      <c r="C438" s="32" t="s">
        <v>167</v>
      </c>
      <c r="D438" s="32" t="s">
        <v>258</v>
      </c>
      <c r="E438" s="48" t="s">
        <v>277</v>
      </c>
      <c r="F438" s="36"/>
      <c r="G438" s="34">
        <f>SUM(G439)</f>
        <v>18.4</v>
      </c>
      <c r="H438" s="34">
        <f>SUM(H439)</f>
        <v>18.4</v>
      </c>
      <c r="I438" s="34">
        <f t="shared" si="14"/>
        <v>100</v>
      </c>
    </row>
    <row r="439" spans="1:9" ht="21.75" customHeight="1">
      <c r="A439" s="52" t="s">
        <v>265</v>
      </c>
      <c r="B439" s="31"/>
      <c r="C439" s="32" t="s">
        <v>167</v>
      </c>
      <c r="D439" s="32" t="s">
        <v>258</v>
      </c>
      <c r="E439" s="48" t="s">
        <v>277</v>
      </c>
      <c r="F439" s="36" t="s">
        <v>266</v>
      </c>
      <c r="G439" s="34">
        <v>18.4</v>
      </c>
      <c r="H439" s="34">
        <v>18.4</v>
      </c>
      <c r="I439" s="34">
        <f t="shared" si="14"/>
        <v>100</v>
      </c>
    </row>
    <row r="440" spans="1:9" ht="17.25" customHeight="1">
      <c r="A440" s="30" t="s">
        <v>284</v>
      </c>
      <c r="B440" s="31"/>
      <c r="C440" s="32" t="s">
        <v>177</v>
      </c>
      <c r="D440" s="32"/>
      <c r="E440" s="32"/>
      <c r="F440" s="33"/>
      <c r="G440" s="34">
        <f>SUM(G441+G445)</f>
        <v>142.6</v>
      </c>
      <c r="H440" s="34">
        <f>SUM(H441+H445)</f>
        <v>142.6</v>
      </c>
      <c r="I440" s="34">
        <f t="shared" si="14"/>
        <v>100</v>
      </c>
    </row>
    <row r="441" spans="1:9" ht="21" customHeight="1">
      <c r="A441" s="30" t="s">
        <v>285</v>
      </c>
      <c r="B441" s="31"/>
      <c r="C441" s="32" t="s">
        <v>177</v>
      </c>
      <c r="D441" s="32" t="s">
        <v>169</v>
      </c>
      <c r="E441" s="32"/>
      <c r="F441" s="33"/>
      <c r="G441" s="34">
        <f aca="true" t="shared" si="20" ref="G441:H443">SUM(G442)</f>
        <v>62.1</v>
      </c>
      <c r="H441" s="34">
        <f t="shared" si="20"/>
        <v>62.1</v>
      </c>
      <c r="I441" s="34">
        <f t="shared" si="14"/>
        <v>100</v>
      </c>
    </row>
    <row r="442" spans="1:9" ht="19.5" customHeight="1">
      <c r="A442" s="49" t="s">
        <v>286</v>
      </c>
      <c r="B442" s="31"/>
      <c r="C442" s="32" t="s">
        <v>177</v>
      </c>
      <c r="D442" s="32" t="s">
        <v>169</v>
      </c>
      <c r="E442" s="58" t="s">
        <v>287</v>
      </c>
      <c r="F442" s="33"/>
      <c r="G442" s="34">
        <f t="shared" si="20"/>
        <v>62.1</v>
      </c>
      <c r="H442" s="34">
        <f t="shared" si="20"/>
        <v>62.1</v>
      </c>
      <c r="I442" s="34">
        <f t="shared" si="14"/>
        <v>100</v>
      </c>
    </row>
    <row r="443" spans="1:9" ht="30.75" customHeight="1">
      <c r="A443" s="49" t="s">
        <v>294</v>
      </c>
      <c r="B443" s="31"/>
      <c r="C443" s="32" t="s">
        <v>177</v>
      </c>
      <c r="D443" s="32" t="s">
        <v>169</v>
      </c>
      <c r="E443" s="58" t="s">
        <v>295</v>
      </c>
      <c r="F443" s="33"/>
      <c r="G443" s="34">
        <f t="shared" si="20"/>
        <v>62.1</v>
      </c>
      <c r="H443" s="34">
        <f t="shared" si="20"/>
        <v>62.1</v>
      </c>
      <c r="I443" s="34">
        <f t="shared" si="14"/>
        <v>100</v>
      </c>
    </row>
    <row r="444" spans="1:9" ht="43.5" customHeight="1">
      <c r="A444" s="49" t="s">
        <v>290</v>
      </c>
      <c r="B444" s="31"/>
      <c r="C444" s="32" t="s">
        <v>177</v>
      </c>
      <c r="D444" s="32" t="s">
        <v>169</v>
      </c>
      <c r="E444" s="58" t="s">
        <v>295</v>
      </c>
      <c r="F444" s="33" t="s">
        <v>291</v>
      </c>
      <c r="G444" s="34">
        <v>62.1</v>
      </c>
      <c r="H444" s="34">
        <v>62.1</v>
      </c>
      <c r="I444" s="34">
        <f t="shared" si="14"/>
        <v>100</v>
      </c>
    </row>
    <row r="445" spans="1:9" ht="42.75" customHeight="1">
      <c r="A445" s="49" t="s">
        <v>316</v>
      </c>
      <c r="B445" s="31"/>
      <c r="C445" s="48" t="s">
        <v>177</v>
      </c>
      <c r="D445" s="48" t="s">
        <v>317</v>
      </c>
      <c r="E445" s="48"/>
      <c r="F445" s="36"/>
      <c r="G445" s="34">
        <f aca="true" t="shared" si="21" ref="G445:H447">SUM(G446)</f>
        <v>80.5</v>
      </c>
      <c r="H445" s="34">
        <f t="shared" si="21"/>
        <v>80.5</v>
      </c>
      <c r="I445" s="34">
        <f t="shared" si="14"/>
        <v>100</v>
      </c>
    </row>
    <row r="446" spans="1:9" ht="42.75">
      <c r="A446" s="30" t="s">
        <v>328</v>
      </c>
      <c r="B446" s="31"/>
      <c r="C446" s="48" t="s">
        <v>177</v>
      </c>
      <c r="D446" s="48" t="s">
        <v>317</v>
      </c>
      <c r="E446" s="48" t="s">
        <v>329</v>
      </c>
      <c r="F446" s="36"/>
      <c r="G446" s="34">
        <f t="shared" si="21"/>
        <v>80.5</v>
      </c>
      <c r="H446" s="34">
        <f t="shared" si="21"/>
        <v>80.5</v>
      </c>
      <c r="I446" s="34">
        <f t="shared" si="14"/>
        <v>100</v>
      </c>
    </row>
    <row r="447" spans="1:9" ht="28.5">
      <c r="A447" s="30" t="s">
        <v>263</v>
      </c>
      <c r="B447" s="31"/>
      <c r="C447" s="48" t="s">
        <v>177</v>
      </c>
      <c r="D447" s="48" t="s">
        <v>317</v>
      </c>
      <c r="E447" s="48" t="s">
        <v>330</v>
      </c>
      <c r="F447" s="36"/>
      <c r="G447" s="34">
        <f t="shared" si="21"/>
        <v>80.5</v>
      </c>
      <c r="H447" s="34">
        <f t="shared" si="21"/>
        <v>80.5</v>
      </c>
      <c r="I447" s="34">
        <f t="shared" si="14"/>
        <v>100</v>
      </c>
    </row>
    <row r="448" spans="1:9" ht="18" customHeight="1">
      <c r="A448" s="52" t="s">
        <v>265</v>
      </c>
      <c r="B448" s="69"/>
      <c r="C448" s="70" t="s">
        <v>177</v>
      </c>
      <c r="D448" s="70" t="s">
        <v>317</v>
      </c>
      <c r="E448" s="70" t="s">
        <v>330</v>
      </c>
      <c r="F448" s="37" t="s">
        <v>266</v>
      </c>
      <c r="G448" s="34">
        <v>80.5</v>
      </c>
      <c r="H448" s="34">
        <v>80.5</v>
      </c>
      <c r="I448" s="34">
        <f t="shared" si="14"/>
        <v>100</v>
      </c>
    </row>
    <row r="449" spans="1:9" ht="18.75" customHeight="1">
      <c r="A449" s="41" t="s">
        <v>200</v>
      </c>
      <c r="B449" s="42"/>
      <c r="C449" s="110" t="s">
        <v>201</v>
      </c>
      <c r="D449" s="110"/>
      <c r="E449" s="110"/>
      <c r="F449" s="62"/>
      <c r="G449" s="77">
        <f>SUM(G450)</f>
        <v>3607.5</v>
      </c>
      <c r="H449" s="77">
        <f>SUM(H450)</f>
        <v>3568.7</v>
      </c>
      <c r="I449" s="34">
        <f t="shared" si="14"/>
        <v>98.92446292446292</v>
      </c>
    </row>
    <row r="450" spans="1:9" ht="18" customHeight="1">
      <c r="A450" s="30" t="s">
        <v>202</v>
      </c>
      <c r="B450" s="31"/>
      <c r="C450" s="32" t="s">
        <v>201</v>
      </c>
      <c r="D450" s="32" t="s">
        <v>203</v>
      </c>
      <c r="E450" s="32"/>
      <c r="F450" s="33"/>
      <c r="G450" s="34">
        <f>SUM(G451+G453)</f>
        <v>3607.5</v>
      </c>
      <c r="H450" s="34">
        <f>SUM(H451+H453)</f>
        <v>3568.7</v>
      </c>
      <c r="I450" s="34">
        <f t="shared" si="14"/>
        <v>98.92446292446292</v>
      </c>
    </row>
    <row r="451" spans="1:9" ht="29.25" customHeight="1">
      <c r="A451" s="30" t="s">
        <v>340</v>
      </c>
      <c r="B451" s="31"/>
      <c r="C451" s="32" t="s">
        <v>201</v>
      </c>
      <c r="D451" s="32" t="s">
        <v>203</v>
      </c>
      <c r="E451" s="48" t="s">
        <v>341</v>
      </c>
      <c r="F451" s="36"/>
      <c r="G451" s="34">
        <f>SUM(G452)</f>
        <v>1823.2</v>
      </c>
      <c r="H451" s="34">
        <f>SUM(H452)</f>
        <v>1784.4</v>
      </c>
      <c r="I451" s="34">
        <f t="shared" si="14"/>
        <v>97.87187362878456</v>
      </c>
    </row>
    <row r="452" spans="1:9" ht="18" customHeight="1">
      <c r="A452" s="30" t="s">
        <v>342</v>
      </c>
      <c r="B452" s="31"/>
      <c r="C452" s="32" t="s">
        <v>201</v>
      </c>
      <c r="D452" s="32" t="s">
        <v>203</v>
      </c>
      <c r="E452" s="48" t="s">
        <v>341</v>
      </c>
      <c r="F452" s="33" t="s">
        <v>343</v>
      </c>
      <c r="G452" s="34">
        <v>1823.2</v>
      </c>
      <c r="H452" s="34">
        <v>1784.4</v>
      </c>
      <c r="I452" s="34">
        <f t="shared" si="14"/>
        <v>97.87187362878456</v>
      </c>
    </row>
    <row r="453" spans="1:9" ht="87.75" customHeight="1">
      <c r="A453" s="74" t="s">
        <v>344</v>
      </c>
      <c r="B453" s="31"/>
      <c r="C453" s="32" t="s">
        <v>201</v>
      </c>
      <c r="D453" s="32" t="s">
        <v>203</v>
      </c>
      <c r="E453" s="48" t="s">
        <v>345</v>
      </c>
      <c r="F453" s="36"/>
      <c r="G453" s="34">
        <f>SUM(G454)</f>
        <v>1784.3</v>
      </c>
      <c r="H453" s="34">
        <f>SUM(H454)</f>
        <v>1784.3</v>
      </c>
      <c r="I453" s="34">
        <f t="shared" si="14"/>
        <v>100</v>
      </c>
    </row>
    <row r="454" spans="1:9" ht="16.5" customHeight="1">
      <c r="A454" s="30" t="s">
        <v>342</v>
      </c>
      <c r="B454" s="31"/>
      <c r="C454" s="32" t="s">
        <v>201</v>
      </c>
      <c r="D454" s="32" t="s">
        <v>203</v>
      </c>
      <c r="E454" s="48" t="s">
        <v>345</v>
      </c>
      <c r="F454" s="36" t="s">
        <v>343</v>
      </c>
      <c r="G454" s="34">
        <v>1784.3</v>
      </c>
      <c r="H454" s="34">
        <v>1784.3</v>
      </c>
      <c r="I454" s="34">
        <f t="shared" si="14"/>
        <v>100</v>
      </c>
    </row>
    <row r="455" spans="1:9" ht="26.25" customHeight="1">
      <c r="A455" s="30" t="s">
        <v>472</v>
      </c>
      <c r="B455" s="31"/>
      <c r="C455" s="32" t="s">
        <v>237</v>
      </c>
      <c r="D455" s="32"/>
      <c r="E455" s="32"/>
      <c r="F455" s="33"/>
      <c r="G455" s="34">
        <f>SUM(G456)</f>
        <v>29.9</v>
      </c>
      <c r="H455" s="34">
        <f>SUM(H456)</f>
        <v>29.9</v>
      </c>
      <c r="I455" s="34">
        <f t="shared" si="14"/>
        <v>100</v>
      </c>
    </row>
    <row r="456" spans="1:9" ht="31.5" customHeight="1">
      <c r="A456" s="30" t="s">
        <v>473</v>
      </c>
      <c r="B456" s="31"/>
      <c r="C456" s="32" t="s">
        <v>237</v>
      </c>
      <c r="D456" s="32" t="s">
        <v>177</v>
      </c>
      <c r="E456" s="32"/>
      <c r="F456" s="33"/>
      <c r="G456" s="34">
        <f>SUM(G459)</f>
        <v>29.9</v>
      </c>
      <c r="H456" s="34">
        <f>SUM(H459)</f>
        <v>29.9</v>
      </c>
      <c r="I456" s="34">
        <f t="shared" si="14"/>
        <v>100</v>
      </c>
    </row>
    <row r="457" spans="1:9" ht="15.75" customHeight="1">
      <c r="A457" s="30" t="s">
        <v>474</v>
      </c>
      <c r="B457" s="31"/>
      <c r="C457" s="32" t="s">
        <v>237</v>
      </c>
      <c r="D457" s="32" t="s">
        <v>177</v>
      </c>
      <c r="E457" s="32" t="s">
        <v>475</v>
      </c>
      <c r="F457" s="33"/>
      <c r="G457" s="34">
        <f>SUM(G458)</f>
        <v>29.9</v>
      </c>
      <c r="H457" s="34">
        <f>SUM(H458)</f>
        <v>29.9</v>
      </c>
      <c r="I457" s="34">
        <f t="shared" si="14"/>
        <v>100</v>
      </c>
    </row>
    <row r="458" spans="1:9" ht="28.5">
      <c r="A458" s="108" t="s">
        <v>263</v>
      </c>
      <c r="B458" s="109"/>
      <c r="C458" s="70" t="s">
        <v>237</v>
      </c>
      <c r="D458" s="70" t="s">
        <v>177</v>
      </c>
      <c r="E458" s="70" t="s">
        <v>476</v>
      </c>
      <c r="F458" s="37"/>
      <c r="G458" s="34">
        <f>SUM(G459)</f>
        <v>29.9</v>
      </c>
      <c r="H458" s="34">
        <f>SUM(H459)</f>
        <v>29.9</v>
      </c>
      <c r="I458" s="34">
        <f t="shared" si="14"/>
        <v>100</v>
      </c>
    </row>
    <row r="459" spans="1:9" ht="21.75" customHeight="1">
      <c r="A459" s="52" t="s">
        <v>265</v>
      </c>
      <c r="B459" s="31"/>
      <c r="C459" s="32" t="s">
        <v>237</v>
      </c>
      <c r="D459" s="32" t="s">
        <v>177</v>
      </c>
      <c r="E459" s="70" t="s">
        <v>476</v>
      </c>
      <c r="F459" s="37" t="s">
        <v>266</v>
      </c>
      <c r="G459" s="34">
        <v>29.9</v>
      </c>
      <c r="H459" s="34">
        <v>29.9</v>
      </c>
      <c r="I459" s="34">
        <f t="shared" si="14"/>
        <v>100</v>
      </c>
    </row>
    <row r="460" spans="1:9" ht="15">
      <c r="A460" s="213" t="s">
        <v>189</v>
      </c>
      <c r="B460" s="31"/>
      <c r="C460" s="110" t="s">
        <v>190</v>
      </c>
      <c r="D460" s="110"/>
      <c r="E460" s="110"/>
      <c r="F460" s="62"/>
      <c r="G460" s="77">
        <f>SUM(G465)+G482+G461+G491</f>
        <v>54257.2</v>
      </c>
      <c r="H460" s="77">
        <f>SUM(H465)+H482+H461+H491</f>
        <v>54256.49999999999</v>
      </c>
      <c r="I460" s="34">
        <f t="shared" si="14"/>
        <v>99.99870984864681</v>
      </c>
    </row>
    <row r="461" spans="1:9" ht="15.75">
      <c r="A461" s="35" t="s">
        <v>494</v>
      </c>
      <c r="B461" s="123"/>
      <c r="C461" s="48" t="s">
        <v>190</v>
      </c>
      <c r="D461" s="48" t="s">
        <v>167</v>
      </c>
      <c r="E461" s="48"/>
      <c r="F461" s="36"/>
      <c r="G461" s="34">
        <f aca="true" t="shared" si="22" ref="G461:H463">SUM(G462)</f>
        <v>5559.1</v>
      </c>
      <c r="H461" s="34">
        <f t="shared" si="22"/>
        <v>5556.7</v>
      </c>
      <c r="I461" s="34">
        <f t="shared" si="14"/>
        <v>99.95682754402691</v>
      </c>
    </row>
    <row r="462" spans="1:9" ht="15.75">
      <c r="A462" s="35" t="s">
        <v>495</v>
      </c>
      <c r="B462" s="123"/>
      <c r="C462" s="48" t="s">
        <v>190</v>
      </c>
      <c r="D462" s="48" t="s">
        <v>167</v>
      </c>
      <c r="E462" s="48" t="s">
        <v>496</v>
      </c>
      <c r="F462" s="36"/>
      <c r="G462" s="34">
        <f t="shared" si="22"/>
        <v>5559.1</v>
      </c>
      <c r="H462" s="34">
        <f t="shared" si="22"/>
        <v>5556.7</v>
      </c>
      <c r="I462" s="34">
        <f t="shared" si="14"/>
        <v>99.95682754402691</v>
      </c>
    </row>
    <row r="463" spans="1:9" ht="29.25">
      <c r="A463" s="35" t="s">
        <v>263</v>
      </c>
      <c r="B463" s="123"/>
      <c r="C463" s="48" t="s">
        <v>190</v>
      </c>
      <c r="D463" s="48" t="s">
        <v>167</v>
      </c>
      <c r="E463" s="48" t="s">
        <v>497</v>
      </c>
      <c r="F463" s="36"/>
      <c r="G463" s="34">
        <f t="shared" si="22"/>
        <v>5559.1</v>
      </c>
      <c r="H463" s="34">
        <f t="shared" si="22"/>
        <v>5556.7</v>
      </c>
      <c r="I463" s="34">
        <f t="shared" si="14"/>
        <v>99.95682754402691</v>
      </c>
    </row>
    <row r="464" spans="1:9" ht="15.75">
      <c r="A464" s="52" t="s">
        <v>265</v>
      </c>
      <c r="B464" s="69"/>
      <c r="C464" s="70" t="s">
        <v>190</v>
      </c>
      <c r="D464" s="70" t="s">
        <v>167</v>
      </c>
      <c r="E464" s="70" t="s">
        <v>497</v>
      </c>
      <c r="F464" s="37" t="s">
        <v>266</v>
      </c>
      <c r="G464" s="34">
        <v>5559.1</v>
      </c>
      <c r="H464" s="34">
        <v>5556.7</v>
      </c>
      <c r="I464" s="34">
        <f aca="true" t="shared" si="23" ref="I464:I527">SUM(H464/G464*100)</f>
        <v>99.95682754402691</v>
      </c>
    </row>
    <row r="465" spans="1:9" ht="15">
      <c r="A465" s="35" t="s">
        <v>512</v>
      </c>
      <c r="B465" s="31"/>
      <c r="C465" s="48" t="s">
        <v>190</v>
      </c>
      <c r="D465" s="48" t="s">
        <v>169</v>
      </c>
      <c r="E465" s="110"/>
      <c r="F465" s="62"/>
      <c r="G465" s="34">
        <f>SUM(G472+G466+G469+G479)</f>
        <v>46614.7</v>
      </c>
      <c r="H465" s="34">
        <f>SUM(H472+H466+H469+H479)</f>
        <v>46611.899999999994</v>
      </c>
      <c r="I465" s="34">
        <f t="shared" si="23"/>
        <v>99.99399331112288</v>
      </c>
    </row>
    <row r="466" spans="1:9" ht="27.75" customHeight="1">
      <c r="A466" s="35" t="s">
        <v>515</v>
      </c>
      <c r="B466" s="123"/>
      <c r="C466" s="48" t="s">
        <v>190</v>
      </c>
      <c r="D466" s="48" t="s">
        <v>169</v>
      </c>
      <c r="E466" s="48" t="s">
        <v>516</v>
      </c>
      <c r="F466" s="36"/>
      <c r="G466" s="34">
        <f>SUM(G467)</f>
        <v>4411.4</v>
      </c>
      <c r="H466" s="34">
        <f>SUM(H467)</f>
        <v>4411.8</v>
      </c>
      <c r="I466" s="34">
        <f t="shared" si="23"/>
        <v>100.00906741623976</v>
      </c>
    </row>
    <row r="467" spans="1:9" ht="37.5" customHeight="1">
      <c r="A467" s="35" t="s">
        <v>263</v>
      </c>
      <c r="B467" s="123"/>
      <c r="C467" s="48" t="s">
        <v>190</v>
      </c>
      <c r="D467" s="48" t="s">
        <v>169</v>
      </c>
      <c r="E467" s="48" t="s">
        <v>517</v>
      </c>
      <c r="F467" s="36"/>
      <c r="G467" s="34">
        <f>SUM(G468)</f>
        <v>4411.4</v>
      </c>
      <c r="H467" s="34">
        <f>SUM(H468)</f>
        <v>4411.8</v>
      </c>
      <c r="I467" s="34">
        <f t="shared" si="23"/>
        <v>100.00906741623976</v>
      </c>
    </row>
    <row r="468" spans="1:9" ht="19.5" customHeight="1">
      <c r="A468" s="52" t="s">
        <v>265</v>
      </c>
      <c r="B468" s="69"/>
      <c r="C468" s="48" t="s">
        <v>190</v>
      </c>
      <c r="D468" s="48" t="s">
        <v>169</v>
      </c>
      <c r="E468" s="48" t="s">
        <v>517</v>
      </c>
      <c r="F468" s="37" t="s">
        <v>266</v>
      </c>
      <c r="G468" s="34">
        <v>4411.4</v>
      </c>
      <c r="H468" s="34">
        <v>4411.8</v>
      </c>
      <c r="I468" s="34">
        <f t="shared" si="23"/>
        <v>100.00906741623976</v>
      </c>
    </row>
    <row r="469" spans="1:9" ht="15" customHeight="1">
      <c r="A469" s="30" t="s">
        <v>533</v>
      </c>
      <c r="B469" s="31"/>
      <c r="C469" s="48" t="s">
        <v>190</v>
      </c>
      <c r="D469" s="48" t="s">
        <v>169</v>
      </c>
      <c r="E469" s="48" t="s">
        <v>534</v>
      </c>
      <c r="F469" s="36"/>
      <c r="G469" s="34">
        <f>SUM(G470)</f>
        <v>1352.4</v>
      </c>
      <c r="H469" s="34">
        <f>SUM(H470)</f>
        <v>1351.8</v>
      </c>
      <c r="I469" s="34">
        <f t="shared" si="23"/>
        <v>99.9556344276841</v>
      </c>
    </row>
    <row r="470" spans="1:9" ht="32.25" customHeight="1">
      <c r="A470" s="35" t="s">
        <v>263</v>
      </c>
      <c r="B470" s="123"/>
      <c r="C470" s="48" t="s">
        <v>190</v>
      </c>
      <c r="D470" s="48" t="s">
        <v>169</v>
      </c>
      <c r="E470" s="48" t="s">
        <v>535</v>
      </c>
      <c r="F470" s="36"/>
      <c r="G470" s="34">
        <f>SUM(G471)</f>
        <v>1352.4</v>
      </c>
      <c r="H470" s="34">
        <f>SUM(H471)</f>
        <v>1351.8</v>
      </c>
      <c r="I470" s="34">
        <f t="shared" si="23"/>
        <v>99.9556344276841</v>
      </c>
    </row>
    <row r="471" spans="1:9" ht="19.5" customHeight="1">
      <c r="A471" s="52" t="s">
        <v>265</v>
      </c>
      <c r="B471" s="69"/>
      <c r="C471" s="48" t="s">
        <v>190</v>
      </c>
      <c r="D471" s="48" t="s">
        <v>169</v>
      </c>
      <c r="E471" s="48" t="s">
        <v>535</v>
      </c>
      <c r="F471" s="37" t="s">
        <v>266</v>
      </c>
      <c r="G471" s="34">
        <v>1352.4</v>
      </c>
      <c r="H471" s="34">
        <v>1351.8</v>
      </c>
      <c r="I471" s="34">
        <f t="shared" si="23"/>
        <v>99.9556344276841</v>
      </c>
    </row>
    <row r="472" spans="1:9" ht="15">
      <c r="A472" s="30" t="s">
        <v>540</v>
      </c>
      <c r="B472" s="31"/>
      <c r="C472" s="48" t="s">
        <v>190</v>
      </c>
      <c r="D472" s="48" t="s">
        <v>169</v>
      </c>
      <c r="E472" s="48" t="s">
        <v>541</v>
      </c>
      <c r="F472" s="62"/>
      <c r="G472" s="34">
        <f>SUM(G473)</f>
        <v>40607.09999999999</v>
      </c>
      <c r="H472" s="34">
        <f>SUM(H473)</f>
        <v>40604.59999999999</v>
      </c>
      <c r="I472" s="34">
        <f t="shared" si="23"/>
        <v>99.99384344117162</v>
      </c>
    </row>
    <row r="473" spans="1:9" ht="28.5">
      <c r="A473" s="35" t="s">
        <v>263</v>
      </c>
      <c r="B473" s="31"/>
      <c r="C473" s="48" t="s">
        <v>190</v>
      </c>
      <c r="D473" s="48" t="s">
        <v>169</v>
      </c>
      <c r="E473" s="48" t="s">
        <v>542</v>
      </c>
      <c r="F473" s="62"/>
      <c r="G473" s="34">
        <f>SUM(G477+G475+G474)</f>
        <v>40607.09999999999</v>
      </c>
      <c r="H473" s="34">
        <f>SUM(H477+H475+H474)</f>
        <v>40604.59999999999</v>
      </c>
      <c r="I473" s="34">
        <f t="shared" si="23"/>
        <v>99.99384344117162</v>
      </c>
    </row>
    <row r="474" spans="1:9" ht="15">
      <c r="A474" s="52" t="s">
        <v>265</v>
      </c>
      <c r="B474" s="31"/>
      <c r="C474" s="48" t="s">
        <v>190</v>
      </c>
      <c r="D474" s="48" t="s">
        <v>169</v>
      </c>
      <c r="E474" s="48" t="s">
        <v>542</v>
      </c>
      <c r="F474" s="36" t="s">
        <v>266</v>
      </c>
      <c r="G474" s="34">
        <v>362.2</v>
      </c>
      <c r="H474" s="34">
        <v>359.7</v>
      </c>
      <c r="I474" s="34">
        <f t="shared" si="23"/>
        <v>99.30977360574268</v>
      </c>
    </row>
    <row r="475" spans="1:9" ht="57.75">
      <c r="A475" s="52" t="s">
        <v>526</v>
      </c>
      <c r="B475" s="69"/>
      <c r="C475" s="48" t="s">
        <v>190</v>
      </c>
      <c r="D475" s="48" t="s">
        <v>169</v>
      </c>
      <c r="E475" s="48" t="s">
        <v>544</v>
      </c>
      <c r="F475" s="37"/>
      <c r="G475" s="34">
        <f>SUM(G476)</f>
        <v>19.7</v>
      </c>
      <c r="H475" s="34">
        <f>SUM(H476)</f>
        <v>19.7</v>
      </c>
      <c r="I475" s="34">
        <f t="shared" si="23"/>
        <v>100</v>
      </c>
    </row>
    <row r="476" spans="1:9" ht="15.75">
      <c r="A476" s="52" t="s">
        <v>265</v>
      </c>
      <c r="B476" s="69"/>
      <c r="C476" s="48" t="s">
        <v>190</v>
      </c>
      <c r="D476" s="48" t="s">
        <v>169</v>
      </c>
      <c r="E476" s="48" t="s">
        <v>544</v>
      </c>
      <c r="F476" s="37" t="s">
        <v>266</v>
      </c>
      <c r="G476" s="34">
        <v>19.7</v>
      </c>
      <c r="H476" s="34">
        <v>19.7</v>
      </c>
      <c r="I476" s="34">
        <f t="shared" si="23"/>
        <v>100</v>
      </c>
    </row>
    <row r="477" spans="1:9" ht="42.75">
      <c r="A477" s="35" t="s">
        <v>545</v>
      </c>
      <c r="B477" s="31"/>
      <c r="C477" s="48" t="s">
        <v>190</v>
      </c>
      <c r="D477" s="48" t="s">
        <v>169</v>
      </c>
      <c r="E477" s="48" t="s">
        <v>546</v>
      </c>
      <c r="F477" s="62"/>
      <c r="G477" s="34">
        <f>SUM(G478)</f>
        <v>40225.2</v>
      </c>
      <c r="H477" s="34">
        <f>SUM(H478)</f>
        <v>40225.2</v>
      </c>
      <c r="I477" s="34">
        <f t="shared" si="23"/>
        <v>100</v>
      </c>
    </row>
    <row r="478" spans="1:9" ht="15">
      <c r="A478" s="49" t="s">
        <v>265</v>
      </c>
      <c r="B478" s="31"/>
      <c r="C478" s="48" t="s">
        <v>190</v>
      </c>
      <c r="D478" s="48" t="s">
        <v>169</v>
      </c>
      <c r="E478" s="48" t="s">
        <v>546</v>
      </c>
      <c r="F478" s="62" t="s">
        <v>266</v>
      </c>
      <c r="G478" s="34">
        <v>40225.2</v>
      </c>
      <c r="H478" s="34">
        <v>40225.2</v>
      </c>
      <c r="I478" s="34">
        <f t="shared" si="23"/>
        <v>100</v>
      </c>
    </row>
    <row r="479" spans="1:9" ht="19.5" customHeight="1">
      <c r="A479" s="35" t="s">
        <v>547</v>
      </c>
      <c r="B479" s="48"/>
      <c r="C479" s="48" t="s">
        <v>190</v>
      </c>
      <c r="D479" s="48" t="s">
        <v>169</v>
      </c>
      <c r="E479" s="48" t="s">
        <v>548</v>
      </c>
      <c r="F479" s="36"/>
      <c r="G479" s="34">
        <f>SUM(G480)</f>
        <v>243.8</v>
      </c>
      <c r="H479" s="34">
        <f>SUM(H480)</f>
        <v>243.7</v>
      </c>
      <c r="I479" s="34">
        <f t="shared" si="23"/>
        <v>99.95898277276454</v>
      </c>
    </row>
    <row r="480" spans="1:9" ht="27" customHeight="1">
      <c r="A480" s="35" t="s">
        <v>263</v>
      </c>
      <c r="B480" s="123"/>
      <c r="C480" s="48" t="s">
        <v>190</v>
      </c>
      <c r="D480" s="48" t="s">
        <v>169</v>
      </c>
      <c r="E480" s="48" t="s">
        <v>549</v>
      </c>
      <c r="F480" s="36"/>
      <c r="G480" s="34">
        <f>SUM(G481)</f>
        <v>243.8</v>
      </c>
      <c r="H480" s="34">
        <f>SUM(H481)</f>
        <v>243.7</v>
      </c>
      <c r="I480" s="34">
        <f t="shared" si="23"/>
        <v>99.95898277276454</v>
      </c>
    </row>
    <row r="481" spans="1:9" ht="19.5" customHeight="1">
      <c r="A481" s="52" t="s">
        <v>265</v>
      </c>
      <c r="B481" s="69"/>
      <c r="C481" s="48" t="s">
        <v>190</v>
      </c>
      <c r="D481" s="48" t="s">
        <v>169</v>
      </c>
      <c r="E481" s="48" t="s">
        <v>549</v>
      </c>
      <c r="F481" s="37" t="s">
        <v>266</v>
      </c>
      <c r="G481" s="34">
        <v>243.8</v>
      </c>
      <c r="H481" s="34">
        <v>243.7</v>
      </c>
      <c r="I481" s="34">
        <f t="shared" si="23"/>
        <v>99.95898277276454</v>
      </c>
    </row>
    <row r="482" spans="1:9" ht="15">
      <c r="A482" s="35" t="s">
        <v>191</v>
      </c>
      <c r="B482" s="39"/>
      <c r="C482" s="32" t="s">
        <v>190</v>
      </c>
      <c r="D482" s="32" t="s">
        <v>190</v>
      </c>
      <c r="E482" s="48"/>
      <c r="F482" s="62"/>
      <c r="G482" s="34">
        <f>SUM(G488+G483)</f>
        <v>1766</v>
      </c>
      <c r="H482" s="34">
        <f>SUM(H488+H483)</f>
        <v>1770.6000000000001</v>
      </c>
      <c r="I482" s="34">
        <f t="shared" si="23"/>
        <v>100.26047565118914</v>
      </c>
    </row>
    <row r="483" spans="1:9" ht="28.5">
      <c r="A483" s="46" t="s">
        <v>569</v>
      </c>
      <c r="B483" s="47"/>
      <c r="C483" s="48" t="s">
        <v>190</v>
      </c>
      <c r="D483" s="48" t="s">
        <v>190</v>
      </c>
      <c r="E483" s="48" t="s">
        <v>570</v>
      </c>
      <c r="F483" s="36"/>
      <c r="G483" s="34">
        <f>SUM(G484)</f>
        <v>158.1</v>
      </c>
      <c r="H483" s="34">
        <f>SUM(H484)</f>
        <v>162.7</v>
      </c>
      <c r="I483" s="34">
        <f t="shared" si="23"/>
        <v>102.90955091714105</v>
      </c>
    </row>
    <row r="484" spans="1:9" ht="15">
      <c r="A484" s="46" t="s">
        <v>571</v>
      </c>
      <c r="B484" s="48"/>
      <c r="C484" s="48" t="s">
        <v>190</v>
      </c>
      <c r="D484" s="48" t="s">
        <v>190</v>
      </c>
      <c r="E484" s="48" t="s">
        <v>572</v>
      </c>
      <c r="F484" s="36"/>
      <c r="G484" s="34">
        <f>SUM(G485)</f>
        <v>158.1</v>
      </c>
      <c r="H484" s="34">
        <f>SUM(H485)+H486</f>
        <v>162.7</v>
      </c>
      <c r="I484" s="34">
        <f t="shared" si="23"/>
        <v>102.90955091714105</v>
      </c>
    </row>
    <row r="485" spans="1:9" ht="15">
      <c r="A485" s="52" t="s">
        <v>265</v>
      </c>
      <c r="B485" s="47"/>
      <c r="C485" s="48" t="s">
        <v>190</v>
      </c>
      <c r="D485" s="48" t="s">
        <v>190</v>
      </c>
      <c r="E485" s="48" t="s">
        <v>572</v>
      </c>
      <c r="F485" s="36" t="s">
        <v>266</v>
      </c>
      <c r="G485" s="34">
        <v>158.1</v>
      </c>
      <c r="H485" s="34">
        <v>158.1</v>
      </c>
      <c r="I485" s="34">
        <f t="shared" si="23"/>
        <v>100</v>
      </c>
    </row>
    <row r="486" spans="1:9" ht="28.5">
      <c r="A486" s="30" t="s">
        <v>263</v>
      </c>
      <c r="B486" s="47"/>
      <c r="C486" s="48" t="s">
        <v>190</v>
      </c>
      <c r="D486" s="48" t="s">
        <v>190</v>
      </c>
      <c r="E486" s="48" t="s">
        <v>574</v>
      </c>
      <c r="F486" s="36"/>
      <c r="G486" s="34"/>
      <c r="H486" s="34">
        <f>SUM(H487)</f>
        <v>4.6</v>
      </c>
      <c r="I486" s="34"/>
    </row>
    <row r="487" spans="1:9" ht="15">
      <c r="A487" s="52" t="s">
        <v>265</v>
      </c>
      <c r="B487" s="47"/>
      <c r="C487" s="48" t="s">
        <v>190</v>
      </c>
      <c r="D487" s="48" t="s">
        <v>190</v>
      </c>
      <c r="E487" s="48" t="s">
        <v>574</v>
      </c>
      <c r="F487" s="36" t="s">
        <v>266</v>
      </c>
      <c r="G487" s="34"/>
      <c r="H487" s="34">
        <v>4.6</v>
      </c>
      <c r="I487" s="34"/>
    </row>
    <row r="488" spans="1:9" ht="28.5">
      <c r="A488" s="49" t="s">
        <v>575</v>
      </c>
      <c r="B488" s="39"/>
      <c r="C488" s="32" t="s">
        <v>190</v>
      </c>
      <c r="D488" s="32" t="s">
        <v>190</v>
      </c>
      <c r="E488" s="32" t="s">
        <v>193</v>
      </c>
      <c r="F488" s="62"/>
      <c r="G488" s="34">
        <f>SUM(G489)</f>
        <v>1607.9</v>
      </c>
      <c r="H488" s="34">
        <f>SUM(H489)</f>
        <v>1607.9</v>
      </c>
      <c r="I488" s="34">
        <f t="shared" si="23"/>
        <v>100</v>
      </c>
    </row>
    <row r="489" spans="1:9" ht="20.25" customHeight="1">
      <c r="A489" s="49" t="s">
        <v>576</v>
      </c>
      <c r="B489" s="39"/>
      <c r="C489" s="32" t="s">
        <v>190</v>
      </c>
      <c r="D489" s="32" t="s">
        <v>190</v>
      </c>
      <c r="E489" s="32" t="s">
        <v>577</v>
      </c>
      <c r="F489" s="62"/>
      <c r="G489" s="34">
        <f>SUM(G490)</f>
        <v>1607.9</v>
      </c>
      <c r="H489" s="34">
        <f>SUM(H490)</f>
        <v>1607.9</v>
      </c>
      <c r="I489" s="34">
        <f t="shared" si="23"/>
        <v>100</v>
      </c>
    </row>
    <row r="490" spans="1:9" s="111" customFormat="1" ht="20.25" customHeight="1">
      <c r="A490" s="52" t="s">
        <v>265</v>
      </c>
      <c r="B490" s="39"/>
      <c r="C490" s="32" t="s">
        <v>190</v>
      </c>
      <c r="D490" s="32" t="s">
        <v>190</v>
      </c>
      <c r="E490" s="32" t="s">
        <v>577</v>
      </c>
      <c r="F490" s="33" t="s">
        <v>266</v>
      </c>
      <c r="G490" s="34">
        <v>1607.9</v>
      </c>
      <c r="H490" s="34">
        <v>1607.9</v>
      </c>
      <c r="I490" s="34">
        <f t="shared" si="23"/>
        <v>100</v>
      </c>
    </row>
    <row r="491" spans="1:9" s="40" customFormat="1" ht="21.75" customHeight="1">
      <c r="A491" s="30" t="s">
        <v>586</v>
      </c>
      <c r="B491" s="31"/>
      <c r="C491" s="48" t="s">
        <v>190</v>
      </c>
      <c r="D491" s="48" t="s">
        <v>317</v>
      </c>
      <c r="E491" s="48"/>
      <c r="F491" s="36"/>
      <c r="G491" s="34">
        <f aca="true" t="shared" si="24" ref="G491:H493">SUM(G492)</f>
        <v>317.4</v>
      </c>
      <c r="H491" s="34">
        <f t="shared" si="24"/>
        <v>317.3</v>
      </c>
      <c r="I491" s="34">
        <f t="shared" si="23"/>
        <v>99.96849401386264</v>
      </c>
    </row>
    <row r="492" spans="1:9" ht="72" customHeight="1">
      <c r="A492" s="49" t="s">
        <v>591</v>
      </c>
      <c r="B492" s="31"/>
      <c r="C492" s="48" t="s">
        <v>190</v>
      </c>
      <c r="D492" s="48" t="s">
        <v>317</v>
      </c>
      <c r="E492" s="48" t="s">
        <v>592</v>
      </c>
      <c r="F492" s="36"/>
      <c r="G492" s="34">
        <f t="shared" si="24"/>
        <v>317.4</v>
      </c>
      <c r="H492" s="34">
        <f t="shared" si="24"/>
        <v>317.3</v>
      </c>
      <c r="I492" s="34">
        <f t="shared" si="23"/>
        <v>99.96849401386264</v>
      </c>
    </row>
    <row r="493" spans="1:9" ht="28.5">
      <c r="A493" s="35" t="s">
        <v>263</v>
      </c>
      <c r="B493" s="85"/>
      <c r="C493" s="48" t="s">
        <v>190</v>
      </c>
      <c r="D493" s="48" t="s">
        <v>317</v>
      </c>
      <c r="E493" s="48" t="s">
        <v>593</v>
      </c>
      <c r="F493" s="36"/>
      <c r="G493" s="34">
        <f t="shared" si="24"/>
        <v>317.4</v>
      </c>
      <c r="H493" s="34">
        <f t="shared" si="24"/>
        <v>317.3</v>
      </c>
      <c r="I493" s="34">
        <f t="shared" si="23"/>
        <v>99.96849401386264</v>
      </c>
    </row>
    <row r="494" spans="1:9" ht="15">
      <c r="A494" s="52" t="s">
        <v>265</v>
      </c>
      <c r="B494" s="85"/>
      <c r="C494" s="48" t="s">
        <v>190</v>
      </c>
      <c r="D494" s="48" t="s">
        <v>317</v>
      </c>
      <c r="E494" s="48" t="s">
        <v>593</v>
      </c>
      <c r="F494" s="36" t="s">
        <v>266</v>
      </c>
      <c r="G494" s="34">
        <v>317.4</v>
      </c>
      <c r="H494" s="34">
        <v>317.3</v>
      </c>
      <c r="I494" s="34">
        <f t="shared" si="23"/>
        <v>99.96849401386264</v>
      </c>
    </row>
    <row r="495" spans="1:9" ht="28.5">
      <c r="A495" s="30" t="s">
        <v>981</v>
      </c>
      <c r="B495" s="31"/>
      <c r="C495" s="48" t="s">
        <v>203</v>
      </c>
      <c r="D495" s="48"/>
      <c r="E495" s="48"/>
      <c r="F495" s="36"/>
      <c r="G495" s="34">
        <f>SUM(G496+G507)</f>
        <v>878.6000000000001</v>
      </c>
      <c r="H495" s="34">
        <f>SUM(H496+H507)</f>
        <v>880.5</v>
      </c>
      <c r="I495" s="34">
        <f t="shared" si="23"/>
        <v>100.2162531299795</v>
      </c>
    </row>
    <row r="496" spans="1:9" ht="15">
      <c r="A496" s="30" t="s">
        <v>982</v>
      </c>
      <c r="B496" s="31"/>
      <c r="C496" s="48" t="s">
        <v>203</v>
      </c>
      <c r="D496" s="48" t="s">
        <v>167</v>
      </c>
      <c r="E496" s="48"/>
      <c r="F496" s="36"/>
      <c r="G496" s="34">
        <f>SUM(G504+G501+G497)</f>
        <v>834.9000000000001</v>
      </c>
      <c r="H496" s="34">
        <f>SUM(H504+H501+H497)</f>
        <v>836.8</v>
      </c>
      <c r="I496" s="34">
        <f t="shared" si="23"/>
        <v>100.22757216433105</v>
      </c>
    </row>
    <row r="497" spans="1:9" ht="28.5">
      <c r="A497" s="30" t="s">
        <v>275</v>
      </c>
      <c r="B497" s="31"/>
      <c r="C497" s="48" t="s">
        <v>203</v>
      </c>
      <c r="D497" s="48" t="s">
        <v>167</v>
      </c>
      <c r="E497" s="48" t="s">
        <v>276</v>
      </c>
      <c r="F497" s="36"/>
      <c r="G497" s="34">
        <f>SUM(G498)</f>
        <v>464.6</v>
      </c>
      <c r="H497" s="34">
        <f>SUM(H498)</f>
        <v>466.7</v>
      </c>
      <c r="I497" s="34">
        <f t="shared" si="23"/>
        <v>100.45200172191132</v>
      </c>
    </row>
    <row r="498" spans="1:9" ht="29.25">
      <c r="A498" s="35" t="s">
        <v>263</v>
      </c>
      <c r="B498" s="123"/>
      <c r="C498" s="48" t="s">
        <v>203</v>
      </c>
      <c r="D498" s="48" t="s">
        <v>167</v>
      </c>
      <c r="E498" s="48" t="s">
        <v>277</v>
      </c>
      <c r="F498" s="36"/>
      <c r="G498" s="34">
        <f>SUM(G499:G500)</f>
        <v>464.6</v>
      </c>
      <c r="H498" s="34">
        <f>SUM(H499:H500)</f>
        <v>466.7</v>
      </c>
      <c r="I498" s="34">
        <f t="shared" si="23"/>
        <v>100.45200172191132</v>
      </c>
    </row>
    <row r="499" spans="1:9" ht="15.75">
      <c r="A499" s="52" t="s">
        <v>265</v>
      </c>
      <c r="B499" s="69"/>
      <c r="C499" s="48" t="s">
        <v>203</v>
      </c>
      <c r="D499" s="48" t="s">
        <v>167</v>
      </c>
      <c r="E499" s="48" t="s">
        <v>277</v>
      </c>
      <c r="F499" s="37" t="s">
        <v>266</v>
      </c>
      <c r="G499" s="34">
        <v>464.6</v>
      </c>
      <c r="H499" s="34">
        <v>466.7</v>
      </c>
      <c r="I499" s="34">
        <f t="shared" si="23"/>
        <v>100.45200172191132</v>
      </c>
    </row>
    <row r="500" spans="1:9" ht="43.5" customHeight="1" hidden="1">
      <c r="A500" s="52" t="s">
        <v>618</v>
      </c>
      <c r="B500" s="69"/>
      <c r="C500" s="48" t="s">
        <v>203</v>
      </c>
      <c r="D500" s="48" t="s">
        <v>167</v>
      </c>
      <c r="E500" s="48" t="s">
        <v>277</v>
      </c>
      <c r="F500" s="37" t="s">
        <v>619</v>
      </c>
      <c r="G500" s="34"/>
      <c r="H500" s="34"/>
      <c r="I500" s="34" t="e">
        <f t="shared" si="23"/>
        <v>#DIV/0!</v>
      </c>
    </row>
    <row r="501" spans="1:9" ht="15">
      <c r="A501" s="30" t="s">
        <v>621</v>
      </c>
      <c r="B501" s="31"/>
      <c r="C501" s="48" t="s">
        <v>203</v>
      </c>
      <c r="D501" s="48" t="s">
        <v>167</v>
      </c>
      <c r="E501" s="48" t="s">
        <v>622</v>
      </c>
      <c r="F501" s="36"/>
      <c r="G501" s="34">
        <f>SUM(G502)</f>
        <v>55.2</v>
      </c>
      <c r="H501" s="34">
        <f>SUM(H502)</f>
        <v>55.2</v>
      </c>
      <c r="I501" s="34">
        <f t="shared" si="23"/>
        <v>100</v>
      </c>
    </row>
    <row r="502" spans="1:9" ht="29.25">
      <c r="A502" s="35" t="s">
        <v>263</v>
      </c>
      <c r="B502" s="123"/>
      <c r="C502" s="48" t="s">
        <v>203</v>
      </c>
      <c r="D502" s="48" t="s">
        <v>167</v>
      </c>
      <c r="E502" s="48" t="s">
        <v>623</v>
      </c>
      <c r="F502" s="36"/>
      <c r="G502" s="34">
        <f>SUM(G503:G503)</f>
        <v>55.2</v>
      </c>
      <c r="H502" s="34">
        <f>SUM(H503:H503)</f>
        <v>55.2</v>
      </c>
      <c r="I502" s="34">
        <f t="shared" si="23"/>
        <v>100</v>
      </c>
    </row>
    <row r="503" spans="1:9" ht="15.75">
      <c r="A503" s="52" t="s">
        <v>265</v>
      </c>
      <c r="B503" s="69"/>
      <c r="C503" s="48" t="s">
        <v>203</v>
      </c>
      <c r="D503" s="48" t="s">
        <v>167</v>
      </c>
      <c r="E503" s="48" t="s">
        <v>623</v>
      </c>
      <c r="F503" s="37" t="s">
        <v>266</v>
      </c>
      <c r="G503" s="34">
        <v>55.2</v>
      </c>
      <c r="H503" s="34">
        <v>55.2</v>
      </c>
      <c r="I503" s="34">
        <f t="shared" si="23"/>
        <v>100</v>
      </c>
    </row>
    <row r="504" spans="1:9" ht="15">
      <c r="A504" s="30" t="s">
        <v>625</v>
      </c>
      <c r="B504" s="31"/>
      <c r="C504" s="48" t="s">
        <v>203</v>
      </c>
      <c r="D504" s="48" t="s">
        <v>167</v>
      </c>
      <c r="E504" s="48" t="s">
        <v>626</v>
      </c>
      <c r="F504" s="36"/>
      <c r="G504" s="34">
        <f>SUM(G505)</f>
        <v>315.1</v>
      </c>
      <c r="H504" s="34">
        <f>SUM(H505)</f>
        <v>314.9</v>
      </c>
      <c r="I504" s="34">
        <f t="shared" si="23"/>
        <v>99.93652808632179</v>
      </c>
    </row>
    <row r="505" spans="1:9" ht="29.25">
      <c r="A505" s="35" t="s">
        <v>263</v>
      </c>
      <c r="B505" s="123"/>
      <c r="C505" s="48" t="s">
        <v>203</v>
      </c>
      <c r="D505" s="48" t="s">
        <v>167</v>
      </c>
      <c r="E505" s="48" t="s">
        <v>627</v>
      </c>
      <c r="F505" s="36"/>
      <c r="G505" s="34">
        <f>SUM(G506)</f>
        <v>315.1</v>
      </c>
      <c r="H505" s="34">
        <f>SUM(H506)</f>
        <v>314.9</v>
      </c>
      <c r="I505" s="34">
        <f t="shared" si="23"/>
        <v>99.93652808632179</v>
      </c>
    </row>
    <row r="506" spans="1:9" ht="15.75">
      <c r="A506" s="52" t="s">
        <v>265</v>
      </c>
      <c r="B506" s="69"/>
      <c r="C506" s="48" t="s">
        <v>203</v>
      </c>
      <c r="D506" s="48" t="s">
        <v>167</v>
      </c>
      <c r="E506" s="48" t="s">
        <v>627</v>
      </c>
      <c r="F506" s="37" t="s">
        <v>266</v>
      </c>
      <c r="G506" s="34">
        <v>315.1</v>
      </c>
      <c r="H506" s="34">
        <v>314.9</v>
      </c>
      <c r="I506" s="34">
        <f t="shared" si="23"/>
        <v>99.93652808632179</v>
      </c>
    </row>
    <row r="507" spans="1:9" ht="29.25">
      <c r="A507" s="49" t="s">
        <v>635</v>
      </c>
      <c r="B507" s="54"/>
      <c r="C507" s="43" t="s">
        <v>203</v>
      </c>
      <c r="D507" s="43" t="s">
        <v>237</v>
      </c>
      <c r="E507" s="43"/>
      <c r="F507" s="130"/>
      <c r="G507" s="34">
        <f>SUM(G508+G533)</f>
        <v>43.7</v>
      </c>
      <c r="H507" s="34">
        <f>SUM(H508+H533)</f>
        <v>43.7</v>
      </c>
      <c r="I507" s="34">
        <f t="shared" si="23"/>
        <v>100</v>
      </c>
    </row>
    <row r="508" spans="1:9" ht="71.25" customHeight="1">
      <c r="A508" s="49" t="s">
        <v>591</v>
      </c>
      <c r="B508" s="123"/>
      <c r="C508" s="48" t="s">
        <v>203</v>
      </c>
      <c r="D508" s="48" t="s">
        <v>237</v>
      </c>
      <c r="E508" s="48" t="s">
        <v>592</v>
      </c>
      <c r="F508" s="36"/>
      <c r="G508" s="34">
        <f>SUM(G509)</f>
        <v>43.7</v>
      </c>
      <c r="H508" s="34">
        <f>SUM(H509)</f>
        <v>43.7</v>
      </c>
      <c r="I508" s="34">
        <f t="shared" si="23"/>
        <v>100</v>
      </c>
    </row>
    <row r="509" spans="1:9" ht="29.25">
      <c r="A509" s="35" t="s">
        <v>263</v>
      </c>
      <c r="B509" s="123"/>
      <c r="C509" s="48" t="s">
        <v>203</v>
      </c>
      <c r="D509" s="48" t="s">
        <v>237</v>
      </c>
      <c r="E509" s="48" t="s">
        <v>593</v>
      </c>
      <c r="F509" s="36"/>
      <c r="G509" s="34">
        <f>SUM(G510)</f>
        <v>43.7</v>
      </c>
      <c r="H509" s="34">
        <f>SUM(H510)</f>
        <v>43.7</v>
      </c>
      <c r="I509" s="34">
        <f t="shared" si="23"/>
        <v>100</v>
      </c>
    </row>
    <row r="510" spans="1:9" ht="15.75">
      <c r="A510" s="52" t="s">
        <v>265</v>
      </c>
      <c r="B510" s="69"/>
      <c r="C510" s="48" t="s">
        <v>203</v>
      </c>
      <c r="D510" s="48" t="s">
        <v>237</v>
      </c>
      <c r="E510" s="48" t="s">
        <v>593</v>
      </c>
      <c r="F510" s="37" t="s">
        <v>266</v>
      </c>
      <c r="G510" s="34">
        <v>43.7</v>
      </c>
      <c r="H510" s="34">
        <v>43.7</v>
      </c>
      <c r="I510" s="34">
        <f t="shared" si="23"/>
        <v>100</v>
      </c>
    </row>
    <row r="511" spans="1:9" ht="15">
      <c r="A511" s="30" t="s">
        <v>1055</v>
      </c>
      <c r="B511" s="31"/>
      <c r="C511" s="48" t="s">
        <v>317</v>
      </c>
      <c r="D511" s="48"/>
      <c r="E511" s="48"/>
      <c r="F511" s="36"/>
      <c r="G511" s="34">
        <f>SUM(G512+G516+G528+G534)</f>
        <v>6575.7</v>
      </c>
      <c r="H511" s="34">
        <f>SUM(H512+H516+H528+H534)</f>
        <v>6575.099999999999</v>
      </c>
      <c r="I511" s="34">
        <f t="shared" si="23"/>
        <v>99.9908754961449</v>
      </c>
    </row>
    <row r="512" spans="1:9" ht="15">
      <c r="A512" s="30" t="s">
        <v>647</v>
      </c>
      <c r="B512" s="31"/>
      <c r="C512" s="48" t="s">
        <v>317</v>
      </c>
      <c r="D512" s="48" t="s">
        <v>167</v>
      </c>
      <c r="E512" s="48"/>
      <c r="F512" s="36"/>
      <c r="G512" s="34">
        <f>SUM(G513)</f>
        <v>2806</v>
      </c>
      <c r="H512" s="34">
        <f>SUM(H513)</f>
        <v>2807.1</v>
      </c>
      <c r="I512" s="34">
        <f t="shared" si="23"/>
        <v>100.0392017106201</v>
      </c>
    </row>
    <row r="513" spans="1:9" ht="15">
      <c r="A513" s="30" t="s">
        <v>651</v>
      </c>
      <c r="B513" s="31"/>
      <c r="C513" s="48" t="s">
        <v>317</v>
      </c>
      <c r="D513" s="48" t="s">
        <v>167</v>
      </c>
      <c r="E513" s="48" t="s">
        <v>652</v>
      </c>
      <c r="F513" s="36"/>
      <c r="G513" s="34">
        <f>SUM(G514)</f>
        <v>2806</v>
      </c>
      <c r="H513" s="34">
        <f>SUM(H514)</f>
        <v>2807.1</v>
      </c>
      <c r="I513" s="34">
        <f t="shared" si="23"/>
        <v>100.0392017106201</v>
      </c>
    </row>
    <row r="514" spans="1:9" ht="28.5">
      <c r="A514" s="35" t="s">
        <v>263</v>
      </c>
      <c r="B514" s="31"/>
      <c r="C514" s="48" t="s">
        <v>317</v>
      </c>
      <c r="D514" s="48" t="s">
        <v>167</v>
      </c>
      <c r="E514" s="48" t="s">
        <v>653</v>
      </c>
      <c r="F514" s="36"/>
      <c r="G514" s="34">
        <f>SUM(G515:G515)</f>
        <v>2806</v>
      </c>
      <c r="H514" s="34">
        <f>SUM(H515:H515)</f>
        <v>2807.1</v>
      </c>
      <c r="I514" s="34">
        <f t="shared" si="23"/>
        <v>100.0392017106201</v>
      </c>
    </row>
    <row r="515" spans="1:9" ht="15">
      <c r="A515" s="52" t="s">
        <v>265</v>
      </c>
      <c r="B515" s="31"/>
      <c r="C515" s="48" t="s">
        <v>654</v>
      </c>
      <c r="D515" s="48" t="s">
        <v>167</v>
      </c>
      <c r="E515" s="48" t="s">
        <v>653</v>
      </c>
      <c r="F515" s="36" t="s">
        <v>266</v>
      </c>
      <c r="G515" s="34">
        <v>2806</v>
      </c>
      <c r="H515" s="34">
        <v>2807.1</v>
      </c>
      <c r="I515" s="34">
        <f t="shared" si="23"/>
        <v>100.0392017106201</v>
      </c>
    </row>
    <row r="516" spans="1:9" ht="15">
      <c r="A516" s="30" t="s">
        <v>658</v>
      </c>
      <c r="B516" s="31"/>
      <c r="C516" s="48" t="s">
        <v>317</v>
      </c>
      <c r="D516" s="48" t="s">
        <v>169</v>
      </c>
      <c r="E516" s="48"/>
      <c r="F516" s="36"/>
      <c r="G516" s="34">
        <f>SUM(G517+G520+G524)</f>
        <v>3139.5</v>
      </c>
      <c r="H516" s="34">
        <f>SUM(H517+H520+H524)</f>
        <v>3138.1</v>
      </c>
      <c r="I516" s="34">
        <f t="shared" si="23"/>
        <v>99.95540691192865</v>
      </c>
    </row>
    <row r="517" spans="1:9" ht="15">
      <c r="A517" s="30" t="s">
        <v>651</v>
      </c>
      <c r="B517" s="31"/>
      <c r="C517" s="48" t="s">
        <v>317</v>
      </c>
      <c r="D517" s="48" t="s">
        <v>169</v>
      </c>
      <c r="E517" s="48" t="s">
        <v>652</v>
      </c>
      <c r="F517" s="36"/>
      <c r="G517" s="34">
        <f>SUM(G518)</f>
        <v>2739.3</v>
      </c>
      <c r="H517" s="34">
        <f>SUM(H518)</f>
        <v>2738.1</v>
      </c>
      <c r="I517" s="34">
        <f t="shared" si="23"/>
        <v>99.95619318804073</v>
      </c>
    </row>
    <row r="518" spans="1:9" ht="28.5">
      <c r="A518" s="35" t="s">
        <v>263</v>
      </c>
      <c r="B518" s="31"/>
      <c r="C518" s="48" t="s">
        <v>317</v>
      </c>
      <c r="D518" s="48" t="s">
        <v>169</v>
      </c>
      <c r="E518" s="48" t="s">
        <v>653</v>
      </c>
      <c r="F518" s="36"/>
      <c r="G518" s="34">
        <f>SUM(G519:G519)</f>
        <v>2739.3</v>
      </c>
      <c r="H518" s="34">
        <f>SUM(H519:H519)</f>
        <v>2738.1</v>
      </c>
      <c r="I518" s="34">
        <f t="shared" si="23"/>
        <v>99.95619318804073</v>
      </c>
    </row>
    <row r="519" spans="1:9" ht="18" customHeight="1">
      <c r="A519" s="52" t="s">
        <v>265</v>
      </c>
      <c r="B519" s="31"/>
      <c r="C519" s="48" t="s">
        <v>317</v>
      </c>
      <c r="D519" s="48" t="s">
        <v>169</v>
      </c>
      <c r="E519" s="48" t="s">
        <v>653</v>
      </c>
      <c r="F519" s="36" t="s">
        <v>266</v>
      </c>
      <c r="G519" s="34">
        <v>2739.3</v>
      </c>
      <c r="H519" s="34">
        <v>2738.1</v>
      </c>
      <c r="I519" s="34">
        <f t="shared" si="23"/>
        <v>99.95619318804073</v>
      </c>
    </row>
    <row r="520" spans="1:9" ht="28.5">
      <c r="A520" s="30" t="s">
        <v>659</v>
      </c>
      <c r="B520" s="31"/>
      <c r="C520" s="48" t="s">
        <v>317</v>
      </c>
      <c r="D520" s="48" t="s">
        <v>169</v>
      </c>
      <c r="E520" s="48" t="s">
        <v>660</v>
      </c>
      <c r="F520" s="36"/>
      <c r="G520" s="34">
        <f>SUM(G521)</f>
        <v>361.1</v>
      </c>
      <c r="H520" s="34">
        <f>SUM(H521)</f>
        <v>360.9</v>
      </c>
      <c r="I520" s="34">
        <f t="shared" si="23"/>
        <v>99.94461368042093</v>
      </c>
    </row>
    <row r="521" spans="1:9" ht="28.5">
      <c r="A521" s="35" t="s">
        <v>263</v>
      </c>
      <c r="B521" s="31"/>
      <c r="C521" s="48" t="s">
        <v>317</v>
      </c>
      <c r="D521" s="48" t="s">
        <v>169</v>
      </c>
      <c r="E521" s="48" t="s">
        <v>661</v>
      </c>
      <c r="F521" s="36"/>
      <c r="G521" s="34">
        <f>SUM(G522:G523)</f>
        <v>361.1</v>
      </c>
      <c r="H521" s="34">
        <f>SUM(H522:H523)</f>
        <v>360.9</v>
      </c>
      <c r="I521" s="34">
        <f t="shared" si="23"/>
        <v>99.94461368042093</v>
      </c>
    </row>
    <row r="522" spans="1:9" ht="16.5" customHeight="1">
      <c r="A522" s="52" t="s">
        <v>265</v>
      </c>
      <c r="B522" s="31"/>
      <c r="C522" s="48" t="s">
        <v>317</v>
      </c>
      <c r="D522" s="48" t="s">
        <v>169</v>
      </c>
      <c r="E522" s="48" t="s">
        <v>661</v>
      </c>
      <c r="F522" s="36" t="s">
        <v>266</v>
      </c>
      <c r="G522" s="34">
        <v>361.1</v>
      </c>
      <c r="H522" s="34">
        <v>360.9</v>
      </c>
      <c r="I522" s="34">
        <f t="shared" si="23"/>
        <v>99.94461368042093</v>
      </c>
    </row>
    <row r="523" spans="1:9" ht="0.75" customHeight="1" hidden="1">
      <c r="A523" s="35" t="s">
        <v>508</v>
      </c>
      <c r="B523" s="31"/>
      <c r="C523" s="48" t="s">
        <v>317</v>
      </c>
      <c r="D523" s="48" t="s">
        <v>169</v>
      </c>
      <c r="E523" s="48" t="s">
        <v>661</v>
      </c>
      <c r="F523" s="36" t="s">
        <v>662</v>
      </c>
      <c r="G523" s="34"/>
      <c r="H523" s="34"/>
      <c r="I523" s="34" t="e">
        <f t="shared" si="23"/>
        <v>#DIV/0!</v>
      </c>
    </row>
    <row r="524" spans="1:9" ht="15">
      <c r="A524" s="30" t="s">
        <v>663</v>
      </c>
      <c r="B524" s="31"/>
      <c r="C524" s="48" t="s">
        <v>317</v>
      </c>
      <c r="D524" s="48" t="s">
        <v>169</v>
      </c>
      <c r="E524" s="48" t="s">
        <v>664</v>
      </c>
      <c r="F524" s="36"/>
      <c r="G524" s="34">
        <f>SUM(G525)</f>
        <v>39.1</v>
      </c>
      <c r="H524" s="34">
        <f>SUM(H525)</f>
        <v>39.1</v>
      </c>
      <c r="I524" s="34">
        <f t="shared" si="23"/>
        <v>100</v>
      </c>
    </row>
    <row r="525" spans="1:9" ht="28.5">
      <c r="A525" s="35" t="s">
        <v>263</v>
      </c>
      <c r="B525" s="31"/>
      <c r="C525" s="48" t="s">
        <v>317</v>
      </c>
      <c r="D525" s="48" t="s">
        <v>169</v>
      </c>
      <c r="E525" s="48" t="s">
        <v>665</v>
      </c>
      <c r="F525" s="36"/>
      <c r="G525" s="34">
        <f>SUM(G526:G526)</f>
        <v>39.1</v>
      </c>
      <c r="H525" s="34">
        <f>SUM(H526:H526)</f>
        <v>39.1</v>
      </c>
      <c r="I525" s="34">
        <f t="shared" si="23"/>
        <v>100</v>
      </c>
    </row>
    <row r="526" spans="1:9" ht="14.25" customHeight="1">
      <c r="A526" s="52" t="s">
        <v>265</v>
      </c>
      <c r="B526" s="31"/>
      <c r="C526" s="48" t="s">
        <v>317</v>
      </c>
      <c r="D526" s="48" t="s">
        <v>169</v>
      </c>
      <c r="E526" s="48" t="s">
        <v>665</v>
      </c>
      <c r="F526" s="36" t="s">
        <v>266</v>
      </c>
      <c r="G526" s="34">
        <v>39.1</v>
      </c>
      <c r="H526" s="34">
        <v>39.1</v>
      </c>
      <c r="I526" s="34">
        <f t="shared" si="23"/>
        <v>100</v>
      </c>
    </row>
    <row r="527" spans="1:9" ht="58.5" customHeight="1" hidden="1">
      <c r="A527" s="35" t="s">
        <v>508</v>
      </c>
      <c r="B527" s="31"/>
      <c r="C527" s="48" t="s">
        <v>317</v>
      </c>
      <c r="D527" s="48" t="s">
        <v>177</v>
      </c>
      <c r="E527" s="48" t="s">
        <v>661</v>
      </c>
      <c r="F527" s="36" t="s">
        <v>662</v>
      </c>
      <c r="G527" s="34"/>
      <c r="H527" s="34"/>
      <c r="I527" s="34" t="e">
        <f t="shared" si="23"/>
        <v>#DIV/0!</v>
      </c>
    </row>
    <row r="528" spans="1:9" ht="15">
      <c r="A528" s="52" t="s">
        <v>670</v>
      </c>
      <c r="B528" s="31"/>
      <c r="C528" s="48" t="s">
        <v>317</v>
      </c>
      <c r="D528" s="48" t="s">
        <v>201</v>
      </c>
      <c r="E528" s="48"/>
      <c r="F528" s="36"/>
      <c r="G528" s="34">
        <f>SUM(G529)</f>
        <v>554.3</v>
      </c>
      <c r="H528" s="34">
        <f>SUM(H529)</f>
        <v>554</v>
      </c>
      <c r="I528" s="34">
        <f aca="true" t="shared" si="25" ref="I528:I591">SUM(H528/G528*100)</f>
        <v>99.94587768356486</v>
      </c>
    </row>
    <row r="529" spans="1:9" ht="15">
      <c r="A529" s="30" t="s">
        <v>671</v>
      </c>
      <c r="B529" s="31"/>
      <c r="C529" s="48" t="s">
        <v>317</v>
      </c>
      <c r="D529" s="48" t="s">
        <v>201</v>
      </c>
      <c r="E529" s="48" t="s">
        <v>672</v>
      </c>
      <c r="F529" s="36"/>
      <c r="G529" s="34">
        <f>SUM(G530)</f>
        <v>554.3</v>
      </c>
      <c r="H529" s="34">
        <f>SUM(H530)</f>
        <v>554</v>
      </c>
      <c r="I529" s="34">
        <f t="shared" si="25"/>
        <v>99.94587768356486</v>
      </c>
    </row>
    <row r="530" spans="1:9" ht="28.5">
      <c r="A530" s="35" t="s">
        <v>263</v>
      </c>
      <c r="B530" s="31"/>
      <c r="C530" s="48" t="s">
        <v>317</v>
      </c>
      <c r="D530" s="48" t="s">
        <v>201</v>
      </c>
      <c r="E530" s="48" t="s">
        <v>673</v>
      </c>
      <c r="F530" s="36"/>
      <c r="G530" s="34">
        <f>SUM(G531:G531)</f>
        <v>554.3</v>
      </c>
      <c r="H530" s="34">
        <f>SUM(H531:H531)</f>
        <v>554</v>
      </c>
      <c r="I530" s="34">
        <f t="shared" si="25"/>
        <v>99.94587768356486</v>
      </c>
    </row>
    <row r="531" spans="1:9" ht="14.25" customHeight="1">
      <c r="A531" s="52" t="s">
        <v>265</v>
      </c>
      <c r="B531" s="31"/>
      <c r="C531" s="48" t="s">
        <v>317</v>
      </c>
      <c r="D531" s="48" t="s">
        <v>201</v>
      </c>
      <c r="E531" s="48" t="s">
        <v>673</v>
      </c>
      <c r="F531" s="36" t="s">
        <v>266</v>
      </c>
      <c r="G531" s="34">
        <v>554.3</v>
      </c>
      <c r="H531" s="34">
        <v>554</v>
      </c>
      <c r="I531" s="34">
        <f t="shared" si="25"/>
        <v>99.94587768356486</v>
      </c>
    </row>
    <row r="532" spans="1:9" ht="15" hidden="1">
      <c r="A532" s="49" t="s">
        <v>331</v>
      </c>
      <c r="B532" s="31"/>
      <c r="C532" s="48" t="s">
        <v>317</v>
      </c>
      <c r="D532" s="48" t="s">
        <v>167</v>
      </c>
      <c r="E532" s="48" t="s">
        <v>1067</v>
      </c>
      <c r="F532" s="33"/>
      <c r="G532" s="34">
        <f>SUM(G533)</f>
        <v>0</v>
      </c>
      <c r="H532" s="34">
        <f>SUM(H533)</f>
        <v>0</v>
      </c>
      <c r="I532" s="34" t="e">
        <f t="shared" si="25"/>
        <v>#DIV/0!</v>
      </c>
    </row>
    <row r="533" spans="1:9" ht="28.5" hidden="1">
      <c r="A533" s="30" t="s">
        <v>521</v>
      </c>
      <c r="B533" s="31"/>
      <c r="C533" s="48" t="s">
        <v>317</v>
      </c>
      <c r="D533" s="48" t="s">
        <v>167</v>
      </c>
      <c r="E533" s="48" t="s">
        <v>1067</v>
      </c>
      <c r="F533" s="33" t="s">
        <v>1068</v>
      </c>
      <c r="G533" s="34"/>
      <c r="H533" s="34"/>
      <c r="I533" s="34" t="e">
        <f t="shared" si="25"/>
        <v>#DIV/0!</v>
      </c>
    </row>
    <row r="534" spans="1:9" ht="28.5">
      <c r="A534" s="214" t="s">
        <v>1069</v>
      </c>
      <c r="B534" s="47"/>
      <c r="C534" s="48" t="s">
        <v>317</v>
      </c>
      <c r="D534" s="48" t="s">
        <v>339</v>
      </c>
      <c r="E534" s="48"/>
      <c r="F534" s="36"/>
      <c r="G534" s="34">
        <f>SUM(G535)</f>
        <v>75.9</v>
      </c>
      <c r="H534" s="34">
        <f>SUM(H535)</f>
        <v>75.9</v>
      </c>
      <c r="I534" s="34">
        <f t="shared" si="25"/>
        <v>100</v>
      </c>
    </row>
    <row r="535" spans="1:9" ht="28.5">
      <c r="A535" s="75" t="s">
        <v>648</v>
      </c>
      <c r="B535" s="31"/>
      <c r="C535" s="48" t="s">
        <v>317</v>
      </c>
      <c r="D535" s="48" t="s">
        <v>339</v>
      </c>
      <c r="E535" s="48" t="s">
        <v>649</v>
      </c>
      <c r="F535" s="36"/>
      <c r="G535" s="34">
        <f>SUM(G536)</f>
        <v>75.9</v>
      </c>
      <c r="H535" s="34">
        <f>SUM(H536)</f>
        <v>75.9</v>
      </c>
      <c r="I535" s="34">
        <f t="shared" si="25"/>
        <v>100</v>
      </c>
    </row>
    <row r="536" spans="1:9" ht="28.5">
      <c r="A536" s="35" t="s">
        <v>263</v>
      </c>
      <c r="B536" s="31"/>
      <c r="C536" s="48" t="s">
        <v>317</v>
      </c>
      <c r="D536" s="48" t="s">
        <v>339</v>
      </c>
      <c r="E536" s="48" t="s">
        <v>650</v>
      </c>
      <c r="F536" s="36"/>
      <c r="G536" s="34">
        <f>SUM(G537:G537)</f>
        <v>75.9</v>
      </c>
      <c r="H536" s="34">
        <f>SUM(H537:H537)</f>
        <v>75.9</v>
      </c>
      <c r="I536" s="34">
        <f t="shared" si="25"/>
        <v>100</v>
      </c>
    </row>
    <row r="537" spans="1:9" ht="14.25" customHeight="1">
      <c r="A537" s="52" t="s">
        <v>265</v>
      </c>
      <c r="B537" s="31"/>
      <c r="C537" s="48" t="s">
        <v>317</v>
      </c>
      <c r="D537" s="48" t="s">
        <v>339</v>
      </c>
      <c r="E537" s="48" t="s">
        <v>650</v>
      </c>
      <c r="F537" s="36" t="s">
        <v>266</v>
      </c>
      <c r="G537" s="34">
        <v>75.9</v>
      </c>
      <c r="H537" s="34">
        <v>75.9</v>
      </c>
      <c r="I537" s="34">
        <f t="shared" si="25"/>
        <v>100</v>
      </c>
    </row>
    <row r="538" spans="1:9" s="111" customFormat="1" ht="15">
      <c r="A538" s="41" t="s">
        <v>693</v>
      </c>
      <c r="B538" s="31"/>
      <c r="C538" s="110" t="s">
        <v>339</v>
      </c>
      <c r="D538" s="110" t="s">
        <v>694</v>
      </c>
      <c r="E538" s="110"/>
      <c r="F538" s="62"/>
      <c r="G538" s="77">
        <f>SUM(G539+G543+G554+G618+G634)</f>
        <v>479967.20000000007</v>
      </c>
      <c r="H538" s="77">
        <f>SUM(H539+H543+H554+H618+H634)</f>
        <v>465055.9</v>
      </c>
      <c r="I538" s="34">
        <f t="shared" si="25"/>
        <v>96.89326687323633</v>
      </c>
    </row>
    <row r="539" spans="1:9" ht="15">
      <c r="A539" s="41" t="s">
        <v>695</v>
      </c>
      <c r="B539" s="31"/>
      <c r="C539" s="110" t="s">
        <v>339</v>
      </c>
      <c r="D539" s="110" t="s">
        <v>167</v>
      </c>
      <c r="E539" s="110"/>
      <c r="F539" s="62"/>
      <c r="G539" s="77">
        <f aca="true" t="shared" si="26" ref="G539:H541">SUM(G540)</f>
        <v>1464.8</v>
      </c>
      <c r="H539" s="77">
        <f t="shared" si="26"/>
        <v>1464.6</v>
      </c>
      <c r="I539" s="34">
        <f t="shared" si="25"/>
        <v>99.98634625887493</v>
      </c>
    </row>
    <row r="540" spans="1:9" ht="28.5">
      <c r="A540" s="96" t="s">
        <v>696</v>
      </c>
      <c r="B540" s="31"/>
      <c r="C540" s="32" t="s">
        <v>339</v>
      </c>
      <c r="D540" s="32" t="s">
        <v>167</v>
      </c>
      <c r="E540" s="32" t="s">
        <v>697</v>
      </c>
      <c r="F540" s="62"/>
      <c r="G540" s="34">
        <f t="shared" si="26"/>
        <v>1464.8</v>
      </c>
      <c r="H540" s="34">
        <f t="shared" si="26"/>
        <v>1464.6</v>
      </c>
      <c r="I540" s="34">
        <f t="shared" si="25"/>
        <v>99.98634625887493</v>
      </c>
    </row>
    <row r="541" spans="1:9" s="107" customFormat="1" ht="42.75">
      <c r="A541" s="96" t="s">
        <v>698</v>
      </c>
      <c r="B541" s="85"/>
      <c r="C541" s="32" t="s">
        <v>339</v>
      </c>
      <c r="D541" s="32" t="s">
        <v>167</v>
      </c>
      <c r="E541" s="32" t="s">
        <v>699</v>
      </c>
      <c r="F541" s="62"/>
      <c r="G541" s="34">
        <f t="shared" si="26"/>
        <v>1464.8</v>
      </c>
      <c r="H541" s="34">
        <f t="shared" si="26"/>
        <v>1464.6</v>
      </c>
      <c r="I541" s="34">
        <f t="shared" si="25"/>
        <v>99.98634625887493</v>
      </c>
    </row>
    <row r="542" spans="1:9" s="111" customFormat="1" ht="18" customHeight="1">
      <c r="A542" s="30" t="s">
        <v>309</v>
      </c>
      <c r="B542" s="31"/>
      <c r="C542" s="32" t="s">
        <v>339</v>
      </c>
      <c r="D542" s="32" t="s">
        <v>167</v>
      </c>
      <c r="E542" s="32" t="s">
        <v>699</v>
      </c>
      <c r="F542" s="62" t="s">
        <v>310</v>
      </c>
      <c r="G542" s="34">
        <v>1464.8</v>
      </c>
      <c r="H542" s="34">
        <v>1464.6</v>
      </c>
      <c r="I542" s="34">
        <f t="shared" si="25"/>
        <v>99.98634625887493</v>
      </c>
    </row>
    <row r="543" spans="1:9" s="111" customFormat="1" ht="15">
      <c r="A543" s="30" t="s">
        <v>700</v>
      </c>
      <c r="B543" s="31"/>
      <c r="C543" s="43" t="s">
        <v>339</v>
      </c>
      <c r="D543" s="43" t="s">
        <v>169</v>
      </c>
      <c r="E543" s="32"/>
      <c r="F543" s="62"/>
      <c r="G543" s="77">
        <f>SUM(G544+G549)</f>
        <v>25010.1</v>
      </c>
      <c r="H543" s="77">
        <f>SUM(H544+H549)</f>
        <v>25009.8</v>
      </c>
      <c r="I543" s="34">
        <f t="shared" si="25"/>
        <v>99.99880048460422</v>
      </c>
    </row>
    <row r="544" spans="1:9" s="124" customFormat="1" ht="20.25" customHeight="1" hidden="1">
      <c r="A544" s="139" t="s">
        <v>701</v>
      </c>
      <c r="B544" s="31"/>
      <c r="C544" s="43" t="s">
        <v>339</v>
      </c>
      <c r="D544" s="43" t="s">
        <v>169</v>
      </c>
      <c r="E544" s="43" t="s">
        <v>702</v>
      </c>
      <c r="F544" s="130"/>
      <c r="G544" s="77"/>
      <c r="H544" s="77"/>
      <c r="I544" s="34" t="e">
        <f t="shared" si="25"/>
        <v>#DIV/0!</v>
      </c>
    </row>
    <row r="545" spans="1:9" ht="42.75" hidden="1">
      <c r="A545" s="139" t="s">
        <v>703</v>
      </c>
      <c r="B545" s="31"/>
      <c r="C545" s="48" t="s">
        <v>339</v>
      </c>
      <c r="D545" s="48" t="s">
        <v>169</v>
      </c>
      <c r="E545" s="48" t="s">
        <v>704</v>
      </c>
      <c r="F545" s="36"/>
      <c r="G545" s="34">
        <f>SUM(G546+G547)</f>
        <v>0</v>
      </c>
      <c r="H545" s="34">
        <f>SUM(H546+H547)</f>
        <v>0</v>
      </c>
      <c r="I545" s="34" t="e">
        <f t="shared" si="25"/>
        <v>#DIV/0!</v>
      </c>
    </row>
    <row r="546" spans="1:9" ht="15" hidden="1">
      <c r="A546" s="46" t="s">
        <v>265</v>
      </c>
      <c r="B546" s="31"/>
      <c r="C546" s="48" t="s">
        <v>339</v>
      </c>
      <c r="D546" s="48" t="s">
        <v>169</v>
      </c>
      <c r="E546" s="48" t="s">
        <v>704</v>
      </c>
      <c r="F546" s="130" t="s">
        <v>266</v>
      </c>
      <c r="G546" s="34"/>
      <c r="H546" s="34"/>
      <c r="I546" s="34" t="e">
        <f t="shared" si="25"/>
        <v>#DIV/0!</v>
      </c>
    </row>
    <row r="547" spans="1:9" ht="33" customHeight="1" hidden="1">
      <c r="A547" s="139" t="s">
        <v>705</v>
      </c>
      <c r="B547" s="31"/>
      <c r="C547" s="48" t="s">
        <v>339</v>
      </c>
      <c r="D547" s="48" t="s">
        <v>169</v>
      </c>
      <c r="E547" s="48" t="s">
        <v>706</v>
      </c>
      <c r="F547" s="36"/>
      <c r="G547" s="34">
        <f>SUM(G548)</f>
        <v>0</v>
      </c>
      <c r="H547" s="34">
        <f>SUM(H548)</f>
        <v>0</v>
      </c>
      <c r="I547" s="34" t="e">
        <f t="shared" si="25"/>
        <v>#DIV/0!</v>
      </c>
    </row>
    <row r="548" spans="1:9" ht="15" hidden="1">
      <c r="A548" s="46" t="s">
        <v>265</v>
      </c>
      <c r="B548" s="31"/>
      <c r="C548" s="48" t="s">
        <v>339</v>
      </c>
      <c r="D548" s="48" t="s">
        <v>169</v>
      </c>
      <c r="E548" s="48" t="s">
        <v>706</v>
      </c>
      <c r="F548" s="130" t="s">
        <v>266</v>
      </c>
      <c r="G548" s="34"/>
      <c r="H548" s="34"/>
      <c r="I548" s="34" t="e">
        <f t="shared" si="25"/>
        <v>#DIV/0!</v>
      </c>
    </row>
    <row r="549" spans="1:9" ht="15">
      <c r="A549" s="139" t="s">
        <v>701</v>
      </c>
      <c r="B549" s="31"/>
      <c r="C549" s="43" t="s">
        <v>339</v>
      </c>
      <c r="D549" s="43" t="s">
        <v>169</v>
      </c>
      <c r="E549" s="43" t="s">
        <v>707</v>
      </c>
      <c r="F549" s="130"/>
      <c r="G549" s="34">
        <f>SUM(G550+G552)</f>
        <v>25010.1</v>
      </c>
      <c r="H549" s="34">
        <f>SUM(H550+H552)</f>
        <v>25009.8</v>
      </c>
      <c r="I549" s="34">
        <f t="shared" si="25"/>
        <v>99.99880048460422</v>
      </c>
    </row>
    <row r="550" spans="1:9" ht="28.5">
      <c r="A550" s="46" t="s">
        <v>705</v>
      </c>
      <c r="B550" s="31"/>
      <c r="C550" s="48" t="s">
        <v>339</v>
      </c>
      <c r="D550" s="48" t="s">
        <v>169</v>
      </c>
      <c r="E550" s="48" t="s">
        <v>708</v>
      </c>
      <c r="F550" s="130"/>
      <c r="G550" s="34">
        <f>SUM(G551)</f>
        <v>1104.5</v>
      </c>
      <c r="H550" s="34">
        <f>SUM(H551)</f>
        <v>1104.2</v>
      </c>
      <c r="I550" s="34">
        <f t="shared" si="25"/>
        <v>99.97283838841105</v>
      </c>
    </row>
    <row r="551" spans="1:9" ht="15">
      <c r="A551" s="46" t="s">
        <v>265</v>
      </c>
      <c r="B551" s="31"/>
      <c r="C551" s="48" t="s">
        <v>339</v>
      </c>
      <c r="D551" s="48" t="s">
        <v>169</v>
      </c>
      <c r="E551" s="48" t="s">
        <v>708</v>
      </c>
      <c r="F551" s="130" t="s">
        <v>266</v>
      </c>
      <c r="G551" s="34">
        <v>1104.5</v>
      </c>
      <c r="H551" s="34">
        <v>1104.2</v>
      </c>
      <c r="I551" s="34">
        <f t="shared" si="25"/>
        <v>99.97283838841105</v>
      </c>
    </row>
    <row r="552" spans="1:9" ht="42.75">
      <c r="A552" s="46" t="s">
        <v>709</v>
      </c>
      <c r="B552" s="31"/>
      <c r="C552" s="48" t="s">
        <v>339</v>
      </c>
      <c r="D552" s="48" t="s">
        <v>169</v>
      </c>
      <c r="E552" s="48" t="s">
        <v>710</v>
      </c>
      <c r="F552" s="130"/>
      <c r="G552" s="34">
        <f>SUM(G553)</f>
        <v>23905.6</v>
      </c>
      <c r="H552" s="34">
        <f>SUM(H553)</f>
        <v>23905.6</v>
      </c>
      <c r="I552" s="34">
        <f t="shared" si="25"/>
        <v>100</v>
      </c>
    </row>
    <row r="553" spans="1:9" ht="15">
      <c r="A553" s="46" t="s">
        <v>265</v>
      </c>
      <c r="B553" s="31"/>
      <c r="C553" s="48" t="s">
        <v>339</v>
      </c>
      <c r="D553" s="48" t="s">
        <v>169</v>
      </c>
      <c r="E553" s="48" t="s">
        <v>710</v>
      </c>
      <c r="F553" s="130" t="s">
        <v>266</v>
      </c>
      <c r="G553" s="34">
        <v>23905.6</v>
      </c>
      <c r="H553" s="34">
        <v>23905.6</v>
      </c>
      <c r="I553" s="34">
        <f t="shared" si="25"/>
        <v>100</v>
      </c>
    </row>
    <row r="554" spans="1:9" ht="15">
      <c r="A554" s="41" t="s">
        <v>711</v>
      </c>
      <c r="B554" s="31"/>
      <c r="C554" s="110" t="s">
        <v>339</v>
      </c>
      <c r="D554" s="110" t="s">
        <v>177</v>
      </c>
      <c r="E554" s="110"/>
      <c r="F554" s="62"/>
      <c r="G554" s="77">
        <f>SUM(G555+G612)</f>
        <v>401876.50000000006</v>
      </c>
      <c r="H554" s="77">
        <f>SUM(H555+H612)</f>
        <v>393898.5</v>
      </c>
      <c r="I554" s="34">
        <f t="shared" si="25"/>
        <v>98.01481300847398</v>
      </c>
    </row>
    <row r="555" spans="1:9" ht="15">
      <c r="A555" s="30" t="s">
        <v>717</v>
      </c>
      <c r="B555" s="31"/>
      <c r="C555" s="32" t="s">
        <v>339</v>
      </c>
      <c r="D555" s="32" t="s">
        <v>177</v>
      </c>
      <c r="E555" s="32" t="s">
        <v>718</v>
      </c>
      <c r="F555" s="33"/>
      <c r="G555" s="34">
        <f>SUM(G556+G558+G560+G566+G568+G579+G585+G589+G591+G610+G571+G573+G575+G577+G581+G583+G587)</f>
        <v>398692.60000000003</v>
      </c>
      <c r="H555" s="34">
        <f>SUM(H556+H558+H560+H566+H568+H579+H585+H589+H591+H610+H571+H573+H575+H577+H581+H583+H587)</f>
        <v>390611.2</v>
      </c>
      <c r="I555" s="34">
        <f t="shared" si="25"/>
        <v>97.97302483166229</v>
      </c>
    </row>
    <row r="556" spans="1:9" ht="63.75" customHeight="1" hidden="1">
      <c r="A556" s="140" t="s">
        <v>719</v>
      </c>
      <c r="B556" s="31"/>
      <c r="C556" s="32" t="s">
        <v>339</v>
      </c>
      <c r="D556" s="32" t="s">
        <v>177</v>
      </c>
      <c r="E556" s="32" t="s">
        <v>720</v>
      </c>
      <c r="F556" s="33"/>
      <c r="G556" s="34">
        <f>SUM(G557:G557)</f>
        <v>0</v>
      </c>
      <c r="H556" s="34">
        <f>SUM(H557:H557)</f>
        <v>0</v>
      </c>
      <c r="I556" s="34" t="e">
        <f t="shared" si="25"/>
        <v>#DIV/0!</v>
      </c>
    </row>
    <row r="557" spans="1:9" ht="15" hidden="1">
      <c r="A557" s="30" t="s">
        <v>309</v>
      </c>
      <c r="B557" s="31"/>
      <c r="C557" s="32" t="s">
        <v>339</v>
      </c>
      <c r="D557" s="32" t="s">
        <v>177</v>
      </c>
      <c r="E557" s="32" t="s">
        <v>720</v>
      </c>
      <c r="F557" s="33" t="s">
        <v>310</v>
      </c>
      <c r="G557" s="34"/>
      <c r="H557" s="34"/>
      <c r="I557" s="34" t="e">
        <f t="shared" si="25"/>
        <v>#DIV/0!</v>
      </c>
    </row>
    <row r="558" spans="1:9" ht="57" hidden="1">
      <c r="A558" s="30" t="s">
        <v>721</v>
      </c>
      <c r="B558" s="31"/>
      <c r="C558" s="32" t="s">
        <v>339</v>
      </c>
      <c r="D558" s="32" t="s">
        <v>177</v>
      </c>
      <c r="E558" s="32" t="s">
        <v>722</v>
      </c>
      <c r="F558" s="33"/>
      <c r="G558" s="34">
        <f>SUM(G559:G559)</f>
        <v>0</v>
      </c>
      <c r="H558" s="34">
        <f>SUM(H559:H559)</f>
        <v>0</v>
      </c>
      <c r="I558" s="34" t="e">
        <f t="shared" si="25"/>
        <v>#DIV/0!</v>
      </c>
    </row>
    <row r="559" spans="1:9" ht="15" hidden="1">
      <c r="A559" s="30" t="s">
        <v>309</v>
      </c>
      <c r="B559" s="31"/>
      <c r="C559" s="32" t="s">
        <v>339</v>
      </c>
      <c r="D559" s="32" t="s">
        <v>177</v>
      </c>
      <c r="E559" s="32" t="s">
        <v>722</v>
      </c>
      <c r="F559" s="33" t="s">
        <v>310</v>
      </c>
      <c r="G559" s="34"/>
      <c r="H559" s="34"/>
      <c r="I559" s="34" t="e">
        <f t="shared" si="25"/>
        <v>#DIV/0!</v>
      </c>
    </row>
    <row r="560" spans="1:9" ht="57" hidden="1">
      <c r="A560" s="30" t="s">
        <v>723</v>
      </c>
      <c r="B560" s="39"/>
      <c r="C560" s="48" t="s">
        <v>339</v>
      </c>
      <c r="D560" s="32" t="s">
        <v>177</v>
      </c>
      <c r="E560" s="32" t="s">
        <v>724</v>
      </c>
      <c r="F560" s="33"/>
      <c r="G560" s="34">
        <f>SUM(G561)</f>
        <v>0</v>
      </c>
      <c r="H560" s="34">
        <f>SUM(H561)</f>
        <v>0</v>
      </c>
      <c r="I560" s="34" t="e">
        <f t="shared" si="25"/>
        <v>#DIV/0!</v>
      </c>
    </row>
    <row r="561" spans="1:9" ht="15" hidden="1">
      <c r="A561" s="30" t="s">
        <v>309</v>
      </c>
      <c r="B561" s="39"/>
      <c r="C561" s="48" t="s">
        <v>339</v>
      </c>
      <c r="D561" s="32" t="s">
        <v>177</v>
      </c>
      <c r="E561" s="32" t="s">
        <v>724</v>
      </c>
      <c r="F561" s="33" t="s">
        <v>310</v>
      </c>
      <c r="G561" s="34"/>
      <c r="H561" s="34"/>
      <c r="I561" s="34" t="e">
        <f t="shared" si="25"/>
        <v>#DIV/0!</v>
      </c>
    </row>
    <row r="562" spans="1:9" ht="71.25" hidden="1">
      <c r="A562" s="30" t="s">
        <v>725</v>
      </c>
      <c r="B562" s="39"/>
      <c r="C562" s="48" t="s">
        <v>339</v>
      </c>
      <c r="D562" s="32" t="s">
        <v>177</v>
      </c>
      <c r="E562" s="32" t="s">
        <v>726</v>
      </c>
      <c r="F562" s="33"/>
      <c r="G562" s="34">
        <f>SUM(G563)</f>
        <v>0</v>
      </c>
      <c r="H562" s="34">
        <f>SUM(H563)</f>
        <v>0</v>
      </c>
      <c r="I562" s="34" t="e">
        <f t="shared" si="25"/>
        <v>#DIV/0!</v>
      </c>
    </row>
    <row r="563" spans="1:9" ht="15" hidden="1">
      <c r="A563" s="30" t="s">
        <v>309</v>
      </c>
      <c r="B563" s="39"/>
      <c r="C563" s="48" t="s">
        <v>339</v>
      </c>
      <c r="D563" s="32" t="s">
        <v>177</v>
      </c>
      <c r="E563" s="32" t="s">
        <v>726</v>
      </c>
      <c r="F563" s="33" t="s">
        <v>310</v>
      </c>
      <c r="G563" s="34"/>
      <c r="H563" s="34"/>
      <c r="I563" s="34" t="e">
        <f t="shared" si="25"/>
        <v>#DIV/0!</v>
      </c>
    </row>
    <row r="564" spans="1:9" ht="85.5" hidden="1">
      <c r="A564" s="30" t="s">
        <v>727</v>
      </c>
      <c r="B564" s="39"/>
      <c r="C564" s="48" t="s">
        <v>339</v>
      </c>
      <c r="D564" s="32" t="s">
        <v>177</v>
      </c>
      <c r="E564" s="32" t="s">
        <v>728</v>
      </c>
      <c r="F564" s="33"/>
      <c r="G564" s="34">
        <f>SUM(G565)</f>
        <v>0</v>
      </c>
      <c r="H564" s="34">
        <f>SUM(H565)</f>
        <v>0</v>
      </c>
      <c r="I564" s="34" t="e">
        <f t="shared" si="25"/>
        <v>#DIV/0!</v>
      </c>
    </row>
    <row r="565" spans="1:9" ht="15" hidden="1">
      <c r="A565" s="30" t="s">
        <v>309</v>
      </c>
      <c r="B565" s="39"/>
      <c r="C565" s="48" t="s">
        <v>339</v>
      </c>
      <c r="D565" s="32" t="s">
        <v>177</v>
      </c>
      <c r="E565" s="32" t="s">
        <v>728</v>
      </c>
      <c r="F565" s="33" t="s">
        <v>310</v>
      </c>
      <c r="G565" s="34"/>
      <c r="H565" s="34"/>
      <c r="I565" s="34" t="e">
        <f t="shared" si="25"/>
        <v>#DIV/0!</v>
      </c>
    </row>
    <row r="566" spans="1:9" s="124" customFormat="1" ht="85.5">
      <c r="A566" s="49" t="s">
        <v>729</v>
      </c>
      <c r="B566" s="31"/>
      <c r="C566" s="48" t="s">
        <v>339</v>
      </c>
      <c r="D566" s="32" t="s">
        <v>177</v>
      </c>
      <c r="E566" s="32" t="s">
        <v>730</v>
      </c>
      <c r="F566" s="33"/>
      <c r="G566" s="34">
        <f>SUM(G567)</f>
        <v>1370.4</v>
      </c>
      <c r="H566" s="34">
        <f>SUM(H567)</f>
        <v>1370.4</v>
      </c>
      <c r="I566" s="34">
        <f t="shared" si="25"/>
        <v>100</v>
      </c>
    </row>
    <row r="567" spans="1:9" s="124" customFormat="1" ht="15">
      <c r="A567" s="30" t="s">
        <v>309</v>
      </c>
      <c r="B567" s="31"/>
      <c r="C567" s="48" t="s">
        <v>339</v>
      </c>
      <c r="D567" s="32" t="s">
        <v>177</v>
      </c>
      <c r="E567" s="32" t="s">
        <v>730</v>
      </c>
      <c r="F567" s="33" t="s">
        <v>310</v>
      </c>
      <c r="G567" s="34">
        <v>1370.4</v>
      </c>
      <c r="H567" s="34">
        <v>1370.4</v>
      </c>
      <c r="I567" s="34">
        <f t="shared" si="25"/>
        <v>100</v>
      </c>
    </row>
    <row r="568" spans="1:9" s="124" customFormat="1" ht="42.75">
      <c r="A568" s="141" t="s">
        <v>731</v>
      </c>
      <c r="B568" s="31"/>
      <c r="C568" s="48" t="s">
        <v>339</v>
      </c>
      <c r="D568" s="32" t="s">
        <v>177</v>
      </c>
      <c r="E568" s="32" t="s">
        <v>732</v>
      </c>
      <c r="F568" s="33"/>
      <c r="G568" s="34">
        <f>SUM(G569)</f>
        <v>7516</v>
      </c>
      <c r="H568" s="34">
        <f>SUM(H569)</f>
        <v>8367.6</v>
      </c>
      <c r="I568" s="34">
        <f t="shared" si="25"/>
        <v>111.33049494411922</v>
      </c>
    </row>
    <row r="569" spans="1:9" s="124" customFormat="1" ht="18" customHeight="1">
      <c r="A569" s="30" t="s">
        <v>309</v>
      </c>
      <c r="B569" s="31"/>
      <c r="C569" s="48" t="s">
        <v>339</v>
      </c>
      <c r="D569" s="32" t="s">
        <v>177</v>
      </c>
      <c r="E569" s="32" t="s">
        <v>732</v>
      </c>
      <c r="F569" s="33" t="s">
        <v>310</v>
      </c>
      <c r="G569" s="34">
        <v>7516</v>
      </c>
      <c r="H569" s="34">
        <v>8367.6</v>
      </c>
      <c r="I569" s="34">
        <f t="shared" si="25"/>
        <v>111.33049494411922</v>
      </c>
    </row>
    <row r="570" spans="1:9" s="124" customFormat="1" ht="37.5" customHeight="1" hidden="1">
      <c r="A570" s="30"/>
      <c r="B570" s="31"/>
      <c r="C570" s="48"/>
      <c r="D570" s="32"/>
      <c r="E570" s="32"/>
      <c r="F570" s="33"/>
      <c r="G570" s="34"/>
      <c r="H570" s="34"/>
      <c r="I570" s="34" t="e">
        <f t="shared" si="25"/>
        <v>#DIV/0!</v>
      </c>
    </row>
    <row r="571" spans="1:9" s="124" customFormat="1" ht="75.75" customHeight="1">
      <c r="A571" s="30" t="s">
        <v>733</v>
      </c>
      <c r="B571" s="31"/>
      <c r="C571" s="48" t="s">
        <v>339</v>
      </c>
      <c r="D571" s="32" t="s">
        <v>177</v>
      </c>
      <c r="E571" s="32" t="s">
        <v>734</v>
      </c>
      <c r="F571" s="33"/>
      <c r="G571" s="34">
        <f>SUM(G572)</f>
        <v>21632.6</v>
      </c>
      <c r="H571" s="34">
        <f>SUM(H572)</f>
        <v>21632.6</v>
      </c>
      <c r="I571" s="34">
        <f t="shared" si="25"/>
        <v>100</v>
      </c>
    </row>
    <row r="572" spans="1:9" s="124" customFormat="1" ht="19.5" customHeight="1">
      <c r="A572" s="30" t="s">
        <v>309</v>
      </c>
      <c r="B572" s="31"/>
      <c r="C572" s="48" t="s">
        <v>339</v>
      </c>
      <c r="D572" s="32" t="s">
        <v>177</v>
      </c>
      <c r="E572" s="32" t="s">
        <v>734</v>
      </c>
      <c r="F572" s="33" t="s">
        <v>310</v>
      </c>
      <c r="G572" s="34">
        <v>21632.6</v>
      </c>
      <c r="H572" s="34">
        <v>21632.6</v>
      </c>
      <c r="I572" s="34">
        <f t="shared" si="25"/>
        <v>100</v>
      </c>
    </row>
    <row r="573" spans="1:9" s="124" customFormat="1" ht="88.5" customHeight="1">
      <c r="A573" s="30" t="s">
        <v>131</v>
      </c>
      <c r="B573" s="31"/>
      <c r="C573" s="48" t="s">
        <v>339</v>
      </c>
      <c r="D573" s="32" t="s">
        <v>177</v>
      </c>
      <c r="E573" s="32" t="s">
        <v>736</v>
      </c>
      <c r="F573" s="33"/>
      <c r="G573" s="34">
        <f>SUM(G574)</f>
        <v>42799.8</v>
      </c>
      <c r="H573" s="34">
        <f>SUM(H574)</f>
        <v>42799.8</v>
      </c>
      <c r="I573" s="34">
        <f t="shared" si="25"/>
        <v>100</v>
      </c>
    </row>
    <row r="574" spans="1:9" s="124" customFormat="1" ht="19.5" customHeight="1">
      <c r="A574" s="30" t="s">
        <v>309</v>
      </c>
      <c r="B574" s="31"/>
      <c r="C574" s="48" t="s">
        <v>339</v>
      </c>
      <c r="D574" s="32" t="s">
        <v>177</v>
      </c>
      <c r="E574" s="32" t="s">
        <v>736</v>
      </c>
      <c r="F574" s="33" t="s">
        <v>310</v>
      </c>
      <c r="G574" s="34">
        <v>42799.8</v>
      </c>
      <c r="H574" s="34">
        <v>42799.8</v>
      </c>
      <c r="I574" s="34">
        <f t="shared" si="25"/>
        <v>100</v>
      </c>
    </row>
    <row r="575" spans="1:9" s="124" customFormat="1" ht="60" customHeight="1">
      <c r="A575" s="30" t="s">
        <v>737</v>
      </c>
      <c r="B575" s="31"/>
      <c r="C575" s="48" t="s">
        <v>339</v>
      </c>
      <c r="D575" s="32" t="s">
        <v>177</v>
      </c>
      <c r="E575" s="32" t="s">
        <v>738</v>
      </c>
      <c r="F575" s="33"/>
      <c r="G575" s="34">
        <f>SUM(G576)</f>
        <v>7098.4</v>
      </c>
      <c r="H575" s="34">
        <f>SUM(H576)</f>
        <v>5390.2</v>
      </c>
      <c r="I575" s="34">
        <f t="shared" si="25"/>
        <v>75.93542206694467</v>
      </c>
    </row>
    <row r="576" spans="1:9" s="124" customFormat="1" ht="19.5" customHeight="1">
      <c r="A576" s="30" t="s">
        <v>309</v>
      </c>
      <c r="B576" s="31"/>
      <c r="C576" s="48" t="s">
        <v>339</v>
      </c>
      <c r="D576" s="32" t="s">
        <v>177</v>
      </c>
      <c r="E576" s="32" t="s">
        <v>738</v>
      </c>
      <c r="F576" s="33" t="s">
        <v>310</v>
      </c>
      <c r="G576" s="34">
        <v>7098.4</v>
      </c>
      <c r="H576" s="34">
        <v>5390.2</v>
      </c>
      <c r="I576" s="34">
        <f t="shared" si="25"/>
        <v>75.93542206694467</v>
      </c>
    </row>
    <row r="577" spans="1:9" s="124" customFormat="1" ht="44.25" customHeight="1">
      <c r="A577" s="30" t="s">
        <v>721</v>
      </c>
      <c r="B577" s="31"/>
      <c r="C577" s="48" t="s">
        <v>339</v>
      </c>
      <c r="D577" s="32" t="s">
        <v>177</v>
      </c>
      <c r="E577" s="32" t="s">
        <v>739</v>
      </c>
      <c r="F577" s="33"/>
      <c r="G577" s="34">
        <f>SUM(G578)</f>
        <v>1562</v>
      </c>
      <c r="H577" s="34">
        <f>SUM(H578)</f>
        <v>1317.4</v>
      </c>
      <c r="I577" s="34">
        <f t="shared" si="25"/>
        <v>84.34058898847631</v>
      </c>
    </row>
    <row r="578" spans="1:9" s="124" customFormat="1" ht="19.5" customHeight="1">
      <c r="A578" s="30" t="s">
        <v>309</v>
      </c>
      <c r="B578" s="31"/>
      <c r="C578" s="48" t="s">
        <v>339</v>
      </c>
      <c r="D578" s="32" t="s">
        <v>177</v>
      </c>
      <c r="E578" s="32" t="s">
        <v>739</v>
      </c>
      <c r="F578" s="33" t="s">
        <v>310</v>
      </c>
      <c r="G578" s="34">
        <v>1562</v>
      </c>
      <c r="H578" s="34">
        <v>1317.4</v>
      </c>
      <c r="I578" s="34">
        <f t="shared" si="25"/>
        <v>84.34058898847631</v>
      </c>
    </row>
    <row r="579" spans="1:9" ht="18" customHeight="1">
      <c r="A579" s="140" t="s">
        <v>740</v>
      </c>
      <c r="B579" s="109"/>
      <c r="C579" s="70" t="s">
        <v>339</v>
      </c>
      <c r="D579" s="70" t="s">
        <v>177</v>
      </c>
      <c r="E579" s="70" t="s">
        <v>741</v>
      </c>
      <c r="F579" s="37"/>
      <c r="G579" s="34">
        <f>SUM(G580)</f>
        <v>2053.9</v>
      </c>
      <c r="H579" s="34">
        <f>SUM(H580)</f>
        <v>1984.4</v>
      </c>
      <c r="I579" s="34">
        <f t="shared" si="25"/>
        <v>96.61619358293977</v>
      </c>
    </row>
    <row r="580" spans="1:9" ht="16.5" customHeight="1">
      <c r="A580" s="30" t="s">
        <v>309</v>
      </c>
      <c r="B580" s="109"/>
      <c r="C580" s="70" t="s">
        <v>339</v>
      </c>
      <c r="D580" s="70" t="s">
        <v>177</v>
      </c>
      <c r="E580" s="70" t="s">
        <v>741</v>
      </c>
      <c r="F580" s="37" t="s">
        <v>310</v>
      </c>
      <c r="G580" s="34">
        <v>2053.9</v>
      </c>
      <c r="H580" s="34">
        <v>1984.4</v>
      </c>
      <c r="I580" s="34">
        <f t="shared" si="25"/>
        <v>96.61619358293977</v>
      </c>
    </row>
    <row r="581" spans="1:9" ht="16.5" customHeight="1">
      <c r="A581" s="30" t="s">
        <v>742</v>
      </c>
      <c r="B581" s="109"/>
      <c r="C581" s="70" t="s">
        <v>339</v>
      </c>
      <c r="D581" s="70" t="s">
        <v>177</v>
      </c>
      <c r="E581" s="70" t="s">
        <v>743</v>
      </c>
      <c r="F581" s="37"/>
      <c r="G581" s="34">
        <f>SUM(G582)</f>
        <v>6200.8</v>
      </c>
      <c r="H581" s="34">
        <f>SUM(H582)</f>
        <v>5500.3</v>
      </c>
      <c r="I581" s="34">
        <f t="shared" si="25"/>
        <v>88.70307057153916</v>
      </c>
    </row>
    <row r="582" spans="1:9" ht="15.75" customHeight="1">
      <c r="A582" s="30" t="s">
        <v>309</v>
      </c>
      <c r="B582" s="109"/>
      <c r="C582" s="70" t="s">
        <v>339</v>
      </c>
      <c r="D582" s="70" t="s">
        <v>177</v>
      </c>
      <c r="E582" s="70" t="s">
        <v>743</v>
      </c>
      <c r="F582" s="37" t="s">
        <v>310</v>
      </c>
      <c r="G582" s="34">
        <v>6200.8</v>
      </c>
      <c r="H582" s="34">
        <v>5500.3</v>
      </c>
      <c r="I582" s="34">
        <f t="shared" si="25"/>
        <v>88.70307057153916</v>
      </c>
    </row>
    <row r="583" spans="1:9" ht="27" customHeight="1">
      <c r="A583" s="49" t="s">
        <v>748</v>
      </c>
      <c r="B583" s="31"/>
      <c r="C583" s="48" t="s">
        <v>339</v>
      </c>
      <c r="D583" s="48" t="s">
        <v>177</v>
      </c>
      <c r="E583" s="48" t="s">
        <v>749</v>
      </c>
      <c r="F583" s="36"/>
      <c r="G583" s="34">
        <f>SUM(G584)</f>
        <v>22</v>
      </c>
      <c r="H583" s="34">
        <f>SUM(H584)</f>
        <v>16.7</v>
      </c>
      <c r="I583" s="34">
        <f t="shared" si="25"/>
        <v>75.9090909090909</v>
      </c>
    </row>
    <row r="584" spans="1:9" ht="29.25" customHeight="1">
      <c r="A584" s="30" t="s">
        <v>309</v>
      </c>
      <c r="B584" s="31"/>
      <c r="C584" s="48" t="s">
        <v>339</v>
      </c>
      <c r="D584" s="48" t="s">
        <v>177</v>
      </c>
      <c r="E584" s="48" t="s">
        <v>749</v>
      </c>
      <c r="F584" s="36" t="s">
        <v>310</v>
      </c>
      <c r="G584" s="34">
        <v>22</v>
      </c>
      <c r="H584" s="34">
        <v>16.7</v>
      </c>
      <c r="I584" s="34">
        <f t="shared" si="25"/>
        <v>75.9090909090909</v>
      </c>
    </row>
    <row r="585" spans="1:9" ht="28.5" customHeight="1">
      <c r="A585" s="96" t="s">
        <v>750</v>
      </c>
      <c r="B585" s="31"/>
      <c r="C585" s="48" t="s">
        <v>339</v>
      </c>
      <c r="D585" s="48" t="s">
        <v>177</v>
      </c>
      <c r="E585" s="48" t="s">
        <v>751</v>
      </c>
      <c r="F585" s="36"/>
      <c r="G585" s="34">
        <f>SUM(G586)</f>
        <v>68046.6</v>
      </c>
      <c r="H585" s="34">
        <f>SUM(H586)</f>
        <v>64440.3</v>
      </c>
      <c r="I585" s="34">
        <f t="shared" si="25"/>
        <v>94.70024953487757</v>
      </c>
    </row>
    <row r="586" spans="1:9" ht="19.5" customHeight="1">
      <c r="A586" s="30" t="s">
        <v>309</v>
      </c>
      <c r="B586" s="47"/>
      <c r="C586" s="48" t="s">
        <v>339</v>
      </c>
      <c r="D586" s="48" t="s">
        <v>177</v>
      </c>
      <c r="E586" s="48" t="s">
        <v>751</v>
      </c>
      <c r="F586" s="36" t="s">
        <v>310</v>
      </c>
      <c r="G586" s="34">
        <v>68046.6</v>
      </c>
      <c r="H586" s="34">
        <v>64440.3</v>
      </c>
      <c r="I586" s="34">
        <f t="shared" si="25"/>
        <v>94.70024953487757</v>
      </c>
    </row>
    <row r="587" spans="1:9" ht="130.5" customHeight="1">
      <c r="A587" s="30" t="s">
        <v>752</v>
      </c>
      <c r="B587" s="47"/>
      <c r="C587" s="48" t="s">
        <v>339</v>
      </c>
      <c r="D587" s="48" t="s">
        <v>177</v>
      </c>
      <c r="E587" s="48" t="s">
        <v>753</v>
      </c>
      <c r="F587" s="36"/>
      <c r="G587" s="34">
        <f>SUM(G588)</f>
        <v>37.4</v>
      </c>
      <c r="H587" s="34">
        <f>SUM(H588)</f>
        <v>37.4</v>
      </c>
      <c r="I587" s="34">
        <f t="shared" si="25"/>
        <v>100</v>
      </c>
    </row>
    <row r="588" spans="1:9" ht="19.5" customHeight="1">
      <c r="A588" s="30" t="s">
        <v>309</v>
      </c>
      <c r="B588" s="47"/>
      <c r="C588" s="48" t="s">
        <v>339</v>
      </c>
      <c r="D588" s="48" t="s">
        <v>177</v>
      </c>
      <c r="E588" s="48" t="s">
        <v>753</v>
      </c>
      <c r="F588" s="36" t="s">
        <v>310</v>
      </c>
      <c r="G588" s="34">
        <v>37.4</v>
      </c>
      <c r="H588" s="34">
        <v>37.4</v>
      </c>
      <c r="I588" s="34">
        <f t="shared" si="25"/>
        <v>100</v>
      </c>
    </row>
    <row r="589" spans="1:9" ht="45.75" customHeight="1">
      <c r="A589" s="35" t="s">
        <v>754</v>
      </c>
      <c r="B589" s="31"/>
      <c r="C589" s="48" t="s">
        <v>339</v>
      </c>
      <c r="D589" s="48" t="s">
        <v>177</v>
      </c>
      <c r="E589" s="48" t="s">
        <v>755</v>
      </c>
      <c r="F589" s="36"/>
      <c r="G589" s="34">
        <f>SUM(G590)</f>
        <v>48396.2</v>
      </c>
      <c r="H589" s="34">
        <f>SUM(H590)</f>
        <v>50019.5</v>
      </c>
      <c r="I589" s="34">
        <f t="shared" si="25"/>
        <v>103.35418896524935</v>
      </c>
    </row>
    <row r="590" spans="1:9" ht="18" customHeight="1">
      <c r="A590" s="30" t="s">
        <v>309</v>
      </c>
      <c r="B590" s="31"/>
      <c r="C590" s="48" t="s">
        <v>339</v>
      </c>
      <c r="D590" s="48" t="s">
        <v>177</v>
      </c>
      <c r="E590" s="48" t="s">
        <v>755</v>
      </c>
      <c r="F590" s="36" t="s">
        <v>310</v>
      </c>
      <c r="G590" s="34">
        <f>41098.1+7298.1</f>
        <v>48396.2</v>
      </c>
      <c r="H590" s="34">
        <v>50019.5</v>
      </c>
      <c r="I590" s="34">
        <f t="shared" si="25"/>
        <v>103.35418896524935</v>
      </c>
    </row>
    <row r="591" spans="1:9" ht="28.5" customHeight="1">
      <c r="A591" s="30" t="s">
        <v>756</v>
      </c>
      <c r="B591" s="31"/>
      <c r="C591" s="48" t="s">
        <v>339</v>
      </c>
      <c r="D591" s="48" t="s">
        <v>177</v>
      </c>
      <c r="E591" s="48" t="s">
        <v>757</v>
      </c>
      <c r="F591" s="36"/>
      <c r="G591" s="34">
        <f>SUM(G592+G596+G598+G600+G602+G608+G606)</f>
        <v>191956.50000000003</v>
      </c>
      <c r="H591" s="34">
        <f>SUM(H592+H596+H598+H600+H602+H608+H606)</f>
        <v>187734.59999999998</v>
      </c>
      <c r="I591" s="34">
        <f t="shared" si="25"/>
        <v>97.80059544740602</v>
      </c>
    </row>
    <row r="592" spans="1:9" ht="29.25" customHeight="1">
      <c r="A592" s="49" t="s">
        <v>758</v>
      </c>
      <c r="B592" s="31"/>
      <c r="C592" s="48" t="s">
        <v>339</v>
      </c>
      <c r="D592" s="48" t="s">
        <v>177</v>
      </c>
      <c r="E592" s="48" t="s">
        <v>759</v>
      </c>
      <c r="F592" s="36"/>
      <c r="G592" s="34">
        <f>SUM(G593)</f>
        <v>48170.4</v>
      </c>
      <c r="H592" s="34">
        <f>SUM(H593)</f>
        <v>45383.3</v>
      </c>
      <c r="I592" s="34">
        <f aca="true" t="shared" si="27" ref="I592:I655">SUM(H592/G592*100)</f>
        <v>94.21408167671433</v>
      </c>
    </row>
    <row r="593" spans="1:9" ht="18" customHeight="1">
      <c r="A593" s="30" t="s">
        <v>309</v>
      </c>
      <c r="B593" s="31"/>
      <c r="C593" s="48" t="s">
        <v>339</v>
      </c>
      <c r="D593" s="48" t="s">
        <v>177</v>
      </c>
      <c r="E593" s="48" t="s">
        <v>759</v>
      </c>
      <c r="F593" s="36" t="s">
        <v>310</v>
      </c>
      <c r="G593" s="34">
        <v>48170.4</v>
      </c>
      <c r="H593" s="34">
        <v>45383.3</v>
      </c>
      <c r="I593" s="34">
        <f t="shared" si="27"/>
        <v>94.21408167671433</v>
      </c>
    </row>
    <row r="594" spans="1:9" ht="71.25" hidden="1">
      <c r="A594" s="30" t="s">
        <v>760</v>
      </c>
      <c r="B594" s="39"/>
      <c r="C594" s="48" t="s">
        <v>339</v>
      </c>
      <c r="D594" s="32" t="s">
        <v>177</v>
      </c>
      <c r="E594" s="48" t="s">
        <v>761</v>
      </c>
      <c r="F594" s="33"/>
      <c r="G594" s="34"/>
      <c r="H594" s="34"/>
      <c r="I594" s="34" t="e">
        <f t="shared" si="27"/>
        <v>#DIV/0!</v>
      </c>
    </row>
    <row r="595" spans="1:9" ht="15" hidden="1">
      <c r="A595" s="30" t="s">
        <v>309</v>
      </c>
      <c r="B595" s="39"/>
      <c r="C595" s="48" t="s">
        <v>339</v>
      </c>
      <c r="D595" s="32" t="s">
        <v>177</v>
      </c>
      <c r="E595" s="48" t="s">
        <v>761</v>
      </c>
      <c r="F595" s="33" t="s">
        <v>310</v>
      </c>
      <c r="G595" s="34"/>
      <c r="H595" s="34"/>
      <c r="I595" s="34" t="e">
        <f t="shared" si="27"/>
        <v>#DIV/0!</v>
      </c>
    </row>
    <row r="596" spans="1:9" ht="99.75">
      <c r="A596" s="142" t="s">
        <v>762</v>
      </c>
      <c r="B596" s="39"/>
      <c r="C596" s="48" t="s">
        <v>339</v>
      </c>
      <c r="D596" s="32" t="s">
        <v>177</v>
      </c>
      <c r="E596" s="48" t="s">
        <v>763</v>
      </c>
      <c r="F596" s="33"/>
      <c r="G596" s="34">
        <f>SUM(G597)</f>
        <v>41350.3</v>
      </c>
      <c r="H596" s="34">
        <f>SUM(H597)</f>
        <v>40706.3</v>
      </c>
      <c r="I596" s="34">
        <f t="shared" si="27"/>
        <v>98.44257478180327</v>
      </c>
    </row>
    <row r="597" spans="1:9" ht="15">
      <c r="A597" s="30" t="s">
        <v>309</v>
      </c>
      <c r="B597" s="39"/>
      <c r="C597" s="48" t="s">
        <v>339</v>
      </c>
      <c r="D597" s="32" t="s">
        <v>177</v>
      </c>
      <c r="E597" s="48" t="s">
        <v>763</v>
      </c>
      <c r="F597" s="33" t="s">
        <v>310</v>
      </c>
      <c r="G597" s="34">
        <v>41350.3</v>
      </c>
      <c r="H597" s="34">
        <v>40706.3</v>
      </c>
      <c r="I597" s="34">
        <f t="shared" si="27"/>
        <v>98.44257478180327</v>
      </c>
    </row>
    <row r="598" spans="1:9" ht="99.75">
      <c r="A598" s="142" t="s">
        <v>764</v>
      </c>
      <c r="B598" s="39"/>
      <c r="C598" s="48" t="s">
        <v>339</v>
      </c>
      <c r="D598" s="32" t="s">
        <v>177</v>
      </c>
      <c r="E598" s="48" t="s">
        <v>765</v>
      </c>
      <c r="F598" s="33"/>
      <c r="G598" s="34">
        <f>SUM(G599)</f>
        <v>95390.7</v>
      </c>
      <c r="H598" s="34">
        <f>SUM(H599)</f>
        <v>95390.7</v>
      </c>
      <c r="I598" s="34">
        <f t="shared" si="27"/>
        <v>100</v>
      </c>
    </row>
    <row r="599" spans="1:9" ht="14.25" customHeight="1">
      <c r="A599" s="30" t="s">
        <v>309</v>
      </c>
      <c r="B599" s="39"/>
      <c r="C599" s="48" t="s">
        <v>339</v>
      </c>
      <c r="D599" s="32" t="s">
        <v>177</v>
      </c>
      <c r="E599" s="48" t="s">
        <v>765</v>
      </c>
      <c r="F599" s="33" t="s">
        <v>310</v>
      </c>
      <c r="G599" s="34">
        <v>95390.7</v>
      </c>
      <c r="H599" s="34">
        <v>95390.7</v>
      </c>
      <c r="I599" s="34">
        <f t="shared" si="27"/>
        <v>100</v>
      </c>
    </row>
    <row r="600" spans="1:9" ht="99.75" hidden="1">
      <c r="A600" s="30" t="s">
        <v>766</v>
      </c>
      <c r="B600" s="39"/>
      <c r="C600" s="48" t="s">
        <v>339</v>
      </c>
      <c r="D600" s="32" t="s">
        <v>177</v>
      </c>
      <c r="E600" s="48" t="s">
        <v>962</v>
      </c>
      <c r="F600" s="33"/>
      <c r="G600" s="34">
        <f>SUM(G601)</f>
        <v>0</v>
      </c>
      <c r="H600" s="34">
        <f>SUM(H601)</f>
        <v>0</v>
      </c>
      <c r="I600" s="34" t="e">
        <f t="shared" si="27"/>
        <v>#DIV/0!</v>
      </c>
    </row>
    <row r="601" spans="1:9" ht="15" hidden="1">
      <c r="A601" s="30" t="s">
        <v>309</v>
      </c>
      <c r="B601" s="39"/>
      <c r="C601" s="48" t="s">
        <v>339</v>
      </c>
      <c r="D601" s="32" t="s">
        <v>177</v>
      </c>
      <c r="E601" s="48" t="s">
        <v>962</v>
      </c>
      <c r="F601" s="33" t="s">
        <v>310</v>
      </c>
      <c r="G601" s="34"/>
      <c r="H601" s="34"/>
      <c r="I601" s="34" t="e">
        <f t="shared" si="27"/>
        <v>#DIV/0!</v>
      </c>
    </row>
    <row r="602" spans="1:9" ht="99.75" hidden="1">
      <c r="A602" s="30" t="s">
        <v>963</v>
      </c>
      <c r="B602" s="39"/>
      <c r="C602" s="48" t="s">
        <v>339</v>
      </c>
      <c r="D602" s="32" t="s">
        <v>177</v>
      </c>
      <c r="E602" s="48" t="s">
        <v>964</v>
      </c>
      <c r="F602" s="33"/>
      <c r="G602" s="34">
        <f>SUM(G603)</f>
        <v>0</v>
      </c>
      <c r="H602" s="34">
        <f>SUM(H603)</f>
        <v>0</v>
      </c>
      <c r="I602" s="34" t="e">
        <f t="shared" si="27"/>
        <v>#DIV/0!</v>
      </c>
    </row>
    <row r="603" spans="1:9" ht="15" hidden="1">
      <c r="A603" s="30" t="s">
        <v>309</v>
      </c>
      <c r="B603" s="39"/>
      <c r="C603" s="48" t="s">
        <v>339</v>
      </c>
      <c r="D603" s="32" t="s">
        <v>177</v>
      </c>
      <c r="E603" s="48" t="s">
        <v>964</v>
      </c>
      <c r="F603" s="33" t="s">
        <v>310</v>
      </c>
      <c r="G603" s="34"/>
      <c r="H603" s="34"/>
      <c r="I603" s="34" t="e">
        <f t="shared" si="27"/>
        <v>#DIV/0!</v>
      </c>
    </row>
    <row r="604" spans="1:9" ht="71.25" hidden="1">
      <c r="A604" s="49" t="s">
        <v>965</v>
      </c>
      <c r="B604" s="31"/>
      <c r="C604" s="48" t="s">
        <v>339</v>
      </c>
      <c r="D604" s="48" t="s">
        <v>177</v>
      </c>
      <c r="E604" s="48" t="s">
        <v>966</v>
      </c>
      <c r="F604" s="36"/>
      <c r="G604" s="34">
        <f>SUM(G605)</f>
        <v>0</v>
      </c>
      <c r="H604" s="34">
        <f>SUM(H605)</f>
        <v>0</v>
      </c>
      <c r="I604" s="34" t="e">
        <f t="shared" si="27"/>
        <v>#DIV/0!</v>
      </c>
    </row>
    <row r="605" spans="1:9" ht="15.75" customHeight="1" hidden="1">
      <c r="A605" s="30" t="s">
        <v>309</v>
      </c>
      <c r="B605" s="31"/>
      <c r="C605" s="48" t="s">
        <v>339</v>
      </c>
      <c r="D605" s="48" t="s">
        <v>177</v>
      </c>
      <c r="E605" s="48" t="s">
        <v>966</v>
      </c>
      <c r="F605" s="36" t="s">
        <v>310</v>
      </c>
      <c r="G605" s="34"/>
      <c r="H605" s="34"/>
      <c r="I605" s="34" t="e">
        <f t="shared" si="27"/>
        <v>#DIV/0!</v>
      </c>
    </row>
    <row r="606" spans="1:9" ht="114">
      <c r="A606" s="49" t="s">
        <v>967</v>
      </c>
      <c r="B606" s="31"/>
      <c r="C606" s="48" t="s">
        <v>339</v>
      </c>
      <c r="D606" s="48" t="s">
        <v>177</v>
      </c>
      <c r="E606" s="48" t="s">
        <v>968</v>
      </c>
      <c r="F606" s="36"/>
      <c r="G606" s="34">
        <f>SUM(G607)</f>
        <v>2353.6</v>
      </c>
      <c r="H606" s="34">
        <f>SUM(H607)</f>
        <v>1861.5</v>
      </c>
      <c r="I606" s="34">
        <f t="shared" si="27"/>
        <v>79.09160435078178</v>
      </c>
    </row>
    <row r="607" spans="1:9" ht="15">
      <c r="A607" s="30" t="s">
        <v>309</v>
      </c>
      <c r="B607" s="31"/>
      <c r="C607" s="48" t="s">
        <v>339</v>
      </c>
      <c r="D607" s="48" t="s">
        <v>177</v>
      </c>
      <c r="E607" s="48" t="s">
        <v>968</v>
      </c>
      <c r="F607" s="36" t="s">
        <v>310</v>
      </c>
      <c r="G607" s="34">
        <v>2353.6</v>
      </c>
      <c r="H607" s="34">
        <v>1861.5</v>
      </c>
      <c r="I607" s="34">
        <f t="shared" si="27"/>
        <v>79.09160435078178</v>
      </c>
    </row>
    <row r="608" spans="1:9" ht="142.5">
      <c r="A608" s="49" t="s">
        <v>969</v>
      </c>
      <c r="B608" s="31"/>
      <c r="C608" s="48" t="s">
        <v>339</v>
      </c>
      <c r="D608" s="48" t="s">
        <v>177</v>
      </c>
      <c r="E608" s="48" t="s">
        <v>970</v>
      </c>
      <c r="F608" s="36"/>
      <c r="G608" s="34">
        <f>SUM(G609)</f>
        <v>4691.5</v>
      </c>
      <c r="H608" s="34">
        <f>SUM(H609)</f>
        <v>4392.8</v>
      </c>
      <c r="I608" s="34">
        <f t="shared" si="27"/>
        <v>93.63316636470212</v>
      </c>
    </row>
    <row r="609" spans="1:9" ht="15">
      <c r="A609" s="30" t="s">
        <v>309</v>
      </c>
      <c r="B609" s="31"/>
      <c r="C609" s="48" t="s">
        <v>339</v>
      </c>
      <c r="D609" s="48" t="s">
        <v>177</v>
      </c>
      <c r="E609" s="48" t="s">
        <v>970</v>
      </c>
      <c r="F609" s="36" t="s">
        <v>310</v>
      </c>
      <c r="G609" s="34">
        <v>4691.5</v>
      </c>
      <c r="H609" s="34">
        <v>4392.8</v>
      </c>
      <c r="I609" s="34">
        <f t="shared" si="27"/>
        <v>93.63316636470212</v>
      </c>
    </row>
    <row r="610" spans="1:9" ht="45.75" customHeight="1" hidden="1">
      <c r="A610" s="46" t="s">
        <v>742</v>
      </c>
      <c r="B610" s="47"/>
      <c r="C610" s="48" t="s">
        <v>339</v>
      </c>
      <c r="D610" s="48" t="s">
        <v>177</v>
      </c>
      <c r="E610" s="48" t="s">
        <v>971</v>
      </c>
      <c r="F610" s="36"/>
      <c r="G610" s="34">
        <f>SUM(G611)</f>
        <v>0</v>
      </c>
      <c r="H610" s="34">
        <f>SUM(H611)</f>
        <v>0</v>
      </c>
      <c r="I610" s="34" t="e">
        <f t="shared" si="27"/>
        <v>#DIV/0!</v>
      </c>
    </row>
    <row r="611" spans="1:9" ht="18" customHeight="1" hidden="1">
      <c r="A611" s="46" t="s">
        <v>309</v>
      </c>
      <c r="B611" s="47"/>
      <c r="C611" s="48" t="s">
        <v>339</v>
      </c>
      <c r="D611" s="48" t="s">
        <v>177</v>
      </c>
      <c r="E611" s="48" t="s">
        <v>971</v>
      </c>
      <c r="F611" s="36" t="s">
        <v>310</v>
      </c>
      <c r="G611" s="34"/>
      <c r="H611" s="34"/>
      <c r="I611" s="34" t="e">
        <f t="shared" si="27"/>
        <v>#DIV/0!</v>
      </c>
    </row>
    <row r="612" spans="1:9" ht="17.25" customHeight="1">
      <c r="A612" s="30" t="s">
        <v>20</v>
      </c>
      <c r="B612" s="31"/>
      <c r="C612" s="48" t="s">
        <v>339</v>
      </c>
      <c r="D612" s="32" t="s">
        <v>177</v>
      </c>
      <c r="E612" s="32" t="s">
        <v>21</v>
      </c>
      <c r="F612" s="36"/>
      <c r="G612" s="34">
        <f>SUM(G613)</f>
        <v>3183.9</v>
      </c>
      <c r="H612" s="34">
        <f>SUM(H613)</f>
        <v>3287.3</v>
      </c>
      <c r="I612" s="34">
        <f t="shared" si="27"/>
        <v>103.24758943434153</v>
      </c>
    </row>
    <row r="613" spans="1:9" ht="15" customHeight="1">
      <c r="A613" s="46" t="s">
        <v>2</v>
      </c>
      <c r="B613" s="31"/>
      <c r="C613" s="48" t="s">
        <v>339</v>
      </c>
      <c r="D613" s="32" t="s">
        <v>177</v>
      </c>
      <c r="E613" s="32" t="s">
        <v>22</v>
      </c>
      <c r="F613" s="36"/>
      <c r="G613" s="34">
        <f>SUM(G614:G614)</f>
        <v>3183.9</v>
      </c>
      <c r="H613" s="34">
        <f>SUM(H614:H614)</f>
        <v>3287.3</v>
      </c>
      <c r="I613" s="34">
        <f t="shared" si="27"/>
        <v>103.24758943434153</v>
      </c>
    </row>
    <row r="614" spans="1:9" ht="15" customHeight="1">
      <c r="A614" s="30" t="s">
        <v>309</v>
      </c>
      <c r="B614" s="31"/>
      <c r="C614" s="48" t="s">
        <v>339</v>
      </c>
      <c r="D614" s="32" t="s">
        <v>177</v>
      </c>
      <c r="E614" s="32" t="s">
        <v>22</v>
      </c>
      <c r="F614" s="36" t="s">
        <v>310</v>
      </c>
      <c r="G614" s="34">
        <v>3183.9</v>
      </c>
      <c r="H614" s="34">
        <v>3287.3</v>
      </c>
      <c r="I614" s="34">
        <f t="shared" si="27"/>
        <v>103.24758943434153</v>
      </c>
    </row>
    <row r="615" spans="1:9" ht="15" hidden="1">
      <c r="A615" s="108" t="s">
        <v>278</v>
      </c>
      <c r="B615" s="31"/>
      <c r="C615" s="48" t="s">
        <v>339</v>
      </c>
      <c r="D615" s="48" t="s">
        <v>177</v>
      </c>
      <c r="E615" s="48" t="s">
        <v>279</v>
      </c>
      <c r="F615" s="36"/>
      <c r="G615" s="34">
        <f>SUM(G616)</f>
        <v>0</v>
      </c>
      <c r="H615" s="34">
        <f>SUM(H616)</f>
        <v>0</v>
      </c>
      <c r="I615" s="34" t="e">
        <f t="shared" si="27"/>
        <v>#DIV/0!</v>
      </c>
    </row>
    <row r="616" spans="1:9" ht="15" hidden="1">
      <c r="A616" s="108" t="s">
        <v>28</v>
      </c>
      <c r="B616" s="31"/>
      <c r="C616" s="48" t="s">
        <v>339</v>
      </c>
      <c r="D616" s="48" t="s">
        <v>177</v>
      </c>
      <c r="E616" s="48" t="s">
        <v>29</v>
      </c>
      <c r="F616" s="36"/>
      <c r="G616" s="34">
        <f>SUM(G617)</f>
        <v>0</v>
      </c>
      <c r="H616" s="34">
        <f>SUM(H617)</f>
        <v>0</v>
      </c>
      <c r="I616" s="34" t="e">
        <f t="shared" si="27"/>
        <v>#DIV/0!</v>
      </c>
    </row>
    <row r="617" spans="1:9" ht="18" customHeight="1" hidden="1">
      <c r="A617" s="35" t="s">
        <v>2</v>
      </c>
      <c r="B617" s="69"/>
      <c r="C617" s="48" t="s">
        <v>339</v>
      </c>
      <c r="D617" s="48" t="s">
        <v>177</v>
      </c>
      <c r="E617" s="48" t="s">
        <v>29</v>
      </c>
      <c r="F617" s="37" t="s">
        <v>3</v>
      </c>
      <c r="G617" s="34"/>
      <c r="H617" s="34"/>
      <c r="I617" s="34" t="e">
        <f t="shared" si="27"/>
        <v>#DIV/0!</v>
      </c>
    </row>
    <row r="618" spans="1:9" ht="15">
      <c r="A618" s="49" t="s">
        <v>984</v>
      </c>
      <c r="B618" s="31"/>
      <c r="C618" s="43" t="s">
        <v>339</v>
      </c>
      <c r="D618" s="110" t="s">
        <v>201</v>
      </c>
      <c r="E618" s="110"/>
      <c r="F618" s="62"/>
      <c r="G618" s="77">
        <f>SUM(G619+G622)</f>
        <v>29923.5</v>
      </c>
      <c r="H618" s="77">
        <f>SUM(H619+H622)</f>
        <v>23353</v>
      </c>
      <c r="I618" s="34">
        <f t="shared" si="27"/>
        <v>78.04234130365766</v>
      </c>
    </row>
    <row r="619" spans="1:9" ht="15" hidden="1">
      <c r="A619" s="49" t="s">
        <v>717</v>
      </c>
      <c r="B619" s="31"/>
      <c r="C619" s="43" t="s">
        <v>339</v>
      </c>
      <c r="D619" s="110" t="s">
        <v>201</v>
      </c>
      <c r="E619" s="110" t="s">
        <v>718</v>
      </c>
      <c r="F619" s="62"/>
      <c r="G619" s="34">
        <f>SUM(G620)</f>
        <v>0</v>
      </c>
      <c r="H619" s="34">
        <f>SUM(H620)</f>
        <v>0</v>
      </c>
      <c r="I619" s="34" t="e">
        <f t="shared" si="27"/>
        <v>#DIV/0!</v>
      </c>
    </row>
    <row r="620" spans="1:9" ht="18" customHeight="1" hidden="1">
      <c r="A620" s="108" t="s">
        <v>985</v>
      </c>
      <c r="B620" s="31"/>
      <c r="C620" s="43" t="s">
        <v>339</v>
      </c>
      <c r="D620" s="110" t="s">
        <v>201</v>
      </c>
      <c r="E620" s="110" t="s">
        <v>986</v>
      </c>
      <c r="F620" s="62"/>
      <c r="G620" s="34">
        <f>SUM(G621)</f>
        <v>0</v>
      </c>
      <c r="H620" s="34">
        <f>SUM(H621)</f>
        <v>0</v>
      </c>
      <c r="I620" s="34" t="e">
        <f t="shared" si="27"/>
        <v>#DIV/0!</v>
      </c>
    </row>
    <row r="621" spans="1:9" ht="18" customHeight="1" hidden="1">
      <c r="A621" s="108" t="s">
        <v>309</v>
      </c>
      <c r="B621" s="31"/>
      <c r="C621" s="43" t="s">
        <v>339</v>
      </c>
      <c r="D621" s="110" t="s">
        <v>201</v>
      </c>
      <c r="E621" s="110" t="s">
        <v>986</v>
      </c>
      <c r="F621" s="36" t="s">
        <v>310</v>
      </c>
      <c r="G621" s="34"/>
      <c r="H621" s="34"/>
      <c r="I621" s="34" t="e">
        <f t="shared" si="27"/>
        <v>#DIV/0!</v>
      </c>
    </row>
    <row r="622" spans="1:9" ht="28.5">
      <c r="A622" s="108" t="s">
        <v>987</v>
      </c>
      <c r="B622" s="31"/>
      <c r="C622" s="43" t="s">
        <v>339</v>
      </c>
      <c r="D622" s="110" t="s">
        <v>201</v>
      </c>
      <c r="E622" s="110" t="s">
        <v>564</v>
      </c>
      <c r="F622" s="36"/>
      <c r="G622" s="34">
        <f>SUM(G623)</f>
        <v>29923.5</v>
      </c>
      <c r="H622" s="34">
        <f>SUM(H623)</f>
        <v>23353</v>
      </c>
      <c r="I622" s="34">
        <f t="shared" si="27"/>
        <v>78.04234130365766</v>
      </c>
    </row>
    <row r="623" spans="1:9" ht="71.25">
      <c r="A623" s="46" t="s">
        <v>994</v>
      </c>
      <c r="B623" s="31"/>
      <c r="C623" s="43" t="s">
        <v>339</v>
      </c>
      <c r="D623" s="110" t="s">
        <v>201</v>
      </c>
      <c r="E623" s="110" t="s">
        <v>993</v>
      </c>
      <c r="F623" s="62"/>
      <c r="G623" s="34">
        <f>SUM(G628)+G629+G632+G624+G626</f>
        <v>29923.5</v>
      </c>
      <c r="H623" s="34">
        <f>SUM(H628)+H629+H632+H624+H626</f>
        <v>23353</v>
      </c>
      <c r="I623" s="34">
        <f t="shared" si="27"/>
        <v>78.04234130365766</v>
      </c>
    </row>
    <row r="624" spans="1:9" ht="28.5">
      <c r="A624" s="46" t="s">
        <v>995</v>
      </c>
      <c r="B624" s="31"/>
      <c r="C624" s="43" t="s">
        <v>339</v>
      </c>
      <c r="D624" s="43" t="s">
        <v>201</v>
      </c>
      <c r="E624" s="110" t="s">
        <v>996</v>
      </c>
      <c r="F624" s="130"/>
      <c r="G624" s="34">
        <f>SUM(G625)</f>
        <v>1006.7</v>
      </c>
      <c r="H624" s="34">
        <f>SUM(H625)</f>
        <v>220</v>
      </c>
      <c r="I624" s="34">
        <f t="shared" si="27"/>
        <v>21.853581007251417</v>
      </c>
    </row>
    <row r="625" spans="1:9" ht="28.5">
      <c r="A625" s="46" t="s">
        <v>997</v>
      </c>
      <c r="B625" s="31"/>
      <c r="C625" s="43" t="s">
        <v>339</v>
      </c>
      <c r="D625" s="43" t="s">
        <v>201</v>
      </c>
      <c r="E625" s="110" t="s">
        <v>996</v>
      </c>
      <c r="F625" s="130" t="s">
        <v>998</v>
      </c>
      <c r="G625" s="34">
        <v>1006.7</v>
      </c>
      <c r="H625" s="34">
        <v>220</v>
      </c>
      <c r="I625" s="34">
        <f t="shared" si="27"/>
        <v>21.853581007251417</v>
      </c>
    </row>
    <row r="626" spans="1:9" ht="15">
      <c r="A626" s="46" t="s">
        <v>999</v>
      </c>
      <c r="B626" s="31"/>
      <c r="C626" s="43" t="s">
        <v>339</v>
      </c>
      <c r="D626" s="43" t="s">
        <v>201</v>
      </c>
      <c r="E626" s="110" t="s">
        <v>1000</v>
      </c>
      <c r="F626" s="130"/>
      <c r="G626" s="34">
        <f>SUM(G627)</f>
        <v>1004.3</v>
      </c>
      <c r="H626" s="34">
        <f>SUM(H627)</f>
        <v>164.9</v>
      </c>
      <c r="I626" s="34">
        <f t="shared" si="27"/>
        <v>16.419396594643036</v>
      </c>
    </row>
    <row r="627" spans="1:9" ht="27.75" customHeight="1">
      <c r="A627" s="46" t="s">
        <v>997</v>
      </c>
      <c r="B627" s="31"/>
      <c r="C627" s="43" t="s">
        <v>339</v>
      </c>
      <c r="D627" s="43" t="s">
        <v>201</v>
      </c>
      <c r="E627" s="110" t="s">
        <v>1000</v>
      </c>
      <c r="F627" s="130" t="s">
        <v>998</v>
      </c>
      <c r="G627" s="34">
        <v>1004.3</v>
      </c>
      <c r="H627" s="34">
        <v>164.9</v>
      </c>
      <c r="I627" s="34">
        <f t="shared" si="27"/>
        <v>16.419396594643036</v>
      </c>
    </row>
    <row r="628" spans="1:9" ht="28.5" hidden="1">
      <c r="A628" s="46" t="s">
        <v>1001</v>
      </c>
      <c r="B628" s="31"/>
      <c r="C628" s="43" t="s">
        <v>339</v>
      </c>
      <c r="D628" s="43" t="s">
        <v>201</v>
      </c>
      <c r="E628" s="110" t="s">
        <v>1002</v>
      </c>
      <c r="F628" s="130"/>
      <c r="G628" s="34">
        <f>SUM(G631)</f>
        <v>0</v>
      </c>
      <c r="H628" s="34">
        <f>SUM(H631)</f>
        <v>0</v>
      </c>
      <c r="I628" s="34" t="e">
        <f t="shared" si="27"/>
        <v>#DIV/0!</v>
      </c>
    </row>
    <row r="629" spans="1:9" ht="0.75" customHeight="1" hidden="1">
      <c r="A629" s="46" t="s">
        <v>1001</v>
      </c>
      <c r="B629" s="31"/>
      <c r="C629" s="43" t="s">
        <v>339</v>
      </c>
      <c r="D629" s="43" t="s">
        <v>201</v>
      </c>
      <c r="E629" s="110" t="s">
        <v>1002</v>
      </c>
      <c r="F629" s="130"/>
      <c r="G629" s="34">
        <f>SUM(G630)</f>
        <v>0</v>
      </c>
      <c r="H629" s="34">
        <f>SUM(H630)</f>
        <v>0</v>
      </c>
      <c r="I629" s="34" t="e">
        <f t="shared" si="27"/>
        <v>#DIV/0!</v>
      </c>
    </row>
    <row r="630" spans="1:9" ht="15" hidden="1">
      <c r="A630" s="46" t="s">
        <v>309</v>
      </c>
      <c r="B630" s="31"/>
      <c r="C630" s="43" t="s">
        <v>339</v>
      </c>
      <c r="D630" s="43" t="s">
        <v>201</v>
      </c>
      <c r="E630" s="110" t="s">
        <v>1002</v>
      </c>
      <c r="F630" s="130" t="s">
        <v>310</v>
      </c>
      <c r="G630" s="34"/>
      <c r="H630" s="34"/>
      <c r="I630" s="34" t="e">
        <f t="shared" si="27"/>
        <v>#DIV/0!</v>
      </c>
    </row>
    <row r="631" spans="1:9" ht="28.5" hidden="1">
      <c r="A631" s="46" t="s">
        <v>997</v>
      </c>
      <c r="B631" s="31"/>
      <c r="C631" s="43" t="s">
        <v>339</v>
      </c>
      <c r="D631" s="43" t="s">
        <v>201</v>
      </c>
      <c r="E631" s="110" t="s">
        <v>1002</v>
      </c>
      <c r="F631" s="130" t="s">
        <v>998</v>
      </c>
      <c r="G631" s="34"/>
      <c r="H631" s="34"/>
      <c r="I631" s="34" t="e">
        <f t="shared" si="27"/>
        <v>#DIV/0!</v>
      </c>
    </row>
    <row r="632" spans="1:9" ht="28.5">
      <c r="A632" s="46" t="s">
        <v>997</v>
      </c>
      <c r="B632" s="31"/>
      <c r="C632" s="43" t="s">
        <v>339</v>
      </c>
      <c r="D632" s="43" t="s">
        <v>201</v>
      </c>
      <c r="E632" s="110" t="s">
        <v>1003</v>
      </c>
      <c r="F632" s="130"/>
      <c r="G632" s="34">
        <f>SUM(G633)</f>
        <v>27912.5</v>
      </c>
      <c r="H632" s="34">
        <f>SUM(H633)</f>
        <v>22968.1</v>
      </c>
      <c r="I632" s="34">
        <f t="shared" si="27"/>
        <v>82.2860725481415</v>
      </c>
    </row>
    <row r="633" spans="1:9" ht="57">
      <c r="A633" s="46" t="s">
        <v>1004</v>
      </c>
      <c r="B633" s="31"/>
      <c r="C633" s="43" t="s">
        <v>339</v>
      </c>
      <c r="D633" s="43" t="s">
        <v>201</v>
      </c>
      <c r="E633" s="110" t="s">
        <v>1003</v>
      </c>
      <c r="F633" s="130" t="s">
        <v>998</v>
      </c>
      <c r="G633" s="34">
        <v>27912.5</v>
      </c>
      <c r="H633" s="34">
        <v>22968.1</v>
      </c>
      <c r="I633" s="34">
        <f t="shared" si="27"/>
        <v>82.2860725481415</v>
      </c>
    </row>
    <row r="634" spans="1:9" ht="20.25" customHeight="1">
      <c r="A634" s="41" t="s">
        <v>1005</v>
      </c>
      <c r="B634" s="31"/>
      <c r="C634" s="110" t="s">
        <v>339</v>
      </c>
      <c r="D634" s="110" t="s">
        <v>237</v>
      </c>
      <c r="E634" s="110"/>
      <c r="F634" s="62"/>
      <c r="G634" s="77">
        <f>SUM(G635)</f>
        <v>21692.3</v>
      </c>
      <c r="H634" s="77">
        <f>SUM(H635)</f>
        <v>21330.000000000004</v>
      </c>
      <c r="I634" s="34">
        <f t="shared" si="27"/>
        <v>98.32982210277382</v>
      </c>
    </row>
    <row r="635" spans="1:9" ht="42.75" customHeight="1">
      <c r="A635" s="35" t="s">
        <v>170</v>
      </c>
      <c r="B635" s="31"/>
      <c r="C635" s="32" t="s">
        <v>339</v>
      </c>
      <c r="D635" s="32" t="s">
        <v>237</v>
      </c>
      <c r="E635" s="32" t="s">
        <v>171</v>
      </c>
      <c r="F635" s="36"/>
      <c r="G635" s="34">
        <f>SUM(G636)</f>
        <v>21692.3</v>
      </c>
      <c r="H635" s="34">
        <f>SUM(H636)</f>
        <v>21330.000000000004</v>
      </c>
      <c r="I635" s="34">
        <f t="shared" si="27"/>
        <v>98.32982210277382</v>
      </c>
    </row>
    <row r="636" spans="1:9" ht="15">
      <c r="A636" s="35" t="s">
        <v>178</v>
      </c>
      <c r="B636" s="31"/>
      <c r="C636" s="32" t="s">
        <v>339</v>
      </c>
      <c r="D636" s="32" t="s">
        <v>237</v>
      </c>
      <c r="E636" s="32" t="s">
        <v>180</v>
      </c>
      <c r="F636" s="36"/>
      <c r="G636" s="34">
        <f>SUM(G644+G638+G640+G646+G637)</f>
        <v>21692.3</v>
      </c>
      <c r="H636" s="34">
        <f>SUM(H644+H638+H640+H646+H637)</f>
        <v>21330.000000000004</v>
      </c>
      <c r="I636" s="34">
        <f t="shared" si="27"/>
        <v>98.32982210277382</v>
      </c>
    </row>
    <row r="637" spans="1:9" ht="27.75" customHeight="1">
      <c r="A637" s="41" t="s">
        <v>174</v>
      </c>
      <c r="B637" s="143"/>
      <c r="C637" s="32" t="s">
        <v>339</v>
      </c>
      <c r="D637" s="32" t="s">
        <v>237</v>
      </c>
      <c r="E637" s="32" t="s">
        <v>180</v>
      </c>
      <c r="F637" s="215" t="s">
        <v>175</v>
      </c>
      <c r="G637" s="34">
        <v>270.1</v>
      </c>
      <c r="H637" s="34">
        <v>269.9</v>
      </c>
      <c r="I637" s="34">
        <f t="shared" si="27"/>
        <v>99.92595335061087</v>
      </c>
    </row>
    <row r="638" spans="1:9" ht="49.5" customHeight="1" hidden="1">
      <c r="A638" s="41" t="s">
        <v>1006</v>
      </c>
      <c r="B638" s="143"/>
      <c r="C638" s="32" t="s">
        <v>339</v>
      </c>
      <c r="D638" s="32" t="s">
        <v>237</v>
      </c>
      <c r="E638" s="32" t="s">
        <v>1007</v>
      </c>
      <c r="F638" s="215"/>
      <c r="G638" s="34">
        <f>SUM(G639)</f>
        <v>0</v>
      </c>
      <c r="H638" s="34">
        <f>SUM(H639)</f>
        <v>0</v>
      </c>
      <c r="I638" s="34" t="e">
        <f t="shared" si="27"/>
        <v>#DIV/0!</v>
      </c>
    </row>
    <row r="639" spans="1:9" ht="31.5" customHeight="1" hidden="1">
      <c r="A639" s="41" t="s">
        <v>174</v>
      </c>
      <c r="B639" s="143"/>
      <c r="C639" s="32" t="s">
        <v>339</v>
      </c>
      <c r="D639" s="32" t="s">
        <v>237</v>
      </c>
      <c r="E639" s="32" t="s">
        <v>1007</v>
      </c>
      <c r="F639" s="215" t="s">
        <v>175</v>
      </c>
      <c r="G639" s="34"/>
      <c r="H639" s="34"/>
      <c r="I639" s="34" t="e">
        <f t="shared" si="27"/>
        <v>#DIV/0!</v>
      </c>
    </row>
    <row r="640" spans="1:9" s="129" customFormat="1" ht="32.25" customHeight="1">
      <c r="A640" s="41" t="s">
        <v>1008</v>
      </c>
      <c r="B640" s="143"/>
      <c r="C640" s="32" t="s">
        <v>339</v>
      </c>
      <c r="D640" s="32" t="s">
        <v>237</v>
      </c>
      <c r="E640" s="32" t="s">
        <v>1009</v>
      </c>
      <c r="F640" s="215"/>
      <c r="G640" s="34">
        <f>SUM(G641)</f>
        <v>3564.7</v>
      </c>
      <c r="H640" s="34">
        <f>SUM(H641)</f>
        <v>3564.7</v>
      </c>
      <c r="I640" s="34">
        <f t="shared" si="27"/>
        <v>100</v>
      </c>
    </row>
    <row r="641" spans="1:9" s="129" customFormat="1" ht="30.75" customHeight="1">
      <c r="A641" s="41" t="s">
        <v>174</v>
      </c>
      <c r="B641" s="66"/>
      <c r="C641" s="32" t="s">
        <v>339</v>
      </c>
      <c r="D641" s="32" t="s">
        <v>237</v>
      </c>
      <c r="E641" s="32" t="s">
        <v>1009</v>
      </c>
      <c r="F641" s="215" t="s">
        <v>175</v>
      </c>
      <c r="G641" s="34">
        <v>3564.7</v>
      </c>
      <c r="H641" s="34">
        <v>3564.7</v>
      </c>
      <c r="I641" s="34">
        <f t="shared" si="27"/>
        <v>100</v>
      </c>
    </row>
    <row r="642" spans="1:9" s="129" customFormat="1" ht="0.75" customHeight="1" hidden="1">
      <c r="A642" s="41" t="s">
        <v>1010</v>
      </c>
      <c r="B642" s="66"/>
      <c r="C642" s="32" t="s">
        <v>339</v>
      </c>
      <c r="D642" s="32" t="s">
        <v>237</v>
      </c>
      <c r="E642" s="32" t="s">
        <v>1011</v>
      </c>
      <c r="F642" s="215"/>
      <c r="G642" s="34"/>
      <c r="H642" s="34"/>
      <c r="I642" s="34" t="e">
        <f t="shared" si="27"/>
        <v>#DIV/0!</v>
      </c>
    </row>
    <row r="643" spans="1:9" ht="24" customHeight="1" hidden="1">
      <c r="A643" s="41" t="s">
        <v>174</v>
      </c>
      <c r="B643" s="143"/>
      <c r="C643" s="32" t="s">
        <v>339</v>
      </c>
      <c r="D643" s="32" t="s">
        <v>237</v>
      </c>
      <c r="E643" s="32" t="s">
        <v>1011</v>
      </c>
      <c r="F643" s="215" t="s">
        <v>175</v>
      </c>
      <c r="G643" s="34"/>
      <c r="H643" s="34"/>
      <c r="I643" s="34" t="e">
        <f t="shared" si="27"/>
        <v>#DIV/0!</v>
      </c>
    </row>
    <row r="644" spans="1:9" ht="49.5" customHeight="1">
      <c r="A644" s="41" t="s">
        <v>1006</v>
      </c>
      <c r="B644" s="143"/>
      <c r="C644" s="32" t="s">
        <v>339</v>
      </c>
      <c r="D644" s="32" t="s">
        <v>237</v>
      </c>
      <c r="E644" s="32" t="s">
        <v>1007</v>
      </c>
      <c r="F644" s="215"/>
      <c r="G644" s="34">
        <f>SUM(G645)</f>
        <v>14799.7</v>
      </c>
      <c r="H644" s="34">
        <f>SUM(H645)</f>
        <v>14484.5</v>
      </c>
      <c r="I644" s="34">
        <f t="shared" si="27"/>
        <v>97.87022709919795</v>
      </c>
    </row>
    <row r="645" spans="1:9" ht="31.5" customHeight="1">
      <c r="A645" s="41" t="s">
        <v>174</v>
      </c>
      <c r="B645" s="143"/>
      <c r="C645" s="32" t="s">
        <v>339</v>
      </c>
      <c r="D645" s="32" t="s">
        <v>237</v>
      </c>
      <c r="E645" s="32" t="s">
        <v>1007</v>
      </c>
      <c r="F645" s="215" t="s">
        <v>175</v>
      </c>
      <c r="G645" s="34">
        <v>14799.7</v>
      </c>
      <c r="H645" s="34">
        <v>14484.5</v>
      </c>
      <c r="I645" s="34">
        <f t="shared" si="27"/>
        <v>97.87022709919795</v>
      </c>
    </row>
    <row r="646" spans="1:9" s="129" customFormat="1" ht="45.75" customHeight="1">
      <c r="A646" s="41" t="s">
        <v>1010</v>
      </c>
      <c r="B646" s="66"/>
      <c r="C646" s="32" t="s">
        <v>339</v>
      </c>
      <c r="D646" s="32" t="s">
        <v>237</v>
      </c>
      <c r="E646" s="32" t="s">
        <v>1012</v>
      </c>
      <c r="F646" s="215"/>
      <c r="G646" s="34">
        <f>SUM(G647)</f>
        <v>3057.8</v>
      </c>
      <c r="H646" s="34">
        <f>SUM(H647)</f>
        <v>3010.9</v>
      </c>
      <c r="I646" s="34">
        <f t="shared" si="27"/>
        <v>98.46621754202367</v>
      </c>
    </row>
    <row r="647" spans="1:9" ht="15.75" customHeight="1">
      <c r="A647" s="41" t="s">
        <v>174</v>
      </c>
      <c r="B647" s="143"/>
      <c r="C647" s="32" t="s">
        <v>339</v>
      </c>
      <c r="D647" s="32" t="s">
        <v>237</v>
      </c>
      <c r="E647" s="32" t="s">
        <v>1012</v>
      </c>
      <c r="F647" s="215" t="s">
        <v>175</v>
      </c>
      <c r="G647" s="34">
        <v>3057.8</v>
      </c>
      <c r="H647" s="34">
        <v>3010.9</v>
      </c>
      <c r="I647" s="34">
        <f t="shared" si="27"/>
        <v>98.46621754202367</v>
      </c>
    </row>
    <row r="648" spans="1:9" ht="30.75" customHeight="1">
      <c r="A648" s="204" t="s">
        <v>132</v>
      </c>
      <c r="B648" s="123" t="s">
        <v>133</v>
      </c>
      <c r="C648" s="58"/>
      <c r="D648" s="121"/>
      <c r="E648" s="121"/>
      <c r="F648" s="122"/>
      <c r="G648" s="203">
        <f>SUM(G649+G656)</f>
        <v>2342.7999999999997</v>
      </c>
      <c r="H648" s="203">
        <f>SUM(H649+H656)</f>
        <v>2171.4</v>
      </c>
      <c r="I648" s="57">
        <f t="shared" si="27"/>
        <v>92.68396790165615</v>
      </c>
    </row>
    <row r="649" spans="1:9" ht="24.75" customHeight="1">
      <c r="A649" s="30" t="s">
        <v>166</v>
      </c>
      <c r="B649" s="31"/>
      <c r="C649" s="32" t="s">
        <v>167</v>
      </c>
      <c r="D649" s="32"/>
      <c r="E649" s="32"/>
      <c r="F649" s="33"/>
      <c r="G649" s="34">
        <f>SUM(G650)</f>
        <v>2342.7999999999997</v>
      </c>
      <c r="H649" s="34">
        <f>SUM(H650)</f>
        <v>2171.4</v>
      </c>
      <c r="I649" s="34">
        <f t="shared" si="27"/>
        <v>92.68396790165615</v>
      </c>
    </row>
    <row r="650" spans="1:9" ht="18" customHeight="1">
      <c r="A650" s="35" t="s">
        <v>183</v>
      </c>
      <c r="B650" s="31"/>
      <c r="C650" s="32" t="s">
        <v>167</v>
      </c>
      <c r="D650" s="32" t="s">
        <v>258</v>
      </c>
      <c r="E650" s="32"/>
      <c r="F650" s="33"/>
      <c r="G650" s="34">
        <f>SUM(G651+G654)</f>
        <v>2342.7999999999997</v>
      </c>
      <c r="H650" s="34">
        <f>SUM(H651+H654)</f>
        <v>2171.4</v>
      </c>
      <c r="I650" s="34">
        <f t="shared" si="27"/>
        <v>92.68396790165615</v>
      </c>
    </row>
    <row r="651" spans="1:9" ht="28.5">
      <c r="A651" s="35" t="s">
        <v>259</v>
      </c>
      <c r="B651" s="31"/>
      <c r="C651" s="32" t="s">
        <v>167</v>
      </c>
      <c r="D651" s="32" t="s">
        <v>258</v>
      </c>
      <c r="E651" s="32" t="s">
        <v>171</v>
      </c>
      <c r="F651" s="36"/>
      <c r="G651" s="34">
        <f>SUM(G652)</f>
        <v>2342.7999999999997</v>
      </c>
      <c r="H651" s="34">
        <f>SUM(H652)</f>
        <v>2171.4</v>
      </c>
      <c r="I651" s="34">
        <f t="shared" si="27"/>
        <v>92.68396790165615</v>
      </c>
    </row>
    <row r="652" spans="1:9" s="124" customFormat="1" ht="28.5">
      <c r="A652" s="35" t="s">
        <v>263</v>
      </c>
      <c r="B652" s="31"/>
      <c r="C652" s="32" t="s">
        <v>167</v>
      </c>
      <c r="D652" s="32" t="s">
        <v>258</v>
      </c>
      <c r="E652" s="32" t="s">
        <v>264</v>
      </c>
      <c r="F652" s="36"/>
      <c r="G652" s="34">
        <f>SUM(G653)</f>
        <v>2342.7999999999997</v>
      </c>
      <c r="H652" s="34">
        <f>SUM(H653)</f>
        <v>2171.4</v>
      </c>
      <c r="I652" s="34">
        <f t="shared" si="27"/>
        <v>92.68396790165615</v>
      </c>
    </row>
    <row r="653" spans="1:9" ht="14.25" customHeight="1">
      <c r="A653" s="52" t="s">
        <v>265</v>
      </c>
      <c r="B653" s="31"/>
      <c r="C653" s="32" t="s">
        <v>167</v>
      </c>
      <c r="D653" s="32" t="s">
        <v>258</v>
      </c>
      <c r="E653" s="32" t="s">
        <v>264</v>
      </c>
      <c r="F653" s="36" t="s">
        <v>266</v>
      </c>
      <c r="G653" s="34">
        <f>2441.2+16.6-115</f>
        <v>2342.7999999999997</v>
      </c>
      <c r="H653" s="34">
        <v>2171.4</v>
      </c>
      <c r="I653" s="34">
        <f t="shared" si="27"/>
        <v>92.68396790165615</v>
      </c>
    </row>
    <row r="654" spans="1:9" ht="42.75" hidden="1">
      <c r="A654" s="35" t="s">
        <v>196</v>
      </c>
      <c r="B654" s="31"/>
      <c r="C654" s="32" t="s">
        <v>167</v>
      </c>
      <c r="D654" s="32" t="s">
        <v>184</v>
      </c>
      <c r="E654" s="32" t="s">
        <v>197</v>
      </c>
      <c r="F654" s="33"/>
      <c r="G654" s="34">
        <f>SUM(G655)</f>
        <v>0</v>
      </c>
      <c r="H654" s="34">
        <f>SUM(H655)</f>
        <v>0</v>
      </c>
      <c r="I654" s="34" t="e">
        <f t="shared" si="27"/>
        <v>#DIV/0!</v>
      </c>
    </row>
    <row r="655" spans="1:9" ht="28.5" customHeight="1" hidden="1">
      <c r="A655" s="35" t="s">
        <v>198</v>
      </c>
      <c r="B655" s="31"/>
      <c r="C655" s="32" t="s">
        <v>167</v>
      </c>
      <c r="D655" s="32" t="s">
        <v>184</v>
      </c>
      <c r="E655" s="32" t="s">
        <v>197</v>
      </c>
      <c r="F655" s="33" t="s">
        <v>199</v>
      </c>
      <c r="G655" s="34"/>
      <c r="H655" s="34"/>
      <c r="I655" s="34" t="e">
        <f t="shared" si="27"/>
        <v>#DIV/0!</v>
      </c>
    </row>
    <row r="656" spans="1:9" ht="20.25" customHeight="1" hidden="1">
      <c r="A656" s="41" t="s">
        <v>189</v>
      </c>
      <c r="B656" s="42"/>
      <c r="C656" s="43" t="s">
        <v>190</v>
      </c>
      <c r="D656" s="32"/>
      <c r="E656" s="32"/>
      <c r="F656" s="33"/>
      <c r="G656" s="34">
        <f aca="true" t="shared" si="28" ref="G656:H658">SUM(G657)</f>
        <v>0</v>
      </c>
      <c r="H656" s="34">
        <f t="shared" si="28"/>
        <v>0</v>
      </c>
      <c r="I656" s="34" t="e">
        <f aca="true" t="shared" si="29" ref="I656:I719">SUM(H656/G656*100)</f>
        <v>#DIV/0!</v>
      </c>
    </row>
    <row r="657" spans="1:9" ht="19.5" customHeight="1" hidden="1">
      <c r="A657" s="35" t="s">
        <v>191</v>
      </c>
      <c r="B657" s="39"/>
      <c r="C657" s="32" t="s">
        <v>190</v>
      </c>
      <c r="D657" s="32" t="s">
        <v>190</v>
      </c>
      <c r="E657" s="32"/>
      <c r="F657" s="33"/>
      <c r="G657" s="34">
        <f t="shared" si="28"/>
        <v>0</v>
      </c>
      <c r="H657" s="34">
        <f t="shared" si="28"/>
        <v>0</v>
      </c>
      <c r="I657" s="34" t="e">
        <f t="shared" si="29"/>
        <v>#DIV/0!</v>
      </c>
    </row>
    <row r="658" spans="1:9" ht="32.25" customHeight="1" hidden="1">
      <c r="A658" s="35" t="s">
        <v>192</v>
      </c>
      <c r="B658" s="39"/>
      <c r="C658" s="32" t="s">
        <v>190</v>
      </c>
      <c r="D658" s="32" t="s">
        <v>190</v>
      </c>
      <c r="E658" s="32" t="s">
        <v>193</v>
      </c>
      <c r="F658" s="33"/>
      <c r="G658" s="34">
        <f t="shared" si="28"/>
        <v>0</v>
      </c>
      <c r="H658" s="34">
        <f t="shared" si="28"/>
        <v>0</v>
      </c>
      <c r="I658" s="34" t="e">
        <f t="shared" si="29"/>
        <v>#DIV/0!</v>
      </c>
    </row>
    <row r="659" spans="1:9" ht="15" hidden="1">
      <c r="A659" s="35" t="s">
        <v>194</v>
      </c>
      <c r="B659" s="39"/>
      <c r="C659" s="32" t="s">
        <v>190</v>
      </c>
      <c r="D659" s="32" t="s">
        <v>190</v>
      </c>
      <c r="E659" s="32" t="s">
        <v>193</v>
      </c>
      <c r="F659" s="33" t="s">
        <v>195</v>
      </c>
      <c r="G659" s="34"/>
      <c r="H659" s="34"/>
      <c r="I659" s="34" t="e">
        <f t="shared" si="29"/>
        <v>#DIV/0!</v>
      </c>
    </row>
    <row r="660" spans="1:9" ht="30" customHeight="1">
      <c r="A660" s="204" t="s">
        <v>134</v>
      </c>
      <c r="B660" s="123" t="s">
        <v>135</v>
      </c>
      <c r="C660" s="58"/>
      <c r="D660" s="121"/>
      <c r="E660" s="121"/>
      <c r="F660" s="122"/>
      <c r="G660" s="203">
        <f>SUM(G661)</f>
        <v>55146.7</v>
      </c>
      <c r="H660" s="203">
        <f>SUM(H661)</f>
        <v>54896.2</v>
      </c>
      <c r="I660" s="57">
        <f t="shared" si="29"/>
        <v>99.5457570443925</v>
      </c>
    </row>
    <row r="661" spans="1:9" ht="17.25" customHeight="1">
      <c r="A661" s="30" t="s">
        <v>284</v>
      </c>
      <c r="B661" s="31"/>
      <c r="C661" s="32" t="s">
        <v>177</v>
      </c>
      <c r="D661" s="32"/>
      <c r="E661" s="32"/>
      <c r="F661" s="33"/>
      <c r="G661" s="34">
        <f>SUM(G662)</f>
        <v>55146.7</v>
      </c>
      <c r="H661" s="34">
        <f>SUM(H662)</f>
        <v>54896.2</v>
      </c>
      <c r="I661" s="34">
        <f t="shared" si="29"/>
        <v>99.5457570443925</v>
      </c>
    </row>
    <row r="662" spans="1:9" ht="21" customHeight="1">
      <c r="A662" s="30" t="s">
        <v>285</v>
      </c>
      <c r="B662" s="31"/>
      <c r="C662" s="32" t="s">
        <v>177</v>
      </c>
      <c r="D662" s="32" t="s">
        <v>169</v>
      </c>
      <c r="E662" s="32"/>
      <c r="F662" s="33"/>
      <c r="G662" s="34">
        <f>SUM(G663+G680)</f>
        <v>55146.7</v>
      </c>
      <c r="H662" s="34">
        <f>SUM(H663+H680)</f>
        <v>54896.2</v>
      </c>
      <c r="I662" s="34">
        <f t="shared" si="29"/>
        <v>99.5457570443925</v>
      </c>
    </row>
    <row r="663" spans="1:9" ht="19.5" customHeight="1">
      <c r="A663" s="49" t="s">
        <v>286</v>
      </c>
      <c r="B663" s="31"/>
      <c r="C663" s="32" t="s">
        <v>177</v>
      </c>
      <c r="D663" s="32" t="s">
        <v>169</v>
      </c>
      <c r="E663" s="58" t="s">
        <v>287</v>
      </c>
      <c r="F663" s="33"/>
      <c r="G663" s="34">
        <f>SUM(G664+G666+G668+G670+G673+G678)</f>
        <v>53735.799999999996</v>
      </c>
      <c r="H663" s="34">
        <f>SUM(H664+H666+H668+H670+H673+H678)</f>
        <v>53485.299999999996</v>
      </c>
      <c r="I663" s="34">
        <f t="shared" si="29"/>
        <v>99.53383033285073</v>
      </c>
    </row>
    <row r="664" spans="1:9" ht="70.5" customHeight="1">
      <c r="A664" s="49" t="s">
        <v>288</v>
      </c>
      <c r="B664" s="31"/>
      <c r="C664" s="32" t="s">
        <v>177</v>
      </c>
      <c r="D664" s="32" t="s">
        <v>169</v>
      </c>
      <c r="E664" s="58" t="s">
        <v>289</v>
      </c>
      <c r="F664" s="33"/>
      <c r="G664" s="34">
        <f>SUM(G665)</f>
        <v>13022.4</v>
      </c>
      <c r="H664" s="34">
        <f>SUM(H665)</f>
        <v>13022.4</v>
      </c>
      <c r="I664" s="34">
        <f t="shared" si="29"/>
        <v>100</v>
      </c>
    </row>
    <row r="665" spans="1:9" ht="42.75">
      <c r="A665" s="49" t="s">
        <v>290</v>
      </c>
      <c r="B665" s="31"/>
      <c r="C665" s="32" t="s">
        <v>177</v>
      </c>
      <c r="D665" s="32" t="s">
        <v>169</v>
      </c>
      <c r="E665" s="58" t="s">
        <v>289</v>
      </c>
      <c r="F665" s="33" t="s">
        <v>291</v>
      </c>
      <c r="G665" s="34">
        <v>13022.4</v>
      </c>
      <c r="H665" s="34">
        <v>13022.4</v>
      </c>
      <c r="I665" s="34">
        <f t="shared" si="29"/>
        <v>100</v>
      </c>
    </row>
    <row r="666" spans="1:9" ht="21" customHeight="1">
      <c r="A666" s="49" t="s">
        <v>292</v>
      </c>
      <c r="B666" s="31"/>
      <c r="C666" s="32" t="s">
        <v>177</v>
      </c>
      <c r="D666" s="32" t="s">
        <v>169</v>
      </c>
      <c r="E666" s="58" t="s">
        <v>293</v>
      </c>
      <c r="F666" s="33"/>
      <c r="G666" s="34">
        <f>SUM(G667)</f>
        <v>26258.5</v>
      </c>
      <c r="H666" s="34">
        <f>SUM(H667)</f>
        <v>26258.5</v>
      </c>
      <c r="I666" s="34">
        <f t="shared" si="29"/>
        <v>100</v>
      </c>
    </row>
    <row r="667" spans="1:9" ht="43.5" customHeight="1">
      <c r="A667" s="49" t="s">
        <v>290</v>
      </c>
      <c r="B667" s="31"/>
      <c r="C667" s="32" t="s">
        <v>177</v>
      </c>
      <c r="D667" s="32" t="s">
        <v>169</v>
      </c>
      <c r="E667" s="58" t="s">
        <v>293</v>
      </c>
      <c r="F667" s="33" t="s">
        <v>291</v>
      </c>
      <c r="G667" s="34">
        <v>26258.5</v>
      </c>
      <c r="H667" s="34">
        <v>26258.5</v>
      </c>
      <c r="I667" s="34">
        <f t="shared" si="29"/>
        <v>100</v>
      </c>
    </row>
    <row r="668" spans="1:9" ht="30.75" customHeight="1">
      <c r="A668" s="49" t="s">
        <v>294</v>
      </c>
      <c r="B668" s="31"/>
      <c r="C668" s="32" t="s">
        <v>177</v>
      </c>
      <c r="D668" s="32" t="s">
        <v>169</v>
      </c>
      <c r="E668" s="58" t="s">
        <v>295</v>
      </c>
      <c r="F668" s="33"/>
      <c r="G668" s="34">
        <f>SUM(G669)</f>
        <v>11616.6</v>
      </c>
      <c r="H668" s="34">
        <f>SUM(H669)</f>
        <v>11499</v>
      </c>
      <c r="I668" s="34">
        <f t="shared" si="29"/>
        <v>98.98765559630183</v>
      </c>
    </row>
    <row r="669" spans="1:9" ht="43.5" customHeight="1">
      <c r="A669" s="49" t="s">
        <v>290</v>
      </c>
      <c r="B669" s="31"/>
      <c r="C669" s="32" t="s">
        <v>177</v>
      </c>
      <c r="D669" s="32" t="s">
        <v>169</v>
      </c>
      <c r="E669" s="58" t="s">
        <v>295</v>
      </c>
      <c r="F669" s="33" t="s">
        <v>291</v>
      </c>
      <c r="G669" s="34">
        <f>11517.6+99</f>
        <v>11616.6</v>
      </c>
      <c r="H669" s="34">
        <v>11499</v>
      </c>
      <c r="I669" s="34">
        <f t="shared" si="29"/>
        <v>98.98765559630183</v>
      </c>
    </row>
    <row r="670" spans="1:9" s="132" customFormat="1" ht="15">
      <c r="A670" s="49" t="s">
        <v>296</v>
      </c>
      <c r="B670" s="31"/>
      <c r="C670" s="32" t="s">
        <v>177</v>
      </c>
      <c r="D670" s="32" t="s">
        <v>169</v>
      </c>
      <c r="E670" s="58" t="s">
        <v>297</v>
      </c>
      <c r="F670" s="33"/>
      <c r="G670" s="34">
        <f>SUM(G671)</f>
        <v>97.5</v>
      </c>
      <c r="H670" s="34">
        <f>SUM(H671)</f>
        <v>73.5</v>
      </c>
      <c r="I670" s="34">
        <f t="shared" si="29"/>
        <v>75.38461538461539</v>
      </c>
    </row>
    <row r="671" spans="1:9" s="132" customFormat="1" ht="36.75" customHeight="1">
      <c r="A671" s="49" t="s">
        <v>298</v>
      </c>
      <c r="B671" s="31"/>
      <c r="C671" s="32" t="s">
        <v>177</v>
      </c>
      <c r="D671" s="32" t="s">
        <v>169</v>
      </c>
      <c r="E671" s="58" t="s">
        <v>299</v>
      </c>
      <c r="F671" s="33"/>
      <c r="G671" s="34">
        <f>SUM(G672)</f>
        <v>97.5</v>
      </c>
      <c r="H671" s="34">
        <f>SUM(H672)</f>
        <v>73.5</v>
      </c>
      <c r="I671" s="34">
        <f t="shared" si="29"/>
        <v>75.38461538461539</v>
      </c>
    </row>
    <row r="672" spans="1:9" s="132" customFormat="1" ht="42.75">
      <c r="A672" s="49" t="s">
        <v>290</v>
      </c>
      <c r="B672" s="31"/>
      <c r="C672" s="32" t="s">
        <v>177</v>
      </c>
      <c r="D672" s="32" t="s">
        <v>169</v>
      </c>
      <c r="E672" s="58" t="s">
        <v>299</v>
      </c>
      <c r="F672" s="33" t="s">
        <v>291</v>
      </c>
      <c r="G672" s="34">
        <v>97.5</v>
      </c>
      <c r="H672" s="34">
        <v>73.5</v>
      </c>
      <c r="I672" s="34">
        <f t="shared" si="29"/>
        <v>75.38461538461539</v>
      </c>
    </row>
    <row r="673" spans="1:9" s="132" customFormat="1" ht="17.25" customHeight="1">
      <c r="A673" s="30" t="s">
        <v>300</v>
      </c>
      <c r="B673" s="31"/>
      <c r="C673" s="32" t="s">
        <v>301</v>
      </c>
      <c r="D673" s="32" t="s">
        <v>169</v>
      </c>
      <c r="E673" s="58" t="s">
        <v>302</v>
      </c>
      <c r="F673" s="33"/>
      <c r="G673" s="34">
        <f>SUM(G674+G676)</f>
        <v>1085.6</v>
      </c>
      <c r="H673" s="34">
        <f>SUM(H674+H676)</f>
        <v>976.7</v>
      </c>
      <c r="I673" s="34">
        <f t="shared" si="29"/>
        <v>89.9686809137804</v>
      </c>
    </row>
    <row r="674" spans="1:9" ht="14.25" customHeight="1">
      <c r="A674" s="49" t="s">
        <v>303</v>
      </c>
      <c r="B674" s="31"/>
      <c r="C674" s="32" t="s">
        <v>301</v>
      </c>
      <c r="D674" s="32" t="s">
        <v>169</v>
      </c>
      <c r="E674" s="58" t="s">
        <v>304</v>
      </c>
      <c r="F674" s="33"/>
      <c r="G674" s="34">
        <f>SUM(G675)</f>
        <v>955.6</v>
      </c>
      <c r="H674" s="34">
        <f>SUM(H675)</f>
        <v>846.7</v>
      </c>
      <c r="I674" s="34">
        <f t="shared" si="29"/>
        <v>88.60401841774801</v>
      </c>
    </row>
    <row r="675" spans="1:9" ht="41.25" customHeight="1">
      <c r="A675" s="49" t="s">
        <v>290</v>
      </c>
      <c r="B675" s="31"/>
      <c r="C675" s="32" t="s">
        <v>301</v>
      </c>
      <c r="D675" s="32" t="s">
        <v>169</v>
      </c>
      <c r="E675" s="58" t="s">
        <v>304</v>
      </c>
      <c r="F675" s="33" t="s">
        <v>291</v>
      </c>
      <c r="G675" s="34">
        <f>1060-104.4</f>
        <v>955.6</v>
      </c>
      <c r="H675" s="34">
        <v>846.7</v>
      </c>
      <c r="I675" s="34">
        <f t="shared" si="29"/>
        <v>88.60401841774801</v>
      </c>
    </row>
    <row r="676" spans="1:9" ht="15.75" customHeight="1">
      <c r="A676" s="49" t="s">
        <v>305</v>
      </c>
      <c r="B676" s="31"/>
      <c r="C676" s="32" t="s">
        <v>301</v>
      </c>
      <c r="D676" s="32" t="s">
        <v>169</v>
      </c>
      <c r="E676" s="58" t="s">
        <v>306</v>
      </c>
      <c r="F676" s="33"/>
      <c r="G676" s="34">
        <f>SUM(G677)</f>
        <v>130</v>
      </c>
      <c r="H676" s="34">
        <f>SUM(H677)</f>
        <v>130</v>
      </c>
      <c r="I676" s="34">
        <f t="shared" si="29"/>
        <v>100</v>
      </c>
    </row>
    <row r="677" spans="1:9" ht="48" customHeight="1">
      <c r="A677" s="49" t="s">
        <v>290</v>
      </c>
      <c r="B677" s="31"/>
      <c r="C677" s="32" t="s">
        <v>301</v>
      </c>
      <c r="D677" s="32" t="s">
        <v>169</v>
      </c>
      <c r="E677" s="58" t="s">
        <v>306</v>
      </c>
      <c r="F677" s="33" t="s">
        <v>291</v>
      </c>
      <c r="G677" s="34">
        <v>130</v>
      </c>
      <c r="H677" s="34">
        <v>130</v>
      </c>
      <c r="I677" s="34">
        <f t="shared" si="29"/>
        <v>100</v>
      </c>
    </row>
    <row r="678" spans="1:9" ht="47.25" customHeight="1">
      <c r="A678" s="30" t="s">
        <v>307</v>
      </c>
      <c r="B678" s="31"/>
      <c r="C678" s="32" t="s">
        <v>301</v>
      </c>
      <c r="D678" s="32" t="s">
        <v>169</v>
      </c>
      <c r="E678" s="58" t="s">
        <v>308</v>
      </c>
      <c r="F678" s="33"/>
      <c r="G678" s="34">
        <f>SUM(G679)</f>
        <v>1655.2</v>
      </c>
      <c r="H678" s="34">
        <f>SUM(H679)</f>
        <v>1655.2</v>
      </c>
      <c r="I678" s="34">
        <f t="shared" si="29"/>
        <v>100</v>
      </c>
    </row>
    <row r="679" spans="1:9" ht="21" customHeight="1">
      <c r="A679" s="49" t="s">
        <v>309</v>
      </c>
      <c r="B679" s="31"/>
      <c r="C679" s="32" t="s">
        <v>301</v>
      </c>
      <c r="D679" s="32" t="s">
        <v>169</v>
      </c>
      <c r="E679" s="58" t="s">
        <v>308</v>
      </c>
      <c r="F679" s="33" t="s">
        <v>310</v>
      </c>
      <c r="G679" s="34">
        <f>1649.8+5.4</f>
        <v>1655.2</v>
      </c>
      <c r="H679" s="34">
        <f>1649.8+5.4</f>
        <v>1655.2</v>
      </c>
      <c r="I679" s="34">
        <f t="shared" si="29"/>
        <v>100</v>
      </c>
    </row>
    <row r="680" spans="1:9" ht="21" customHeight="1">
      <c r="A680" s="59" t="s">
        <v>278</v>
      </c>
      <c r="B680" s="60"/>
      <c r="C680" s="60" t="s">
        <v>177</v>
      </c>
      <c r="D680" s="60" t="s">
        <v>169</v>
      </c>
      <c r="E680" s="61" t="s">
        <v>279</v>
      </c>
      <c r="F680" s="62"/>
      <c r="G680" s="34">
        <f>SUM(G681)</f>
        <v>1410.9</v>
      </c>
      <c r="H680" s="34">
        <f>SUM(H681)</f>
        <v>1410.9</v>
      </c>
      <c r="I680" s="34">
        <f t="shared" si="29"/>
        <v>100</v>
      </c>
    </row>
    <row r="681" spans="1:9" ht="43.5" customHeight="1">
      <c r="A681" s="49" t="s">
        <v>290</v>
      </c>
      <c r="B681" s="63"/>
      <c r="C681" s="64" t="s">
        <v>177</v>
      </c>
      <c r="D681" s="64" t="s">
        <v>169</v>
      </c>
      <c r="E681" s="64" t="s">
        <v>311</v>
      </c>
      <c r="F681" s="65" t="s">
        <v>291</v>
      </c>
      <c r="G681" s="34">
        <f>SUM(G682)</f>
        <v>1410.9</v>
      </c>
      <c r="H681" s="34">
        <f>SUM(H682)</f>
        <v>1410.9</v>
      </c>
      <c r="I681" s="34">
        <f t="shared" si="29"/>
        <v>100</v>
      </c>
    </row>
    <row r="682" spans="1:9" ht="48" customHeight="1">
      <c r="A682" s="41" t="s">
        <v>312</v>
      </c>
      <c r="B682" s="66"/>
      <c r="C682" s="64" t="s">
        <v>177</v>
      </c>
      <c r="D682" s="64" t="s">
        <v>169</v>
      </c>
      <c r="E682" s="64" t="s">
        <v>313</v>
      </c>
      <c r="F682" s="65" t="s">
        <v>291</v>
      </c>
      <c r="G682" s="67">
        <v>1410.9</v>
      </c>
      <c r="H682" s="67">
        <v>1410.9</v>
      </c>
      <c r="I682" s="34">
        <f t="shared" si="29"/>
        <v>100</v>
      </c>
    </row>
    <row r="683" spans="1:9" ht="21" customHeight="1">
      <c r="A683" s="204" t="s">
        <v>136</v>
      </c>
      <c r="B683" s="123" t="s">
        <v>137</v>
      </c>
      <c r="C683" s="216"/>
      <c r="D683" s="216"/>
      <c r="E683" s="216"/>
      <c r="F683" s="217"/>
      <c r="G683" s="203">
        <f>SUM(G688+G806)</f>
        <v>831385.6000000001</v>
      </c>
      <c r="H683" s="203">
        <f>SUM(H688+H806)</f>
        <v>816358.6000000001</v>
      </c>
      <c r="I683" s="57">
        <f t="shared" si="29"/>
        <v>98.19253544925483</v>
      </c>
    </row>
    <row r="684" spans="1:9" ht="15" hidden="1">
      <c r="A684" s="30" t="s">
        <v>200</v>
      </c>
      <c r="B684" s="31"/>
      <c r="C684" s="32" t="s">
        <v>201</v>
      </c>
      <c r="D684" s="32"/>
      <c r="E684" s="32"/>
      <c r="F684" s="33"/>
      <c r="G684" s="34">
        <f aca="true" t="shared" si="30" ref="G684:H686">SUM(G685)</f>
        <v>0</v>
      </c>
      <c r="H684" s="34">
        <f t="shared" si="30"/>
        <v>0</v>
      </c>
      <c r="I684" s="34" t="e">
        <f t="shared" si="29"/>
        <v>#DIV/0!</v>
      </c>
    </row>
    <row r="685" spans="1:9" ht="18" customHeight="1" hidden="1">
      <c r="A685" s="30" t="s">
        <v>490</v>
      </c>
      <c r="B685" s="31"/>
      <c r="C685" s="32" t="s">
        <v>201</v>
      </c>
      <c r="D685" s="48" t="s">
        <v>167</v>
      </c>
      <c r="E685" s="121"/>
      <c r="F685" s="122"/>
      <c r="G685" s="34">
        <f t="shared" si="30"/>
        <v>0</v>
      </c>
      <c r="H685" s="34">
        <f t="shared" si="30"/>
        <v>0</v>
      </c>
      <c r="I685" s="34" t="e">
        <f t="shared" si="29"/>
        <v>#DIV/0!</v>
      </c>
    </row>
    <row r="686" spans="1:9" ht="17.25" customHeight="1" hidden="1">
      <c r="A686" s="30" t="s">
        <v>491</v>
      </c>
      <c r="B686" s="31"/>
      <c r="C686" s="32" t="s">
        <v>201</v>
      </c>
      <c r="D686" s="48" t="s">
        <v>167</v>
      </c>
      <c r="E686" s="58" t="s">
        <v>492</v>
      </c>
      <c r="F686" s="122"/>
      <c r="G686" s="34">
        <f t="shared" si="30"/>
        <v>0</v>
      </c>
      <c r="H686" s="34">
        <f t="shared" si="30"/>
        <v>0</v>
      </c>
      <c r="I686" s="34" t="e">
        <f t="shared" si="29"/>
        <v>#DIV/0!</v>
      </c>
    </row>
    <row r="687" spans="1:9" ht="15" hidden="1">
      <c r="A687" s="30" t="s">
        <v>493</v>
      </c>
      <c r="B687" s="31"/>
      <c r="C687" s="32" t="s">
        <v>201</v>
      </c>
      <c r="D687" s="48" t="s">
        <v>167</v>
      </c>
      <c r="E687" s="58" t="s">
        <v>492</v>
      </c>
      <c r="F687" s="122">
        <v>273</v>
      </c>
      <c r="G687" s="34"/>
      <c r="H687" s="34"/>
      <c r="I687" s="34" t="e">
        <f t="shared" si="29"/>
        <v>#DIV/0!</v>
      </c>
    </row>
    <row r="688" spans="1:9" ht="18.75" customHeight="1">
      <c r="A688" s="30" t="s">
        <v>189</v>
      </c>
      <c r="B688" s="31"/>
      <c r="C688" s="48" t="s">
        <v>190</v>
      </c>
      <c r="D688" s="48"/>
      <c r="E688" s="48"/>
      <c r="F688" s="36"/>
      <c r="G688" s="34">
        <f>SUM(G689+G706+G760+G775)</f>
        <v>807694.8</v>
      </c>
      <c r="H688" s="34">
        <f>SUM(H689+H706+H760+H775)</f>
        <v>799919.1000000001</v>
      </c>
      <c r="I688" s="34">
        <f t="shared" si="29"/>
        <v>99.0372972563399</v>
      </c>
    </row>
    <row r="689" spans="1:9" ht="14.25" customHeight="1">
      <c r="A689" s="35" t="s">
        <v>494</v>
      </c>
      <c r="B689" s="123"/>
      <c r="C689" s="48" t="s">
        <v>190</v>
      </c>
      <c r="D689" s="48" t="s">
        <v>167</v>
      </c>
      <c r="E689" s="48"/>
      <c r="F689" s="36"/>
      <c r="G689" s="34">
        <f>SUM(G690+G703)</f>
        <v>298072.4000000001</v>
      </c>
      <c r="H689" s="34">
        <f>SUM(H690+H703)</f>
        <v>295584.6</v>
      </c>
      <c r="I689" s="34">
        <f t="shared" si="29"/>
        <v>99.16537056097778</v>
      </c>
    </row>
    <row r="690" spans="1:9" ht="21" customHeight="1">
      <c r="A690" s="35" t="s">
        <v>495</v>
      </c>
      <c r="B690" s="123"/>
      <c r="C690" s="48" t="s">
        <v>190</v>
      </c>
      <c r="D690" s="48" t="s">
        <v>167</v>
      </c>
      <c r="E690" s="48" t="s">
        <v>496</v>
      </c>
      <c r="F690" s="36"/>
      <c r="G690" s="34">
        <f>SUM(G691)</f>
        <v>281400.00000000006</v>
      </c>
      <c r="H690" s="34">
        <f>SUM(H691)</f>
        <v>280096.5</v>
      </c>
      <c r="I690" s="34">
        <f t="shared" si="29"/>
        <v>99.53678038379529</v>
      </c>
    </row>
    <row r="691" spans="1:9" ht="29.25">
      <c r="A691" s="35" t="s">
        <v>263</v>
      </c>
      <c r="B691" s="123"/>
      <c r="C691" s="48" t="s">
        <v>190</v>
      </c>
      <c r="D691" s="48" t="s">
        <v>167</v>
      </c>
      <c r="E691" s="48" t="s">
        <v>497</v>
      </c>
      <c r="F691" s="36"/>
      <c r="G691" s="34">
        <f>SUM(G692+G696+G698+G700)+G693</f>
        <v>281400.00000000006</v>
      </c>
      <c r="H691" s="34">
        <f>SUM(H692+H696+H698+H700)+H693</f>
        <v>280096.5</v>
      </c>
      <c r="I691" s="34">
        <f t="shared" si="29"/>
        <v>99.53678038379529</v>
      </c>
    </row>
    <row r="692" spans="1:9" ht="17.25" customHeight="1">
      <c r="A692" s="52" t="s">
        <v>265</v>
      </c>
      <c r="B692" s="69"/>
      <c r="C692" s="70" t="s">
        <v>190</v>
      </c>
      <c r="D692" s="70" t="s">
        <v>167</v>
      </c>
      <c r="E692" s="70" t="s">
        <v>497</v>
      </c>
      <c r="F692" s="37" t="s">
        <v>266</v>
      </c>
      <c r="G692" s="34">
        <f>234703.5+330</f>
        <v>235033.5</v>
      </c>
      <c r="H692" s="34">
        <v>234109.5</v>
      </c>
      <c r="I692" s="34">
        <f t="shared" si="29"/>
        <v>99.6068645533509</v>
      </c>
    </row>
    <row r="693" spans="1:9" ht="82.5" customHeight="1">
      <c r="A693" s="52" t="s">
        <v>500</v>
      </c>
      <c r="B693" s="69"/>
      <c r="C693" s="70" t="s">
        <v>190</v>
      </c>
      <c r="D693" s="70" t="s">
        <v>167</v>
      </c>
      <c r="E693" s="70" t="s">
        <v>501</v>
      </c>
      <c r="F693" s="37"/>
      <c r="G693" s="34">
        <f>SUM(G694)</f>
        <v>547.9</v>
      </c>
      <c r="H693" s="34">
        <f>SUM(H694)</f>
        <v>336.2</v>
      </c>
      <c r="I693" s="34">
        <f t="shared" si="29"/>
        <v>61.36156232889214</v>
      </c>
    </row>
    <row r="694" spans="1:9" ht="30.75" customHeight="1">
      <c r="A694" s="52" t="s">
        <v>502</v>
      </c>
      <c r="B694" s="69"/>
      <c r="C694" s="70" t="s">
        <v>190</v>
      </c>
      <c r="D694" s="70" t="s">
        <v>167</v>
      </c>
      <c r="E694" s="70" t="s">
        <v>501</v>
      </c>
      <c r="F694" s="37" t="s">
        <v>503</v>
      </c>
      <c r="G694" s="34">
        <v>547.9</v>
      </c>
      <c r="H694" s="34">
        <v>336.2</v>
      </c>
      <c r="I694" s="34">
        <f t="shared" si="29"/>
        <v>61.36156232889214</v>
      </c>
    </row>
    <row r="695" spans="1:9" ht="63" customHeight="1" hidden="1">
      <c r="A695" s="52" t="s">
        <v>498</v>
      </c>
      <c r="B695" s="69"/>
      <c r="C695" s="70" t="s">
        <v>190</v>
      </c>
      <c r="D695" s="70" t="s">
        <v>167</v>
      </c>
      <c r="E695" s="70" t="s">
        <v>497</v>
      </c>
      <c r="F695" s="36" t="s">
        <v>499</v>
      </c>
      <c r="G695" s="34"/>
      <c r="H695" s="34"/>
      <c r="I695" s="34" t="e">
        <f t="shared" si="29"/>
        <v>#DIV/0!</v>
      </c>
    </row>
    <row r="696" spans="1:9" ht="37.5" customHeight="1">
      <c r="A696" s="52" t="s">
        <v>504</v>
      </c>
      <c r="B696" s="31"/>
      <c r="C696" s="70" t="s">
        <v>190</v>
      </c>
      <c r="D696" s="70" t="s">
        <v>167</v>
      </c>
      <c r="E696" s="70" t="s">
        <v>505</v>
      </c>
      <c r="F696" s="36"/>
      <c r="G696" s="34">
        <f>SUM(G697)</f>
        <v>23780</v>
      </c>
      <c r="H696" s="34">
        <f>SUM(H697)</f>
        <v>23780</v>
      </c>
      <c r="I696" s="34">
        <f t="shared" si="29"/>
        <v>100</v>
      </c>
    </row>
    <row r="697" spans="1:9" ht="20.25" customHeight="1">
      <c r="A697" s="52" t="s">
        <v>265</v>
      </c>
      <c r="B697" s="31"/>
      <c r="C697" s="70" t="s">
        <v>190</v>
      </c>
      <c r="D697" s="70" t="s">
        <v>167</v>
      </c>
      <c r="E697" s="70" t="s">
        <v>505</v>
      </c>
      <c r="F697" s="36" t="s">
        <v>266</v>
      </c>
      <c r="G697" s="34">
        <v>23780</v>
      </c>
      <c r="H697" s="34">
        <v>23780</v>
      </c>
      <c r="I697" s="34">
        <f t="shared" si="29"/>
        <v>100</v>
      </c>
    </row>
    <row r="698" spans="1:9" ht="28.5" customHeight="1">
      <c r="A698" s="52" t="s">
        <v>506</v>
      </c>
      <c r="B698" s="31"/>
      <c r="C698" s="70" t="s">
        <v>190</v>
      </c>
      <c r="D698" s="70" t="s">
        <v>167</v>
      </c>
      <c r="E698" s="70" t="s">
        <v>507</v>
      </c>
      <c r="F698" s="36"/>
      <c r="G698" s="34">
        <f>SUM(G699)</f>
        <v>1804.2</v>
      </c>
      <c r="H698" s="34">
        <f>SUM(H699)</f>
        <v>1636.4</v>
      </c>
      <c r="I698" s="34">
        <f t="shared" si="29"/>
        <v>90.6994789934597</v>
      </c>
    </row>
    <row r="699" spans="1:9" ht="20.25" customHeight="1">
      <c r="A699" s="52" t="s">
        <v>265</v>
      </c>
      <c r="B699" s="31"/>
      <c r="C699" s="70" t="s">
        <v>190</v>
      </c>
      <c r="D699" s="70" t="s">
        <v>167</v>
      </c>
      <c r="E699" s="70" t="s">
        <v>507</v>
      </c>
      <c r="F699" s="36" t="s">
        <v>266</v>
      </c>
      <c r="G699" s="34">
        <v>1804.2</v>
      </c>
      <c r="H699" s="34">
        <v>1636.4</v>
      </c>
      <c r="I699" s="34">
        <f t="shared" si="29"/>
        <v>90.6994789934597</v>
      </c>
    </row>
    <row r="700" spans="1:9" ht="58.5" customHeight="1">
      <c r="A700" s="35" t="s">
        <v>508</v>
      </c>
      <c r="B700" s="39"/>
      <c r="C700" s="70" t="s">
        <v>190</v>
      </c>
      <c r="D700" s="70" t="s">
        <v>167</v>
      </c>
      <c r="E700" s="70" t="s">
        <v>509</v>
      </c>
      <c r="F700" s="37"/>
      <c r="G700" s="34">
        <f>SUM(G702)</f>
        <v>20234.4</v>
      </c>
      <c r="H700" s="34">
        <f>SUM(H702)</f>
        <v>20234.4</v>
      </c>
      <c r="I700" s="34">
        <f t="shared" si="29"/>
        <v>100</v>
      </c>
    </row>
    <row r="701" spans="1:9" ht="0.75" customHeight="1" hidden="1">
      <c r="A701" s="35" t="s">
        <v>528</v>
      </c>
      <c r="B701" s="39"/>
      <c r="C701" s="70" t="s">
        <v>190</v>
      </c>
      <c r="D701" s="70" t="s">
        <v>167</v>
      </c>
      <c r="E701" s="70" t="s">
        <v>497</v>
      </c>
      <c r="F701" s="37" t="s">
        <v>529</v>
      </c>
      <c r="G701" s="34"/>
      <c r="H701" s="34"/>
      <c r="I701" s="34" t="e">
        <f t="shared" si="29"/>
        <v>#DIV/0!</v>
      </c>
    </row>
    <row r="702" spans="1:9" ht="18.75" customHeight="1">
      <c r="A702" s="52" t="s">
        <v>265</v>
      </c>
      <c r="B702" s="39"/>
      <c r="C702" s="70" t="s">
        <v>190</v>
      </c>
      <c r="D702" s="70" t="s">
        <v>167</v>
      </c>
      <c r="E702" s="70" t="s">
        <v>509</v>
      </c>
      <c r="F702" s="37" t="s">
        <v>266</v>
      </c>
      <c r="G702" s="34">
        <v>20234.4</v>
      </c>
      <c r="H702" s="34">
        <v>20234.4</v>
      </c>
      <c r="I702" s="34">
        <f t="shared" si="29"/>
        <v>100</v>
      </c>
    </row>
    <row r="703" spans="1:9" ht="18.75" customHeight="1">
      <c r="A703" s="35" t="s">
        <v>331</v>
      </c>
      <c r="B703" s="69"/>
      <c r="C703" s="70" t="s">
        <v>190</v>
      </c>
      <c r="D703" s="70" t="s">
        <v>167</v>
      </c>
      <c r="E703" s="48" t="s">
        <v>332</v>
      </c>
      <c r="F703" s="37"/>
      <c r="G703" s="34">
        <f>SUM(G704)</f>
        <v>16672.4</v>
      </c>
      <c r="H703" s="34">
        <f>SUM(H704)</f>
        <v>15488.1</v>
      </c>
      <c r="I703" s="34">
        <f t="shared" si="29"/>
        <v>92.89664355461721</v>
      </c>
    </row>
    <row r="704" spans="1:9" ht="63" customHeight="1">
      <c r="A704" s="35" t="s">
        <v>510</v>
      </c>
      <c r="B704" s="69"/>
      <c r="C704" s="70" t="s">
        <v>190</v>
      </c>
      <c r="D704" s="70" t="s">
        <v>167</v>
      </c>
      <c r="E704" s="48" t="s">
        <v>511</v>
      </c>
      <c r="F704" s="37"/>
      <c r="G704" s="34">
        <f>SUM(G705)</f>
        <v>16672.4</v>
      </c>
      <c r="H704" s="34">
        <f>SUM(H705)</f>
        <v>15488.1</v>
      </c>
      <c r="I704" s="34">
        <f t="shared" si="29"/>
        <v>92.89664355461721</v>
      </c>
    </row>
    <row r="705" spans="1:9" ht="18.75" customHeight="1">
      <c r="A705" s="52" t="s">
        <v>265</v>
      </c>
      <c r="B705" s="69"/>
      <c r="C705" s="70" t="s">
        <v>190</v>
      </c>
      <c r="D705" s="70" t="s">
        <v>167</v>
      </c>
      <c r="E705" s="48" t="s">
        <v>511</v>
      </c>
      <c r="F705" s="37" t="s">
        <v>266</v>
      </c>
      <c r="G705" s="34">
        <v>16672.4</v>
      </c>
      <c r="H705" s="34">
        <v>15488.1</v>
      </c>
      <c r="I705" s="34">
        <f t="shared" si="29"/>
        <v>92.89664355461721</v>
      </c>
    </row>
    <row r="706" spans="1:9" ht="19.5" customHeight="1">
      <c r="A706" s="35" t="s">
        <v>512</v>
      </c>
      <c r="B706" s="123"/>
      <c r="C706" s="48" t="s">
        <v>190</v>
      </c>
      <c r="D706" s="48" t="s">
        <v>169</v>
      </c>
      <c r="E706" s="48"/>
      <c r="F706" s="36"/>
      <c r="G706" s="34">
        <f>SUM(G712+G730+G740+G755)+G758+G751+G707</f>
        <v>456545.9</v>
      </c>
      <c r="H706" s="34">
        <f>SUM(H712+H730+H740+H755)+H758+H751+H707</f>
        <v>451609.00000000006</v>
      </c>
      <c r="I706" s="34">
        <f t="shared" si="29"/>
        <v>98.91864103915948</v>
      </c>
    </row>
    <row r="707" spans="1:9" ht="18.75" customHeight="1">
      <c r="A707" s="35" t="s">
        <v>253</v>
      </c>
      <c r="B707" s="123"/>
      <c r="C707" s="48" t="s">
        <v>190</v>
      </c>
      <c r="D707" s="48" t="s">
        <v>169</v>
      </c>
      <c r="E707" s="48" t="s">
        <v>230</v>
      </c>
      <c r="F707" s="36"/>
      <c r="G707" s="34">
        <f>SUM(G708+G710)</f>
        <v>895.4</v>
      </c>
      <c r="H707" s="34">
        <f>SUM(H708+H710)</f>
        <v>895.4</v>
      </c>
      <c r="I707" s="34">
        <f t="shared" si="29"/>
        <v>100</v>
      </c>
    </row>
    <row r="708" spans="1:9" ht="20.25" customHeight="1">
      <c r="A708" s="98" t="s">
        <v>513</v>
      </c>
      <c r="B708" s="123"/>
      <c r="C708" s="48" t="s">
        <v>190</v>
      </c>
      <c r="D708" s="48" t="s">
        <v>169</v>
      </c>
      <c r="E708" s="48" t="s">
        <v>514</v>
      </c>
      <c r="F708" s="36"/>
      <c r="G708" s="34">
        <f>SUM(G709)</f>
        <v>800</v>
      </c>
      <c r="H708" s="34">
        <f>SUM(H709)</f>
        <v>800</v>
      </c>
      <c r="I708" s="34">
        <f t="shared" si="29"/>
        <v>100</v>
      </c>
    </row>
    <row r="709" spans="1:9" ht="20.25" customHeight="1">
      <c r="A709" s="52" t="s">
        <v>265</v>
      </c>
      <c r="B709" s="123"/>
      <c r="C709" s="48" t="s">
        <v>190</v>
      </c>
      <c r="D709" s="48" t="s">
        <v>169</v>
      </c>
      <c r="E709" s="48" t="s">
        <v>514</v>
      </c>
      <c r="F709" s="36" t="s">
        <v>266</v>
      </c>
      <c r="G709" s="34">
        <v>800</v>
      </c>
      <c r="H709" s="34">
        <v>800</v>
      </c>
      <c r="I709" s="34">
        <f t="shared" si="29"/>
        <v>100</v>
      </c>
    </row>
    <row r="710" spans="1:9" ht="20.25" customHeight="1">
      <c r="A710" s="30" t="s">
        <v>255</v>
      </c>
      <c r="B710" s="31"/>
      <c r="C710" s="48" t="s">
        <v>190</v>
      </c>
      <c r="D710" s="48" t="s">
        <v>169</v>
      </c>
      <c r="E710" s="32" t="s">
        <v>256</v>
      </c>
      <c r="F710" s="36"/>
      <c r="G710" s="34">
        <f>SUM(G711)</f>
        <v>95.4</v>
      </c>
      <c r="H710" s="34">
        <f>SUM(H711)</f>
        <v>95.4</v>
      </c>
      <c r="I710" s="34">
        <f t="shared" si="29"/>
        <v>100</v>
      </c>
    </row>
    <row r="711" spans="1:9" ht="20.25" customHeight="1">
      <c r="A711" s="52" t="s">
        <v>265</v>
      </c>
      <c r="B711" s="123"/>
      <c r="C711" s="48" t="s">
        <v>190</v>
      </c>
      <c r="D711" s="48" t="s">
        <v>169</v>
      </c>
      <c r="E711" s="48" t="s">
        <v>256</v>
      </c>
      <c r="F711" s="36" t="s">
        <v>266</v>
      </c>
      <c r="G711" s="34">
        <v>95.4</v>
      </c>
      <c r="H711" s="34">
        <v>95.4</v>
      </c>
      <c r="I711" s="34">
        <f t="shared" si="29"/>
        <v>100</v>
      </c>
    </row>
    <row r="712" spans="1:9" ht="27.75" customHeight="1">
      <c r="A712" s="35" t="s">
        <v>515</v>
      </c>
      <c r="B712" s="123"/>
      <c r="C712" s="48" t="s">
        <v>190</v>
      </c>
      <c r="D712" s="48" t="s">
        <v>169</v>
      </c>
      <c r="E712" s="48" t="s">
        <v>516</v>
      </c>
      <c r="F712" s="36"/>
      <c r="G712" s="34">
        <f>SUM(G713)</f>
        <v>367324.4</v>
      </c>
      <c r="H712" s="34">
        <f>SUM(H713)</f>
        <v>363696.20000000007</v>
      </c>
      <c r="I712" s="34">
        <f t="shared" si="29"/>
        <v>99.01226273016441</v>
      </c>
    </row>
    <row r="713" spans="1:9" ht="37.5" customHeight="1">
      <c r="A713" s="35" t="s">
        <v>263</v>
      </c>
      <c r="B713" s="123"/>
      <c r="C713" s="48" t="s">
        <v>190</v>
      </c>
      <c r="D713" s="48" t="s">
        <v>169</v>
      </c>
      <c r="E713" s="48" t="s">
        <v>517</v>
      </c>
      <c r="F713" s="36"/>
      <c r="G713" s="34">
        <f>SUM(G714+G721+G723+G728)+G725+G716+G719</f>
        <v>367324.4</v>
      </c>
      <c r="H713" s="34">
        <f>SUM(H714+H721+H723+H728)+H725+H716+H719</f>
        <v>363696.20000000007</v>
      </c>
      <c r="I713" s="34">
        <f t="shared" si="29"/>
        <v>99.01226273016441</v>
      </c>
    </row>
    <row r="714" spans="1:9" ht="19.5" customHeight="1">
      <c r="A714" s="52" t="s">
        <v>265</v>
      </c>
      <c r="B714" s="69"/>
      <c r="C714" s="48" t="s">
        <v>190</v>
      </c>
      <c r="D714" s="48" t="s">
        <v>169</v>
      </c>
      <c r="E714" s="48" t="s">
        <v>517</v>
      </c>
      <c r="F714" s="37" t="s">
        <v>266</v>
      </c>
      <c r="G714" s="34">
        <f>57020.1-330</f>
        <v>56690.1</v>
      </c>
      <c r="H714" s="34">
        <v>54573.6</v>
      </c>
      <c r="I714" s="34">
        <f t="shared" si="29"/>
        <v>96.2665438939074</v>
      </c>
    </row>
    <row r="715" spans="1:9" ht="78" customHeight="1">
      <c r="A715" s="52" t="s">
        <v>500</v>
      </c>
      <c r="B715" s="69"/>
      <c r="C715" s="48" t="s">
        <v>190</v>
      </c>
      <c r="D715" s="48" t="s">
        <v>169</v>
      </c>
      <c r="E715" s="48" t="s">
        <v>520</v>
      </c>
      <c r="F715" s="37"/>
      <c r="G715" s="34">
        <f>SUM(G716)</f>
        <v>907.8</v>
      </c>
      <c r="H715" s="34">
        <f>SUM(H716)</f>
        <v>872.7</v>
      </c>
      <c r="I715" s="34">
        <f t="shared" si="29"/>
        <v>96.13350958360873</v>
      </c>
    </row>
    <row r="716" spans="1:9" ht="31.5" customHeight="1">
      <c r="A716" s="52" t="s">
        <v>502</v>
      </c>
      <c r="B716" s="69"/>
      <c r="C716" s="48" t="s">
        <v>190</v>
      </c>
      <c r="D716" s="48" t="s">
        <v>169</v>
      </c>
      <c r="E716" s="48" t="s">
        <v>520</v>
      </c>
      <c r="F716" s="37" t="s">
        <v>503</v>
      </c>
      <c r="G716" s="34">
        <v>907.8</v>
      </c>
      <c r="H716" s="34">
        <v>872.7</v>
      </c>
      <c r="I716" s="34">
        <f t="shared" si="29"/>
        <v>96.13350958360873</v>
      </c>
    </row>
    <row r="717" spans="1:9" ht="28.5" customHeight="1" hidden="1">
      <c r="A717" s="52" t="s">
        <v>498</v>
      </c>
      <c r="B717" s="69"/>
      <c r="C717" s="48" t="s">
        <v>190</v>
      </c>
      <c r="D717" s="48" t="s">
        <v>169</v>
      </c>
      <c r="E717" s="48" t="s">
        <v>517</v>
      </c>
      <c r="F717" s="36" t="s">
        <v>499</v>
      </c>
      <c r="G717" s="34"/>
      <c r="H717" s="34"/>
      <c r="I717" s="34" t="e">
        <f t="shared" si="29"/>
        <v>#DIV/0!</v>
      </c>
    </row>
    <row r="718" spans="1:9" ht="30" customHeight="1" hidden="1">
      <c r="A718" s="52" t="s">
        <v>518</v>
      </c>
      <c r="B718" s="69"/>
      <c r="C718" s="48" t="s">
        <v>190</v>
      </c>
      <c r="D718" s="48" t="s">
        <v>169</v>
      </c>
      <c r="E718" s="48" t="s">
        <v>517</v>
      </c>
      <c r="F718" s="37" t="s">
        <v>519</v>
      </c>
      <c r="G718" s="34"/>
      <c r="H718" s="34"/>
      <c r="I718" s="34" t="e">
        <f t="shared" si="29"/>
        <v>#DIV/0!</v>
      </c>
    </row>
    <row r="719" spans="1:9" ht="30" customHeight="1">
      <c r="A719" s="52" t="s">
        <v>521</v>
      </c>
      <c r="B719" s="69"/>
      <c r="C719" s="48" t="s">
        <v>190</v>
      </c>
      <c r="D719" s="48" t="s">
        <v>169</v>
      </c>
      <c r="E719" s="70" t="s">
        <v>522</v>
      </c>
      <c r="F719" s="37"/>
      <c r="G719" s="34">
        <f>SUM(G720)</f>
        <v>344.7</v>
      </c>
      <c r="H719" s="34">
        <f>SUM(H720)</f>
        <v>344.7</v>
      </c>
      <c r="I719" s="34">
        <f t="shared" si="29"/>
        <v>100</v>
      </c>
    </row>
    <row r="720" spans="1:9" ht="22.5" customHeight="1">
      <c r="A720" s="52" t="s">
        <v>265</v>
      </c>
      <c r="B720" s="69"/>
      <c r="C720" s="48" t="s">
        <v>190</v>
      </c>
      <c r="D720" s="48" t="s">
        <v>169</v>
      </c>
      <c r="E720" s="70" t="s">
        <v>522</v>
      </c>
      <c r="F720" s="37" t="s">
        <v>266</v>
      </c>
      <c r="G720" s="34">
        <v>344.7</v>
      </c>
      <c r="H720" s="34">
        <v>344.7</v>
      </c>
      <c r="I720" s="34">
        <f aca="true" t="shared" si="31" ref="I720:I783">SUM(H720/G720*100)</f>
        <v>100</v>
      </c>
    </row>
    <row r="721" spans="1:9" ht="76.5" customHeight="1">
      <c r="A721" s="52" t="s">
        <v>523</v>
      </c>
      <c r="B721" s="69"/>
      <c r="C721" s="48" t="s">
        <v>190</v>
      </c>
      <c r="D721" s="48" t="s">
        <v>169</v>
      </c>
      <c r="E721" s="48" t="s">
        <v>524</v>
      </c>
      <c r="F721" s="37"/>
      <c r="G721" s="34">
        <f>SUM(G722)</f>
        <v>11833.1</v>
      </c>
      <c r="H721" s="34">
        <f>SUM(H722)</f>
        <v>10544.6</v>
      </c>
      <c r="I721" s="34">
        <f t="shared" si="31"/>
        <v>89.11105289400074</v>
      </c>
    </row>
    <row r="722" spans="1:9" ht="18" customHeight="1">
      <c r="A722" s="52" t="s">
        <v>265</v>
      </c>
      <c r="B722" s="69"/>
      <c r="C722" s="48" t="s">
        <v>190</v>
      </c>
      <c r="D722" s="48" t="s">
        <v>169</v>
      </c>
      <c r="E722" s="48" t="s">
        <v>524</v>
      </c>
      <c r="F722" s="37" t="s">
        <v>266</v>
      </c>
      <c r="G722" s="34">
        <v>11833.1</v>
      </c>
      <c r="H722" s="34">
        <v>10544.6</v>
      </c>
      <c r="I722" s="34">
        <f t="shared" si="31"/>
        <v>89.11105289400074</v>
      </c>
    </row>
    <row r="723" spans="1:9" ht="58.5" customHeight="1">
      <c r="A723" s="35" t="s">
        <v>508</v>
      </c>
      <c r="B723" s="39"/>
      <c r="C723" s="48" t="s">
        <v>190</v>
      </c>
      <c r="D723" s="48" t="s">
        <v>169</v>
      </c>
      <c r="E723" s="48" t="s">
        <v>525</v>
      </c>
      <c r="F723" s="37"/>
      <c r="G723" s="34">
        <f>SUM(G724)</f>
        <v>21633</v>
      </c>
      <c r="H723" s="34">
        <f>SUM(H724)</f>
        <v>21633</v>
      </c>
      <c r="I723" s="34">
        <f t="shared" si="31"/>
        <v>100</v>
      </c>
    </row>
    <row r="724" spans="1:9" ht="17.25" customHeight="1">
      <c r="A724" s="52" t="s">
        <v>265</v>
      </c>
      <c r="B724" s="39"/>
      <c r="C724" s="48" t="s">
        <v>190</v>
      </c>
      <c r="D724" s="48" t="s">
        <v>169</v>
      </c>
      <c r="E724" s="48" t="s">
        <v>525</v>
      </c>
      <c r="F724" s="37" t="s">
        <v>266</v>
      </c>
      <c r="G724" s="34">
        <v>21633</v>
      </c>
      <c r="H724" s="34">
        <v>21633</v>
      </c>
      <c r="I724" s="34">
        <f t="shared" si="31"/>
        <v>100</v>
      </c>
    </row>
    <row r="725" spans="1:9" ht="62.25" customHeight="1">
      <c r="A725" s="52" t="s">
        <v>526</v>
      </c>
      <c r="B725" s="69"/>
      <c r="C725" s="48" t="s">
        <v>190</v>
      </c>
      <c r="D725" s="48" t="s">
        <v>169</v>
      </c>
      <c r="E725" s="48" t="s">
        <v>527</v>
      </c>
      <c r="F725" s="37"/>
      <c r="G725" s="34">
        <f>SUM(G727)</f>
        <v>791</v>
      </c>
      <c r="H725" s="34">
        <f>SUM(H727)</f>
        <v>603.4</v>
      </c>
      <c r="I725" s="34">
        <f t="shared" si="31"/>
        <v>76.28318584070796</v>
      </c>
    </row>
    <row r="726" spans="1:9" ht="44.25" customHeight="1" hidden="1">
      <c r="A726" s="35" t="s">
        <v>528</v>
      </c>
      <c r="B726" s="69"/>
      <c r="C726" s="48" t="s">
        <v>190</v>
      </c>
      <c r="D726" s="48" t="s">
        <v>169</v>
      </c>
      <c r="E726" s="48" t="s">
        <v>517</v>
      </c>
      <c r="F726" s="37" t="s">
        <v>529</v>
      </c>
      <c r="G726" s="34"/>
      <c r="H726" s="34"/>
      <c r="I726" s="34" t="e">
        <f t="shared" si="31"/>
        <v>#DIV/0!</v>
      </c>
    </row>
    <row r="727" spans="1:9" ht="21" customHeight="1">
      <c r="A727" s="52" t="s">
        <v>265</v>
      </c>
      <c r="B727" s="69"/>
      <c r="C727" s="48" t="s">
        <v>190</v>
      </c>
      <c r="D727" s="48" t="s">
        <v>169</v>
      </c>
      <c r="E727" s="48" t="s">
        <v>527</v>
      </c>
      <c r="F727" s="37" t="s">
        <v>266</v>
      </c>
      <c r="G727" s="34">
        <v>791</v>
      </c>
      <c r="H727" s="34">
        <v>603.4</v>
      </c>
      <c r="I727" s="34">
        <f t="shared" si="31"/>
        <v>76.28318584070796</v>
      </c>
    </row>
    <row r="728" spans="1:9" ht="62.25" customHeight="1">
      <c r="A728" s="52" t="s">
        <v>531</v>
      </c>
      <c r="B728" s="69"/>
      <c r="C728" s="48" t="s">
        <v>190</v>
      </c>
      <c r="D728" s="48" t="s">
        <v>169</v>
      </c>
      <c r="E728" s="48" t="s">
        <v>532</v>
      </c>
      <c r="F728" s="37"/>
      <c r="G728" s="34">
        <f>SUM(G729)</f>
        <v>275124.7</v>
      </c>
      <c r="H728" s="34">
        <f>SUM(H729)</f>
        <v>275124.2</v>
      </c>
      <c r="I728" s="34">
        <f t="shared" si="31"/>
        <v>99.99981826422709</v>
      </c>
    </row>
    <row r="729" spans="1:9" ht="15.75">
      <c r="A729" s="52" t="s">
        <v>265</v>
      </c>
      <c r="B729" s="69"/>
      <c r="C729" s="48" t="s">
        <v>190</v>
      </c>
      <c r="D729" s="48" t="s">
        <v>169</v>
      </c>
      <c r="E729" s="48" t="s">
        <v>532</v>
      </c>
      <c r="F729" s="37" t="s">
        <v>266</v>
      </c>
      <c r="G729" s="34">
        <v>275124.7</v>
      </c>
      <c r="H729" s="34">
        <v>275124.2</v>
      </c>
      <c r="I729" s="34">
        <f t="shared" si="31"/>
        <v>99.99981826422709</v>
      </c>
    </row>
    <row r="730" spans="1:9" ht="15" customHeight="1">
      <c r="A730" s="30" t="s">
        <v>533</v>
      </c>
      <c r="B730" s="31"/>
      <c r="C730" s="48" t="s">
        <v>190</v>
      </c>
      <c r="D730" s="48" t="s">
        <v>169</v>
      </c>
      <c r="E730" s="48" t="s">
        <v>534</v>
      </c>
      <c r="F730" s="36"/>
      <c r="G730" s="34">
        <f>SUM(G731)</f>
        <v>53165.1</v>
      </c>
      <c r="H730" s="34">
        <f>SUM(H731)</f>
        <v>52417.3</v>
      </c>
      <c r="I730" s="34">
        <f t="shared" si="31"/>
        <v>98.59343817654815</v>
      </c>
    </row>
    <row r="731" spans="1:9" ht="32.25" customHeight="1">
      <c r="A731" s="35" t="s">
        <v>263</v>
      </c>
      <c r="B731" s="123"/>
      <c r="C731" s="48" t="s">
        <v>190</v>
      </c>
      <c r="D731" s="48" t="s">
        <v>169</v>
      </c>
      <c r="E731" s="48" t="s">
        <v>535</v>
      </c>
      <c r="F731" s="36"/>
      <c r="G731" s="34">
        <f>SUM(G732+G737+G733)</f>
        <v>53165.1</v>
      </c>
      <c r="H731" s="34">
        <f>SUM(H732+H737+H733)</f>
        <v>52417.3</v>
      </c>
      <c r="I731" s="34">
        <f t="shared" si="31"/>
        <v>98.59343817654815</v>
      </c>
    </row>
    <row r="732" spans="1:9" ht="19.5" customHeight="1">
      <c r="A732" s="52" t="s">
        <v>265</v>
      </c>
      <c r="B732" s="69"/>
      <c r="C732" s="48" t="s">
        <v>190</v>
      </c>
      <c r="D732" s="48" t="s">
        <v>169</v>
      </c>
      <c r="E732" s="48" t="s">
        <v>535</v>
      </c>
      <c r="F732" s="37" t="s">
        <v>266</v>
      </c>
      <c r="G732" s="34">
        <v>51144.1</v>
      </c>
      <c r="H732" s="34">
        <v>50427.8</v>
      </c>
      <c r="I732" s="34">
        <f t="shared" si="31"/>
        <v>98.59944744359565</v>
      </c>
    </row>
    <row r="733" spans="1:9" ht="78" customHeight="1">
      <c r="A733" s="52" t="s">
        <v>500</v>
      </c>
      <c r="B733" s="69"/>
      <c r="C733" s="48" t="s">
        <v>190</v>
      </c>
      <c r="D733" s="48" t="s">
        <v>169</v>
      </c>
      <c r="E733" s="48" t="s">
        <v>538</v>
      </c>
      <c r="F733" s="37"/>
      <c r="G733" s="34">
        <f>SUM(G734)</f>
        <v>191.1</v>
      </c>
      <c r="H733" s="34">
        <f>SUM(H734)</f>
        <v>159.6</v>
      </c>
      <c r="I733" s="34">
        <f t="shared" si="31"/>
        <v>83.51648351648352</v>
      </c>
    </row>
    <row r="734" spans="1:9" ht="37.5" customHeight="1">
      <c r="A734" s="52" t="s">
        <v>502</v>
      </c>
      <c r="B734" s="69"/>
      <c r="C734" s="48" t="s">
        <v>190</v>
      </c>
      <c r="D734" s="48" t="s">
        <v>169</v>
      </c>
      <c r="E734" s="48" t="s">
        <v>538</v>
      </c>
      <c r="F734" s="37" t="s">
        <v>503</v>
      </c>
      <c r="G734" s="34">
        <v>191.1</v>
      </c>
      <c r="H734" s="34">
        <v>159.6</v>
      </c>
      <c r="I734" s="34">
        <f t="shared" si="31"/>
        <v>83.51648351648352</v>
      </c>
    </row>
    <row r="735" spans="1:9" ht="27" customHeight="1" hidden="1">
      <c r="A735" s="52" t="s">
        <v>536</v>
      </c>
      <c r="B735" s="69"/>
      <c r="C735" s="48" t="s">
        <v>190</v>
      </c>
      <c r="D735" s="48" t="s">
        <v>169</v>
      </c>
      <c r="E735" s="48" t="s">
        <v>535</v>
      </c>
      <c r="F735" s="37" t="s">
        <v>537</v>
      </c>
      <c r="G735" s="34"/>
      <c r="H735" s="34"/>
      <c r="I735" s="34" t="e">
        <f t="shared" si="31"/>
        <v>#DIV/0!</v>
      </c>
    </row>
    <row r="736" spans="1:9" ht="32.25" customHeight="1" hidden="1">
      <c r="A736" s="52" t="s">
        <v>498</v>
      </c>
      <c r="B736" s="69"/>
      <c r="C736" s="48" t="s">
        <v>190</v>
      </c>
      <c r="D736" s="48" t="s">
        <v>169</v>
      </c>
      <c r="E736" s="48" t="s">
        <v>535</v>
      </c>
      <c r="F736" s="36" t="s">
        <v>499</v>
      </c>
      <c r="G736" s="34"/>
      <c r="H736" s="34"/>
      <c r="I736" s="34" t="e">
        <f t="shared" si="31"/>
        <v>#DIV/0!</v>
      </c>
    </row>
    <row r="737" spans="1:9" s="135" customFormat="1" ht="57" customHeight="1">
      <c r="A737" s="35" t="s">
        <v>508</v>
      </c>
      <c r="B737" s="69"/>
      <c r="C737" s="48" t="s">
        <v>190</v>
      </c>
      <c r="D737" s="48" t="s">
        <v>169</v>
      </c>
      <c r="E737" s="48" t="s">
        <v>539</v>
      </c>
      <c r="F737" s="37"/>
      <c r="G737" s="34">
        <f>SUM(G739)</f>
        <v>1829.9</v>
      </c>
      <c r="H737" s="34">
        <f>SUM(H739)</f>
        <v>1829.9</v>
      </c>
      <c r="I737" s="34">
        <f t="shared" si="31"/>
        <v>100</v>
      </c>
    </row>
    <row r="738" spans="1:9" ht="42.75" customHeight="1" hidden="1">
      <c r="A738" s="35" t="s">
        <v>528</v>
      </c>
      <c r="B738" s="69"/>
      <c r="C738" s="48" t="s">
        <v>190</v>
      </c>
      <c r="D738" s="48" t="s">
        <v>169</v>
      </c>
      <c r="E738" s="48" t="s">
        <v>535</v>
      </c>
      <c r="F738" s="37" t="s">
        <v>529</v>
      </c>
      <c r="G738" s="34"/>
      <c r="H738" s="34"/>
      <c r="I738" s="34" t="e">
        <f t="shared" si="31"/>
        <v>#DIV/0!</v>
      </c>
    </row>
    <row r="739" spans="1:9" ht="21.75" customHeight="1">
      <c r="A739" s="52" t="s">
        <v>265</v>
      </c>
      <c r="B739" s="69"/>
      <c r="C739" s="48" t="s">
        <v>190</v>
      </c>
      <c r="D739" s="48" t="s">
        <v>169</v>
      </c>
      <c r="E739" s="48" t="s">
        <v>539</v>
      </c>
      <c r="F739" s="37" t="s">
        <v>266</v>
      </c>
      <c r="G739" s="34">
        <v>1829.9</v>
      </c>
      <c r="H739" s="34">
        <v>1829.9</v>
      </c>
      <c r="I739" s="34">
        <f t="shared" si="31"/>
        <v>100</v>
      </c>
    </row>
    <row r="740" spans="1:9" ht="19.5" customHeight="1">
      <c r="A740" s="35" t="s">
        <v>547</v>
      </c>
      <c r="B740" s="48"/>
      <c r="C740" s="48" t="s">
        <v>190</v>
      </c>
      <c r="D740" s="48" t="s">
        <v>169</v>
      </c>
      <c r="E740" s="48" t="s">
        <v>548</v>
      </c>
      <c r="F740" s="36"/>
      <c r="G740" s="34">
        <f>SUM(G741)</f>
        <v>23497.1</v>
      </c>
      <c r="H740" s="34">
        <f>SUM(H741)</f>
        <v>23409</v>
      </c>
      <c r="I740" s="34">
        <f t="shared" si="31"/>
        <v>99.62506011380128</v>
      </c>
    </row>
    <row r="741" spans="1:9" ht="26.25" customHeight="1">
      <c r="A741" s="35" t="s">
        <v>263</v>
      </c>
      <c r="B741" s="123"/>
      <c r="C741" s="48" t="s">
        <v>190</v>
      </c>
      <c r="D741" s="48" t="s">
        <v>169</v>
      </c>
      <c r="E741" s="48" t="s">
        <v>549</v>
      </c>
      <c r="F741" s="36"/>
      <c r="G741" s="34">
        <f>SUM(G743+G747+G749+G745)</f>
        <v>23497.1</v>
      </c>
      <c r="H741" s="34">
        <f>SUM(H743+H747+H749+H745)</f>
        <v>23409</v>
      </c>
      <c r="I741" s="34">
        <f t="shared" si="31"/>
        <v>99.62506011380128</v>
      </c>
    </row>
    <row r="742" spans="1:9" ht="19.5" customHeight="1" hidden="1">
      <c r="A742" s="52" t="s">
        <v>265</v>
      </c>
      <c r="B742" s="69"/>
      <c r="C742" s="48" t="s">
        <v>190</v>
      </c>
      <c r="D742" s="48" t="s">
        <v>169</v>
      </c>
      <c r="E742" s="48" t="s">
        <v>549</v>
      </c>
      <c r="F742" s="37" t="s">
        <v>266</v>
      </c>
      <c r="G742" s="34"/>
      <c r="H742" s="34"/>
      <c r="I742" s="34" t="e">
        <f t="shared" si="31"/>
        <v>#DIV/0!</v>
      </c>
    </row>
    <row r="743" spans="1:9" ht="78" customHeight="1">
      <c r="A743" s="52" t="s">
        <v>500</v>
      </c>
      <c r="B743" s="69"/>
      <c r="C743" s="48" t="s">
        <v>190</v>
      </c>
      <c r="D743" s="48" t="s">
        <v>169</v>
      </c>
      <c r="E743" s="48" t="s">
        <v>550</v>
      </c>
      <c r="F743" s="37"/>
      <c r="G743" s="34">
        <f>SUM(G744)</f>
        <v>118</v>
      </c>
      <c r="H743" s="34">
        <f>SUM(H744)</f>
        <v>111.7</v>
      </c>
      <c r="I743" s="34">
        <f t="shared" si="31"/>
        <v>94.66101694915254</v>
      </c>
    </row>
    <row r="744" spans="1:9" ht="37.5" customHeight="1">
      <c r="A744" s="52" t="s">
        <v>502</v>
      </c>
      <c r="B744" s="69"/>
      <c r="C744" s="48" t="s">
        <v>190</v>
      </c>
      <c r="D744" s="48" t="s">
        <v>169</v>
      </c>
      <c r="E744" s="48" t="s">
        <v>550</v>
      </c>
      <c r="F744" s="37" t="s">
        <v>503</v>
      </c>
      <c r="G744" s="34">
        <v>118</v>
      </c>
      <c r="H744" s="34">
        <v>111.7</v>
      </c>
      <c r="I744" s="34">
        <f t="shared" si="31"/>
        <v>94.66101694915254</v>
      </c>
    </row>
    <row r="745" spans="1:9" ht="31.5" customHeight="1">
      <c r="A745" s="52" t="s">
        <v>521</v>
      </c>
      <c r="B745" s="69"/>
      <c r="C745" s="48" t="s">
        <v>190</v>
      </c>
      <c r="D745" s="48" t="s">
        <v>169</v>
      </c>
      <c r="E745" s="70" t="s">
        <v>551</v>
      </c>
      <c r="F745" s="37"/>
      <c r="G745" s="34">
        <f>SUM(G746)</f>
        <v>4.1</v>
      </c>
      <c r="H745" s="34">
        <f>SUM(H746)</f>
        <v>4.1</v>
      </c>
      <c r="I745" s="34">
        <f t="shared" si="31"/>
        <v>100</v>
      </c>
    </row>
    <row r="746" spans="1:9" ht="23.25" customHeight="1">
      <c r="A746" s="52" t="s">
        <v>265</v>
      </c>
      <c r="B746" s="69"/>
      <c r="C746" s="48" t="s">
        <v>190</v>
      </c>
      <c r="D746" s="48" t="s">
        <v>169</v>
      </c>
      <c r="E746" s="70" t="s">
        <v>551</v>
      </c>
      <c r="F746" s="37" t="s">
        <v>266</v>
      </c>
      <c r="G746" s="34">
        <v>4.1</v>
      </c>
      <c r="H746" s="34">
        <v>4.1</v>
      </c>
      <c r="I746" s="34">
        <f t="shared" si="31"/>
        <v>100</v>
      </c>
    </row>
    <row r="747" spans="1:9" ht="63.75" customHeight="1">
      <c r="A747" s="52" t="s">
        <v>526</v>
      </c>
      <c r="B747" s="69"/>
      <c r="C747" s="48" t="s">
        <v>190</v>
      </c>
      <c r="D747" s="48" t="s">
        <v>169</v>
      </c>
      <c r="E747" s="48" t="s">
        <v>552</v>
      </c>
      <c r="F747" s="37"/>
      <c r="G747" s="34">
        <f>SUM(G748)</f>
        <v>32</v>
      </c>
      <c r="H747" s="34">
        <f>SUM(H748)</f>
        <v>23.8</v>
      </c>
      <c r="I747" s="34">
        <f t="shared" si="31"/>
        <v>74.375</v>
      </c>
    </row>
    <row r="748" spans="1:9" ht="19.5" customHeight="1">
      <c r="A748" s="52" t="s">
        <v>265</v>
      </c>
      <c r="B748" s="69"/>
      <c r="C748" s="48" t="s">
        <v>190</v>
      </c>
      <c r="D748" s="48" t="s">
        <v>169</v>
      </c>
      <c r="E748" s="48" t="s">
        <v>552</v>
      </c>
      <c r="F748" s="37" t="s">
        <v>266</v>
      </c>
      <c r="G748" s="34">
        <v>32</v>
      </c>
      <c r="H748" s="34">
        <v>23.8</v>
      </c>
      <c r="I748" s="34">
        <f t="shared" si="31"/>
        <v>74.375</v>
      </c>
    </row>
    <row r="749" spans="1:9" ht="100.5">
      <c r="A749" s="52" t="s">
        <v>553</v>
      </c>
      <c r="B749" s="69"/>
      <c r="C749" s="48" t="s">
        <v>190</v>
      </c>
      <c r="D749" s="48" t="s">
        <v>169</v>
      </c>
      <c r="E749" s="48" t="s">
        <v>554</v>
      </c>
      <c r="F749" s="37"/>
      <c r="G749" s="34">
        <f>SUM(G750)</f>
        <v>23343</v>
      </c>
      <c r="H749" s="34">
        <f>SUM(H750)</f>
        <v>23269.4</v>
      </c>
      <c r="I749" s="34">
        <f t="shared" si="31"/>
        <v>99.68470205200704</v>
      </c>
    </row>
    <row r="750" spans="1:9" ht="19.5" customHeight="1">
      <c r="A750" s="52" t="s">
        <v>265</v>
      </c>
      <c r="B750" s="69"/>
      <c r="C750" s="48" t="s">
        <v>190</v>
      </c>
      <c r="D750" s="48" t="s">
        <v>169</v>
      </c>
      <c r="E750" s="48" t="s">
        <v>554</v>
      </c>
      <c r="F750" s="37" t="s">
        <v>266</v>
      </c>
      <c r="G750" s="34">
        <v>23343</v>
      </c>
      <c r="H750" s="34">
        <v>23269.4</v>
      </c>
      <c r="I750" s="34">
        <f t="shared" si="31"/>
        <v>99.68470205200704</v>
      </c>
    </row>
    <row r="751" spans="1:9" ht="32.25" customHeight="1" hidden="1">
      <c r="A751" s="52" t="s">
        <v>559</v>
      </c>
      <c r="B751" s="69"/>
      <c r="C751" s="48" t="s">
        <v>190</v>
      </c>
      <c r="D751" s="48" t="s">
        <v>169</v>
      </c>
      <c r="E751" s="48" t="s">
        <v>560</v>
      </c>
      <c r="F751" s="37"/>
      <c r="G751" s="34">
        <f aca="true" t="shared" si="32" ref="G751:H753">SUM(G752)</f>
        <v>0</v>
      </c>
      <c r="H751" s="34">
        <f t="shared" si="32"/>
        <v>0</v>
      </c>
      <c r="I751" s="34" t="e">
        <f t="shared" si="31"/>
        <v>#DIV/0!</v>
      </c>
    </row>
    <row r="752" spans="1:9" ht="35.25" customHeight="1" hidden="1">
      <c r="A752" s="52" t="s">
        <v>521</v>
      </c>
      <c r="B752" s="69"/>
      <c r="C752" s="48" t="s">
        <v>190</v>
      </c>
      <c r="D752" s="48" t="s">
        <v>169</v>
      </c>
      <c r="E752" s="48" t="s">
        <v>561</v>
      </c>
      <c r="F752" s="37"/>
      <c r="G752" s="34">
        <f t="shared" si="32"/>
        <v>0</v>
      </c>
      <c r="H752" s="34">
        <f t="shared" si="32"/>
        <v>0</v>
      </c>
      <c r="I752" s="34" t="e">
        <f t="shared" si="31"/>
        <v>#DIV/0!</v>
      </c>
    </row>
    <row r="753" spans="1:9" s="111" customFormat="1" ht="45.75" customHeight="1" hidden="1">
      <c r="A753" s="52" t="s">
        <v>562</v>
      </c>
      <c r="B753" s="69"/>
      <c r="C753" s="48" t="s">
        <v>190</v>
      </c>
      <c r="D753" s="48" t="s">
        <v>169</v>
      </c>
      <c r="E753" s="48" t="s">
        <v>563</v>
      </c>
      <c r="F753" s="37"/>
      <c r="G753" s="34">
        <f t="shared" si="32"/>
        <v>0</v>
      </c>
      <c r="H753" s="34">
        <f t="shared" si="32"/>
        <v>0</v>
      </c>
      <c r="I753" s="34" t="e">
        <f t="shared" si="31"/>
        <v>#DIV/0!</v>
      </c>
    </row>
    <row r="754" spans="1:9" s="132" customFormat="1" ht="25.5" customHeight="1" hidden="1">
      <c r="A754" s="52" t="s">
        <v>265</v>
      </c>
      <c r="B754" s="69"/>
      <c r="C754" s="48" t="s">
        <v>190</v>
      </c>
      <c r="D754" s="48" t="s">
        <v>169</v>
      </c>
      <c r="E754" s="48" t="s">
        <v>563</v>
      </c>
      <c r="F754" s="37" t="s">
        <v>266</v>
      </c>
      <c r="G754" s="34"/>
      <c r="H754" s="34"/>
      <c r="I754" s="34" t="e">
        <f t="shared" si="31"/>
        <v>#DIV/0!</v>
      </c>
    </row>
    <row r="755" spans="1:9" s="132" customFormat="1" ht="27.75" customHeight="1">
      <c r="A755" s="35" t="s">
        <v>491</v>
      </c>
      <c r="B755" s="48"/>
      <c r="C755" s="48" t="s">
        <v>190</v>
      </c>
      <c r="D755" s="48" t="s">
        <v>169</v>
      </c>
      <c r="E755" s="48" t="s">
        <v>564</v>
      </c>
      <c r="F755" s="36"/>
      <c r="G755" s="34">
        <f>SUM(G756)</f>
        <v>11663.9</v>
      </c>
      <c r="H755" s="34">
        <f>SUM(H756)</f>
        <v>11191.1</v>
      </c>
      <c r="I755" s="34">
        <f t="shared" si="31"/>
        <v>95.9464673051038</v>
      </c>
    </row>
    <row r="756" spans="1:9" s="132" customFormat="1" ht="28.5">
      <c r="A756" s="49" t="s">
        <v>565</v>
      </c>
      <c r="B756" s="48"/>
      <c r="C756" s="48" t="s">
        <v>190</v>
      </c>
      <c r="D756" s="48" t="s">
        <v>169</v>
      </c>
      <c r="E756" s="48" t="s">
        <v>566</v>
      </c>
      <c r="F756" s="36"/>
      <c r="G756" s="34">
        <f>SUM(G757)</f>
        <v>11663.9</v>
      </c>
      <c r="H756" s="34">
        <f>SUM(H757)</f>
        <v>11191.1</v>
      </c>
      <c r="I756" s="34">
        <f t="shared" si="31"/>
        <v>95.9464673051038</v>
      </c>
    </row>
    <row r="757" spans="1:9" s="132" customFormat="1" ht="25.5" customHeight="1">
      <c r="A757" s="52" t="s">
        <v>265</v>
      </c>
      <c r="B757" s="48"/>
      <c r="C757" s="48" t="s">
        <v>190</v>
      </c>
      <c r="D757" s="48" t="s">
        <v>169</v>
      </c>
      <c r="E757" s="48" t="s">
        <v>566</v>
      </c>
      <c r="F757" s="36" t="s">
        <v>266</v>
      </c>
      <c r="G757" s="34">
        <v>11663.9</v>
      </c>
      <c r="H757" s="34">
        <v>11191.1</v>
      </c>
      <c r="I757" s="34">
        <f t="shared" si="31"/>
        <v>95.9464673051038</v>
      </c>
    </row>
    <row r="758" spans="1:9" s="124" customFormat="1" ht="31.5" customHeight="1" hidden="1">
      <c r="A758" s="126" t="s">
        <v>491</v>
      </c>
      <c r="B758" s="48"/>
      <c r="C758" s="48" t="s">
        <v>190</v>
      </c>
      <c r="D758" s="48" t="s">
        <v>169</v>
      </c>
      <c r="E758" s="48" t="s">
        <v>564</v>
      </c>
      <c r="F758" s="36"/>
      <c r="G758" s="34">
        <f>SUM(G759)</f>
        <v>0</v>
      </c>
      <c r="H758" s="34">
        <f>SUM(H759)</f>
        <v>0</v>
      </c>
      <c r="I758" s="34" t="e">
        <f t="shared" si="31"/>
        <v>#DIV/0!</v>
      </c>
    </row>
    <row r="759" spans="1:9" ht="28.5" hidden="1">
      <c r="A759" s="108" t="s">
        <v>567</v>
      </c>
      <c r="B759" s="48"/>
      <c r="C759" s="48" t="s">
        <v>190</v>
      </c>
      <c r="D759" s="48" t="s">
        <v>169</v>
      </c>
      <c r="E759" s="48" t="s">
        <v>564</v>
      </c>
      <c r="F759" s="36" t="s">
        <v>568</v>
      </c>
      <c r="G759" s="34"/>
      <c r="H759" s="34"/>
      <c r="I759" s="34" t="e">
        <f t="shared" si="31"/>
        <v>#DIV/0!</v>
      </c>
    </row>
    <row r="760" spans="1:9" ht="20.25" customHeight="1">
      <c r="A760" s="35" t="s">
        <v>191</v>
      </c>
      <c r="B760" s="39"/>
      <c r="C760" s="32" t="s">
        <v>190</v>
      </c>
      <c r="D760" s="32" t="s">
        <v>190</v>
      </c>
      <c r="E760" s="32"/>
      <c r="F760" s="33"/>
      <c r="G760" s="34">
        <f>SUM(G761+G768+G771)</f>
        <v>6784.700000000001</v>
      </c>
      <c r="H760" s="34">
        <f>SUM(H761+H768+H771)</f>
        <v>6721.7</v>
      </c>
      <c r="I760" s="34">
        <f t="shared" si="31"/>
        <v>99.07144015210693</v>
      </c>
    </row>
    <row r="761" spans="1:9" ht="28.5">
      <c r="A761" s="46" t="s">
        <v>569</v>
      </c>
      <c r="B761" s="47"/>
      <c r="C761" s="48" t="s">
        <v>190</v>
      </c>
      <c r="D761" s="48" t="s">
        <v>190</v>
      </c>
      <c r="E761" s="48" t="s">
        <v>570</v>
      </c>
      <c r="F761" s="36"/>
      <c r="G761" s="34">
        <f>SUM(G762+G766)</f>
        <v>2976.3</v>
      </c>
      <c r="H761" s="34">
        <f>SUM(H762+H766)</f>
        <v>2938</v>
      </c>
      <c r="I761" s="34">
        <f t="shared" si="31"/>
        <v>98.71316735544131</v>
      </c>
    </row>
    <row r="762" spans="1:9" ht="20.25" customHeight="1">
      <c r="A762" s="46" t="s">
        <v>571</v>
      </c>
      <c r="B762" s="48"/>
      <c r="C762" s="48" t="s">
        <v>190</v>
      </c>
      <c r="D762" s="48" t="s">
        <v>190</v>
      </c>
      <c r="E762" s="48" t="s">
        <v>572</v>
      </c>
      <c r="F762" s="36"/>
      <c r="G762" s="34">
        <f>SUM(G763+G764)</f>
        <v>1576.6</v>
      </c>
      <c r="H762" s="34">
        <f>SUM(H763+H764)</f>
        <v>1574</v>
      </c>
      <c r="I762" s="34">
        <f t="shared" si="31"/>
        <v>99.83508816440441</v>
      </c>
    </row>
    <row r="763" spans="1:9" ht="18.75" customHeight="1">
      <c r="A763" s="52" t="s">
        <v>265</v>
      </c>
      <c r="B763" s="47"/>
      <c r="C763" s="48" t="s">
        <v>190</v>
      </c>
      <c r="D763" s="48" t="s">
        <v>190</v>
      </c>
      <c r="E763" s="48" t="s">
        <v>572</v>
      </c>
      <c r="F763" s="36" t="s">
        <v>266</v>
      </c>
      <c r="G763" s="34">
        <v>1576.6</v>
      </c>
      <c r="H763" s="34">
        <v>1574</v>
      </c>
      <c r="I763" s="34">
        <f t="shared" si="31"/>
        <v>99.83508816440441</v>
      </c>
    </row>
    <row r="764" spans="1:9" ht="28.5" hidden="1">
      <c r="A764" s="30" t="s">
        <v>263</v>
      </c>
      <c r="B764" s="47"/>
      <c r="C764" s="48" t="s">
        <v>190</v>
      </c>
      <c r="D764" s="48" t="s">
        <v>190</v>
      </c>
      <c r="E764" s="48" t="s">
        <v>573</v>
      </c>
      <c r="F764" s="36"/>
      <c r="G764" s="34">
        <f>SUM(G765)</f>
        <v>0</v>
      </c>
      <c r="H764" s="34">
        <f>SUM(H765)</f>
        <v>0</v>
      </c>
      <c r="I764" s="34" t="e">
        <f t="shared" si="31"/>
        <v>#DIV/0!</v>
      </c>
    </row>
    <row r="765" spans="1:9" ht="15" hidden="1">
      <c r="A765" s="52" t="s">
        <v>265</v>
      </c>
      <c r="B765" s="47"/>
      <c r="C765" s="48" t="s">
        <v>190</v>
      </c>
      <c r="D765" s="48" t="s">
        <v>190</v>
      </c>
      <c r="E765" s="48" t="s">
        <v>573</v>
      </c>
      <c r="F765" s="36" t="s">
        <v>266</v>
      </c>
      <c r="G765" s="34"/>
      <c r="H765" s="34"/>
      <c r="I765" s="34" t="e">
        <f t="shared" si="31"/>
        <v>#DIV/0!</v>
      </c>
    </row>
    <row r="766" spans="1:9" ht="28.5">
      <c r="A766" s="30" t="s">
        <v>263</v>
      </c>
      <c r="B766" s="47"/>
      <c r="C766" s="48" t="s">
        <v>190</v>
      </c>
      <c r="D766" s="48" t="s">
        <v>190</v>
      </c>
      <c r="E766" s="48" t="s">
        <v>574</v>
      </c>
      <c r="F766" s="36"/>
      <c r="G766" s="34">
        <f>SUM(G767)</f>
        <v>1399.7</v>
      </c>
      <c r="H766" s="34">
        <f>SUM(H767)</f>
        <v>1364</v>
      </c>
      <c r="I766" s="34">
        <f t="shared" si="31"/>
        <v>97.44945345431162</v>
      </c>
    </row>
    <row r="767" spans="1:9" ht="18.75" customHeight="1">
      <c r="A767" s="52" t="s">
        <v>265</v>
      </c>
      <c r="B767" s="47"/>
      <c r="C767" s="48" t="s">
        <v>190</v>
      </c>
      <c r="D767" s="48" t="s">
        <v>190</v>
      </c>
      <c r="E767" s="48" t="s">
        <v>574</v>
      </c>
      <c r="F767" s="36" t="s">
        <v>266</v>
      </c>
      <c r="G767" s="34">
        <v>1399.7</v>
      </c>
      <c r="H767" s="34">
        <v>1364</v>
      </c>
      <c r="I767" s="34">
        <f t="shared" si="31"/>
        <v>97.44945345431162</v>
      </c>
    </row>
    <row r="768" spans="1:9" ht="28.5">
      <c r="A768" s="49" t="s">
        <v>575</v>
      </c>
      <c r="B768" s="39"/>
      <c r="C768" s="32" t="s">
        <v>190</v>
      </c>
      <c r="D768" s="32" t="s">
        <v>190</v>
      </c>
      <c r="E768" s="32" t="s">
        <v>193</v>
      </c>
      <c r="F768" s="33"/>
      <c r="G768" s="34">
        <f>SUM(G769)</f>
        <v>3808.4</v>
      </c>
      <c r="H768" s="34">
        <f>SUM(H769)</f>
        <v>3783.7</v>
      </c>
      <c r="I768" s="34">
        <f t="shared" si="31"/>
        <v>99.35143367293351</v>
      </c>
    </row>
    <row r="769" spans="1:9" ht="15">
      <c r="A769" s="49" t="s">
        <v>576</v>
      </c>
      <c r="B769" s="39"/>
      <c r="C769" s="32" t="s">
        <v>190</v>
      </c>
      <c r="D769" s="32" t="s">
        <v>190</v>
      </c>
      <c r="E769" s="32" t="s">
        <v>577</v>
      </c>
      <c r="F769" s="33"/>
      <c r="G769" s="34">
        <f>SUM(G770)</f>
        <v>3808.4</v>
      </c>
      <c r="H769" s="34">
        <f>SUM(H770)</f>
        <v>3783.7</v>
      </c>
      <c r="I769" s="34">
        <f t="shared" si="31"/>
        <v>99.35143367293351</v>
      </c>
    </row>
    <row r="770" spans="1:9" ht="14.25" customHeight="1">
      <c r="A770" s="52" t="s">
        <v>265</v>
      </c>
      <c r="B770" s="39"/>
      <c r="C770" s="32" t="s">
        <v>190</v>
      </c>
      <c r="D770" s="32" t="s">
        <v>190</v>
      </c>
      <c r="E770" s="32" t="s">
        <v>577</v>
      </c>
      <c r="F770" s="33" t="s">
        <v>266</v>
      </c>
      <c r="G770" s="34">
        <v>3808.4</v>
      </c>
      <c r="H770" s="34">
        <v>3783.7</v>
      </c>
      <c r="I770" s="34">
        <f t="shared" si="31"/>
        <v>99.35143367293351</v>
      </c>
    </row>
    <row r="771" spans="1:9" ht="15" hidden="1">
      <c r="A771" s="127" t="s">
        <v>578</v>
      </c>
      <c r="B771" s="48"/>
      <c r="C771" s="48" t="s">
        <v>190</v>
      </c>
      <c r="D771" s="32" t="s">
        <v>190</v>
      </c>
      <c r="E771" s="48" t="s">
        <v>579</v>
      </c>
      <c r="F771" s="36"/>
      <c r="G771" s="34">
        <f aca="true" t="shared" si="33" ref="G771:H773">SUM(G772)</f>
        <v>0</v>
      </c>
      <c r="H771" s="34">
        <f t="shared" si="33"/>
        <v>0</v>
      </c>
      <c r="I771" s="34" t="e">
        <f t="shared" si="31"/>
        <v>#DIV/0!</v>
      </c>
    </row>
    <row r="772" spans="1:9" ht="57" hidden="1">
      <c r="A772" s="52" t="s">
        <v>580</v>
      </c>
      <c r="B772" s="39"/>
      <c r="C772" s="48" t="s">
        <v>190</v>
      </c>
      <c r="D772" s="32" t="s">
        <v>190</v>
      </c>
      <c r="E772" s="48" t="s">
        <v>581</v>
      </c>
      <c r="F772" s="33"/>
      <c r="G772" s="34">
        <f t="shared" si="33"/>
        <v>0</v>
      </c>
      <c r="H772" s="34">
        <f t="shared" si="33"/>
        <v>0</v>
      </c>
      <c r="I772" s="34" t="e">
        <f t="shared" si="31"/>
        <v>#DIV/0!</v>
      </c>
    </row>
    <row r="773" spans="1:9" ht="42.75" hidden="1">
      <c r="A773" s="52" t="s">
        <v>582</v>
      </c>
      <c r="B773" s="39"/>
      <c r="C773" s="48" t="s">
        <v>190</v>
      </c>
      <c r="D773" s="32" t="s">
        <v>190</v>
      </c>
      <c r="E773" s="48" t="s">
        <v>583</v>
      </c>
      <c r="F773" s="33"/>
      <c r="G773" s="34">
        <f t="shared" si="33"/>
        <v>0</v>
      </c>
      <c r="H773" s="34">
        <f t="shared" si="33"/>
        <v>0</v>
      </c>
      <c r="I773" s="34" t="e">
        <f t="shared" si="31"/>
        <v>#DIV/0!</v>
      </c>
    </row>
    <row r="774" spans="1:9" ht="15" hidden="1">
      <c r="A774" s="52" t="s">
        <v>584</v>
      </c>
      <c r="B774" s="39"/>
      <c r="C774" s="48" t="s">
        <v>190</v>
      </c>
      <c r="D774" s="32" t="s">
        <v>190</v>
      </c>
      <c r="E774" s="48" t="s">
        <v>583</v>
      </c>
      <c r="F774" s="33" t="s">
        <v>585</v>
      </c>
      <c r="G774" s="34"/>
      <c r="H774" s="34"/>
      <c r="I774" s="34" t="e">
        <f t="shared" si="31"/>
        <v>#DIV/0!</v>
      </c>
    </row>
    <row r="775" spans="1:9" ht="15">
      <c r="A775" s="30" t="s">
        <v>586</v>
      </c>
      <c r="B775" s="31"/>
      <c r="C775" s="48" t="s">
        <v>190</v>
      </c>
      <c r="D775" s="48" t="s">
        <v>317</v>
      </c>
      <c r="E775" s="48"/>
      <c r="F775" s="36"/>
      <c r="G775" s="34">
        <f>SUM(G776+G780+G787+G800)</f>
        <v>46291.8</v>
      </c>
      <c r="H775" s="34">
        <f>SUM(H776+H780+H787+H800)</f>
        <v>46003.8</v>
      </c>
      <c r="I775" s="34">
        <f t="shared" si="31"/>
        <v>99.37785957772218</v>
      </c>
    </row>
    <row r="776" spans="1:9" ht="15">
      <c r="A776" s="96" t="s">
        <v>555</v>
      </c>
      <c r="B776" s="85"/>
      <c r="C776" s="48" t="s">
        <v>190</v>
      </c>
      <c r="D776" s="48" t="s">
        <v>317</v>
      </c>
      <c r="E776" s="48" t="s">
        <v>556</v>
      </c>
      <c r="F776" s="36"/>
      <c r="G776" s="34">
        <f aca="true" t="shared" si="34" ref="G776:H778">SUM(G777)</f>
        <v>2615</v>
      </c>
      <c r="H776" s="34">
        <f t="shared" si="34"/>
        <v>2607.5</v>
      </c>
      <c r="I776" s="34">
        <f t="shared" si="31"/>
        <v>99.7131931166348</v>
      </c>
    </row>
    <row r="777" spans="1:9" ht="15">
      <c r="A777" s="35" t="s">
        <v>587</v>
      </c>
      <c r="B777" s="85"/>
      <c r="C777" s="48" t="s">
        <v>190</v>
      </c>
      <c r="D777" s="48" t="s">
        <v>317</v>
      </c>
      <c r="E777" s="48" t="s">
        <v>588</v>
      </c>
      <c r="F777" s="36"/>
      <c r="G777" s="34">
        <f t="shared" si="34"/>
        <v>2615</v>
      </c>
      <c r="H777" s="34">
        <f t="shared" si="34"/>
        <v>2607.5</v>
      </c>
      <c r="I777" s="34">
        <f t="shared" si="31"/>
        <v>99.7131931166348</v>
      </c>
    </row>
    <row r="778" spans="1:9" ht="30.75" customHeight="1">
      <c r="A778" s="52" t="s">
        <v>589</v>
      </c>
      <c r="B778" s="85"/>
      <c r="C778" s="48" t="s">
        <v>190</v>
      </c>
      <c r="D778" s="48" t="s">
        <v>317</v>
      </c>
      <c r="E778" s="48" t="s">
        <v>590</v>
      </c>
      <c r="F778" s="36"/>
      <c r="G778" s="34">
        <f t="shared" si="34"/>
        <v>2615</v>
      </c>
      <c r="H778" s="34">
        <f t="shared" si="34"/>
        <v>2607.5</v>
      </c>
      <c r="I778" s="34">
        <f t="shared" si="31"/>
        <v>99.7131931166348</v>
      </c>
    </row>
    <row r="779" spans="1:9" ht="28.5">
      <c r="A779" s="52" t="s">
        <v>174</v>
      </c>
      <c r="B779" s="85"/>
      <c r="C779" s="48" t="s">
        <v>190</v>
      </c>
      <c r="D779" s="48" t="s">
        <v>317</v>
      </c>
      <c r="E779" s="48" t="s">
        <v>590</v>
      </c>
      <c r="F779" s="36" t="s">
        <v>175</v>
      </c>
      <c r="G779" s="34">
        <v>2615</v>
      </c>
      <c r="H779" s="34">
        <v>2607.5</v>
      </c>
      <c r="I779" s="34">
        <f t="shared" si="31"/>
        <v>99.7131931166348</v>
      </c>
    </row>
    <row r="780" spans="1:9" ht="72" customHeight="1">
      <c r="A780" s="49" t="s">
        <v>591</v>
      </c>
      <c r="B780" s="31"/>
      <c r="C780" s="48" t="s">
        <v>190</v>
      </c>
      <c r="D780" s="48" t="s">
        <v>317</v>
      </c>
      <c r="E780" s="48" t="s">
        <v>592</v>
      </c>
      <c r="F780" s="36"/>
      <c r="G780" s="34">
        <f>SUM(G781)</f>
        <v>24787.9</v>
      </c>
      <c r="H780" s="34">
        <f>SUM(H781)</f>
        <v>24507.5</v>
      </c>
      <c r="I780" s="34">
        <f t="shared" si="31"/>
        <v>98.86880292400727</v>
      </c>
    </row>
    <row r="781" spans="1:9" ht="28.5">
      <c r="A781" s="35" t="s">
        <v>263</v>
      </c>
      <c r="B781" s="85"/>
      <c r="C781" s="48" t="s">
        <v>190</v>
      </c>
      <c r="D781" s="48" t="s">
        <v>317</v>
      </c>
      <c r="E781" s="48" t="s">
        <v>593</v>
      </c>
      <c r="F781" s="36"/>
      <c r="G781" s="34">
        <f>SUM(G782+G783+G785)</f>
        <v>24787.9</v>
      </c>
      <c r="H781" s="34">
        <f>SUM(H782+H783+H785)</f>
        <v>24507.5</v>
      </c>
      <c r="I781" s="34">
        <f t="shared" si="31"/>
        <v>98.86880292400727</v>
      </c>
    </row>
    <row r="782" spans="1:9" ht="15">
      <c r="A782" s="52" t="s">
        <v>265</v>
      </c>
      <c r="B782" s="85"/>
      <c r="C782" s="48" t="s">
        <v>190</v>
      </c>
      <c r="D782" s="48" t="s">
        <v>317</v>
      </c>
      <c r="E782" s="48" t="s">
        <v>593</v>
      </c>
      <c r="F782" s="36" t="s">
        <v>266</v>
      </c>
      <c r="G782" s="34">
        <v>24463.4</v>
      </c>
      <c r="H782" s="34">
        <v>24326.1</v>
      </c>
      <c r="I782" s="34">
        <f t="shared" si="31"/>
        <v>99.4387534030429</v>
      </c>
    </row>
    <row r="783" spans="1:9" ht="75.75" customHeight="1">
      <c r="A783" s="49" t="s">
        <v>138</v>
      </c>
      <c r="B783" s="85"/>
      <c r="C783" s="48" t="s">
        <v>190</v>
      </c>
      <c r="D783" s="48" t="s">
        <v>317</v>
      </c>
      <c r="E783" s="48" t="s">
        <v>594</v>
      </c>
      <c r="F783" s="36"/>
      <c r="G783" s="34">
        <f>SUM(G784)</f>
        <v>143.1</v>
      </c>
      <c r="H783" s="34">
        <f>SUM(H784)</f>
        <v>0</v>
      </c>
      <c r="I783" s="34">
        <f t="shared" si="31"/>
        <v>0</v>
      </c>
    </row>
    <row r="784" spans="1:9" ht="15">
      <c r="A784" s="52" t="s">
        <v>265</v>
      </c>
      <c r="B784" s="85"/>
      <c r="C784" s="48" t="s">
        <v>190</v>
      </c>
      <c r="D784" s="48" t="s">
        <v>317</v>
      </c>
      <c r="E784" s="48" t="s">
        <v>594</v>
      </c>
      <c r="F784" s="36" t="s">
        <v>266</v>
      </c>
      <c r="G784" s="34">
        <v>143.1</v>
      </c>
      <c r="H784" s="34"/>
      <c r="I784" s="34">
        <f aca="true" t="shared" si="35" ref="I784:I847">SUM(H784/G784*100)</f>
        <v>0</v>
      </c>
    </row>
    <row r="785" spans="1:9" ht="60" customHeight="1">
      <c r="A785" s="35" t="s">
        <v>508</v>
      </c>
      <c r="B785" s="69"/>
      <c r="C785" s="48" t="s">
        <v>190</v>
      </c>
      <c r="D785" s="48" t="s">
        <v>317</v>
      </c>
      <c r="E785" s="48" t="s">
        <v>595</v>
      </c>
      <c r="F785" s="37"/>
      <c r="G785" s="34">
        <f>SUM(G786)</f>
        <v>181.4</v>
      </c>
      <c r="H785" s="34">
        <f>SUM(H786)</f>
        <v>181.4</v>
      </c>
      <c r="I785" s="34">
        <f t="shared" si="35"/>
        <v>100</v>
      </c>
    </row>
    <row r="786" spans="1:9" ht="15.75">
      <c r="A786" s="52" t="s">
        <v>265</v>
      </c>
      <c r="B786" s="69"/>
      <c r="C786" s="48" t="s">
        <v>190</v>
      </c>
      <c r="D786" s="48" t="s">
        <v>317</v>
      </c>
      <c r="E786" s="48" t="s">
        <v>595</v>
      </c>
      <c r="F786" s="37" t="s">
        <v>266</v>
      </c>
      <c r="G786" s="34">
        <v>181.4</v>
      </c>
      <c r="H786" s="34">
        <v>181.4</v>
      </c>
      <c r="I786" s="34">
        <f t="shared" si="35"/>
        <v>100</v>
      </c>
    </row>
    <row r="787" spans="1:9" ht="15" customHeight="1">
      <c r="A787" s="35" t="s">
        <v>331</v>
      </c>
      <c r="B787" s="69"/>
      <c r="C787" s="48" t="s">
        <v>190</v>
      </c>
      <c r="D787" s="48" t="s">
        <v>317</v>
      </c>
      <c r="E787" s="48" t="s">
        <v>332</v>
      </c>
      <c r="F787" s="37"/>
      <c r="G787" s="34">
        <f>SUM(G788+G792+G796+G790+G794)</f>
        <v>1532.8000000000002</v>
      </c>
      <c r="H787" s="34">
        <f>SUM(H788+H792+H796+H790+H794)</f>
        <v>1532.8000000000002</v>
      </c>
      <c r="I787" s="34">
        <f t="shared" si="35"/>
        <v>100</v>
      </c>
    </row>
    <row r="788" spans="1:9" ht="57.75" hidden="1">
      <c r="A788" s="35" t="s">
        <v>0</v>
      </c>
      <c r="B788" s="69"/>
      <c r="C788" s="48" t="s">
        <v>190</v>
      </c>
      <c r="D788" s="48" t="s">
        <v>317</v>
      </c>
      <c r="E788" s="48" t="s">
        <v>1</v>
      </c>
      <c r="F788" s="37"/>
      <c r="G788" s="34">
        <f>SUM(G789)</f>
        <v>0</v>
      </c>
      <c r="H788" s="34">
        <f>SUM(H789)</f>
        <v>0</v>
      </c>
      <c r="I788" s="34" t="e">
        <f t="shared" si="35"/>
        <v>#DIV/0!</v>
      </c>
    </row>
    <row r="789" spans="1:9" ht="15.75" hidden="1">
      <c r="A789" s="35" t="s">
        <v>2</v>
      </c>
      <c r="B789" s="69"/>
      <c r="C789" s="48" t="s">
        <v>190</v>
      </c>
      <c r="D789" s="48" t="s">
        <v>317</v>
      </c>
      <c r="E789" s="48" t="s">
        <v>1</v>
      </c>
      <c r="F789" s="37" t="s">
        <v>3</v>
      </c>
      <c r="G789" s="34"/>
      <c r="H789" s="34"/>
      <c r="I789" s="34" t="e">
        <f t="shared" si="35"/>
        <v>#DIV/0!</v>
      </c>
    </row>
    <row r="790" spans="1:9" ht="72" hidden="1">
      <c r="A790" s="35" t="s">
        <v>4</v>
      </c>
      <c r="B790" s="69"/>
      <c r="C790" s="48" t="s">
        <v>190</v>
      </c>
      <c r="D790" s="48" t="s">
        <v>317</v>
      </c>
      <c r="E790" s="48" t="s">
        <v>5</v>
      </c>
      <c r="F790" s="37"/>
      <c r="G790" s="34">
        <f>SUM(G791)</f>
        <v>0</v>
      </c>
      <c r="H790" s="34">
        <f>SUM(H791)</f>
        <v>0</v>
      </c>
      <c r="I790" s="34" t="e">
        <f t="shared" si="35"/>
        <v>#DIV/0!</v>
      </c>
    </row>
    <row r="791" spans="1:9" ht="29.25" hidden="1">
      <c r="A791" s="35" t="s">
        <v>521</v>
      </c>
      <c r="B791" s="69"/>
      <c r="C791" s="48" t="s">
        <v>190</v>
      </c>
      <c r="D791" s="48" t="s">
        <v>317</v>
      </c>
      <c r="E791" s="48" t="s">
        <v>5</v>
      </c>
      <c r="F791" s="37" t="s">
        <v>6</v>
      </c>
      <c r="G791" s="34"/>
      <c r="H791" s="34"/>
      <c r="I791" s="34" t="e">
        <f t="shared" si="35"/>
        <v>#DIV/0!</v>
      </c>
    </row>
    <row r="792" spans="1:9" ht="57.75">
      <c r="A792" s="35" t="s">
        <v>510</v>
      </c>
      <c r="B792" s="69"/>
      <c r="C792" s="48" t="s">
        <v>190</v>
      </c>
      <c r="D792" s="48" t="s">
        <v>317</v>
      </c>
      <c r="E792" s="48" t="s">
        <v>511</v>
      </c>
      <c r="F792" s="37"/>
      <c r="G792" s="34">
        <f>SUM(G793)</f>
        <v>1323.4</v>
      </c>
      <c r="H792" s="34">
        <f>SUM(H793)</f>
        <v>1323.4</v>
      </c>
      <c r="I792" s="34">
        <f t="shared" si="35"/>
        <v>100</v>
      </c>
    </row>
    <row r="793" spans="1:9" ht="15.75">
      <c r="A793" s="52" t="s">
        <v>265</v>
      </c>
      <c r="B793" s="69"/>
      <c r="C793" s="48" t="s">
        <v>190</v>
      </c>
      <c r="D793" s="48" t="s">
        <v>317</v>
      </c>
      <c r="E793" s="48" t="s">
        <v>511</v>
      </c>
      <c r="F793" s="37" t="s">
        <v>266</v>
      </c>
      <c r="G793" s="34">
        <v>1323.4</v>
      </c>
      <c r="H793" s="34">
        <v>1323.4</v>
      </c>
      <c r="I793" s="34">
        <f t="shared" si="35"/>
        <v>100</v>
      </c>
    </row>
    <row r="794" spans="1:9" ht="43.5" hidden="1">
      <c r="A794" s="52" t="s">
        <v>7</v>
      </c>
      <c r="B794" s="69"/>
      <c r="C794" s="48" t="s">
        <v>190</v>
      </c>
      <c r="D794" s="48" t="s">
        <v>317</v>
      </c>
      <c r="E794" s="48" t="s">
        <v>8</v>
      </c>
      <c r="F794" s="37"/>
      <c r="G794" s="34">
        <f>SUM(G795)</f>
        <v>0</v>
      </c>
      <c r="H794" s="34">
        <f>SUM(H795)</f>
        <v>0</v>
      </c>
      <c r="I794" s="34" t="e">
        <f t="shared" si="35"/>
        <v>#DIV/0!</v>
      </c>
    </row>
    <row r="795" spans="1:9" ht="29.25" hidden="1">
      <c r="A795" s="35" t="s">
        <v>521</v>
      </c>
      <c r="B795" s="69"/>
      <c r="C795" s="48" t="s">
        <v>190</v>
      </c>
      <c r="D795" s="48" t="s">
        <v>317</v>
      </c>
      <c r="E795" s="48" t="s">
        <v>8</v>
      </c>
      <c r="F795" s="37" t="s">
        <v>6</v>
      </c>
      <c r="G795" s="34"/>
      <c r="H795" s="34"/>
      <c r="I795" s="34" t="e">
        <f t="shared" si="35"/>
        <v>#DIV/0!</v>
      </c>
    </row>
    <row r="796" spans="1:9" ht="43.5">
      <c r="A796" s="35" t="s">
        <v>9</v>
      </c>
      <c r="B796" s="69"/>
      <c r="C796" s="48" t="s">
        <v>190</v>
      </c>
      <c r="D796" s="48" t="s">
        <v>317</v>
      </c>
      <c r="E796" s="48" t="s">
        <v>10</v>
      </c>
      <c r="F796" s="37"/>
      <c r="G796" s="34">
        <f>SUM(G798)+G797</f>
        <v>209.4</v>
      </c>
      <c r="H796" s="34">
        <f>SUM(H798)+H797</f>
        <v>209.4</v>
      </c>
      <c r="I796" s="34">
        <f t="shared" si="35"/>
        <v>100</v>
      </c>
    </row>
    <row r="797" spans="1:9" ht="29.25">
      <c r="A797" s="35" t="s">
        <v>502</v>
      </c>
      <c r="B797" s="69"/>
      <c r="C797" s="48" t="s">
        <v>190</v>
      </c>
      <c r="D797" s="48" t="s">
        <v>317</v>
      </c>
      <c r="E797" s="48" t="s">
        <v>10</v>
      </c>
      <c r="F797" s="37" t="s">
        <v>503</v>
      </c>
      <c r="G797" s="34">
        <v>71.5</v>
      </c>
      <c r="H797" s="34">
        <v>71.5</v>
      </c>
      <c r="I797" s="34">
        <f t="shared" si="35"/>
        <v>100</v>
      </c>
    </row>
    <row r="798" spans="1:9" ht="57.75">
      <c r="A798" s="35" t="s">
        <v>11</v>
      </c>
      <c r="B798" s="69"/>
      <c r="C798" s="48" t="s">
        <v>190</v>
      </c>
      <c r="D798" s="48" t="s">
        <v>317</v>
      </c>
      <c r="E798" s="48" t="s">
        <v>12</v>
      </c>
      <c r="F798" s="37"/>
      <c r="G798" s="34">
        <f>SUM(G799)</f>
        <v>137.9</v>
      </c>
      <c r="H798" s="34">
        <f>SUM(H799)</f>
        <v>137.9</v>
      </c>
      <c r="I798" s="34">
        <f t="shared" si="35"/>
        <v>100</v>
      </c>
    </row>
    <row r="799" spans="1:9" ht="15.75">
      <c r="A799" s="52" t="s">
        <v>265</v>
      </c>
      <c r="B799" s="69"/>
      <c r="C799" s="48" t="s">
        <v>190</v>
      </c>
      <c r="D799" s="48" t="s">
        <v>317</v>
      </c>
      <c r="E799" s="48" t="s">
        <v>12</v>
      </c>
      <c r="F799" s="37" t="s">
        <v>266</v>
      </c>
      <c r="G799" s="34">
        <v>137.9</v>
      </c>
      <c r="H799" s="34">
        <v>137.9</v>
      </c>
      <c r="I799" s="34">
        <f t="shared" si="35"/>
        <v>100</v>
      </c>
    </row>
    <row r="800" spans="1:9" ht="21" customHeight="1">
      <c r="A800" s="108" t="s">
        <v>278</v>
      </c>
      <c r="B800" s="128"/>
      <c r="C800" s="48" t="s">
        <v>190</v>
      </c>
      <c r="D800" s="48" t="s">
        <v>317</v>
      </c>
      <c r="E800" s="48" t="s">
        <v>279</v>
      </c>
      <c r="F800" s="37"/>
      <c r="G800" s="34">
        <f>SUM(G801)</f>
        <v>17356.1</v>
      </c>
      <c r="H800" s="34">
        <f>SUM(H801)</f>
        <v>17356</v>
      </c>
      <c r="I800" s="34">
        <f t="shared" si="35"/>
        <v>99.99942383369536</v>
      </c>
    </row>
    <row r="801" spans="1:9" ht="19.5" customHeight="1">
      <c r="A801" s="108" t="s">
        <v>13</v>
      </c>
      <c r="B801" s="128"/>
      <c r="C801" s="48" t="s">
        <v>190</v>
      </c>
      <c r="D801" s="48" t="s">
        <v>317</v>
      </c>
      <c r="E801" s="48" t="s">
        <v>279</v>
      </c>
      <c r="F801" s="37" t="s">
        <v>14</v>
      </c>
      <c r="G801" s="34">
        <f>SUM(G802:G805)</f>
        <v>17356.1</v>
      </c>
      <c r="H801" s="34">
        <f>SUM(H802:H805)</f>
        <v>17356</v>
      </c>
      <c r="I801" s="34">
        <f t="shared" si="35"/>
        <v>99.99942383369536</v>
      </c>
    </row>
    <row r="802" spans="1:9" ht="46.5" customHeight="1">
      <c r="A802" s="95" t="s">
        <v>973</v>
      </c>
      <c r="B802" s="128"/>
      <c r="C802" s="48" t="s">
        <v>190</v>
      </c>
      <c r="D802" s="48" t="s">
        <v>317</v>
      </c>
      <c r="E802" s="48" t="s">
        <v>974</v>
      </c>
      <c r="F802" s="37" t="s">
        <v>14</v>
      </c>
      <c r="G802" s="34">
        <v>250</v>
      </c>
      <c r="H802" s="34">
        <v>250</v>
      </c>
      <c r="I802" s="34">
        <f t="shared" si="35"/>
        <v>100</v>
      </c>
    </row>
    <row r="803" spans="1:9" ht="17.25" customHeight="1">
      <c r="A803" s="95" t="s">
        <v>975</v>
      </c>
      <c r="B803" s="31"/>
      <c r="C803" s="48" t="s">
        <v>190</v>
      </c>
      <c r="D803" s="48" t="s">
        <v>317</v>
      </c>
      <c r="E803" s="48" t="s">
        <v>976</v>
      </c>
      <c r="F803" s="37" t="s">
        <v>14</v>
      </c>
      <c r="G803" s="77">
        <v>13505</v>
      </c>
      <c r="H803" s="77">
        <v>13505</v>
      </c>
      <c r="I803" s="34">
        <f t="shared" si="35"/>
        <v>100</v>
      </c>
    </row>
    <row r="804" spans="1:9" ht="78" customHeight="1">
      <c r="A804" s="95" t="s">
        <v>977</v>
      </c>
      <c r="B804" s="31"/>
      <c r="C804" s="48" t="s">
        <v>190</v>
      </c>
      <c r="D804" s="48" t="s">
        <v>317</v>
      </c>
      <c r="E804" s="48" t="s">
        <v>978</v>
      </c>
      <c r="F804" s="37" t="s">
        <v>14</v>
      </c>
      <c r="G804" s="77">
        <v>2630</v>
      </c>
      <c r="H804" s="77">
        <v>2629.9</v>
      </c>
      <c r="I804" s="34">
        <f t="shared" si="35"/>
        <v>99.99619771863118</v>
      </c>
    </row>
    <row r="805" spans="1:9" ht="18.75" customHeight="1">
      <c r="A805" s="95" t="s">
        <v>979</v>
      </c>
      <c r="B805" s="31"/>
      <c r="C805" s="48" t="s">
        <v>190</v>
      </c>
      <c r="D805" s="48" t="s">
        <v>317</v>
      </c>
      <c r="E805" s="48" t="s">
        <v>980</v>
      </c>
      <c r="F805" s="37" t="s">
        <v>14</v>
      </c>
      <c r="G805" s="77">
        <v>971.1</v>
      </c>
      <c r="H805" s="77">
        <v>971.1</v>
      </c>
      <c r="I805" s="34">
        <f t="shared" si="35"/>
        <v>100</v>
      </c>
    </row>
    <row r="806" spans="1:9" ht="18" customHeight="1">
      <c r="A806" s="41" t="s">
        <v>693</v>
      </c>
      <c r="B806" s="31"/>
      <c r="C806" s="110" t="s">
        <v>339</v>
      </c>
      <c r="D806" s="110" t="s">
        <v>694</v>
      </c>
      <c r="E806" s="48"/>
      <c r="F806" s="37"/>
      <c r="G806" s="77">
        <f>SUM(G811)+G807</f>
        <v>23690.8</v>
      </c>
      <c r="H806" s="77">
        <f>SUM(H811)+H807</f>
        <v>16439.5</v>
      </c>
      <c r="I806" s="34">
        <f t="shared" si="35"/>
        <v>69.3919158491904</v>
      </c>
    </row>
    <row r="807" spans="1:9" ht="18" customHeight="1">
      <c r="A807" s="49" t="s">
        <v>711</v>
      </c>
      <c r="B807" s="31"/>
      <c r="C807" s="43" t="s">
        <v>339</v>
      </c>
      <c r="D807" s="110" t="s">
        <v>177</v>
      </c>
      <c r="E807" s="110" t="s">
        <v>1023</v>
      </c>
      <c r="F807" s="37"/>
      <c r="G807" s="77">
        <f aca="true" t="shared" si="36" ref="G807:H809">SUM(G808)</f>
        <v>2570.5</v>
      </c>
      <c r="H807" s="77">
        <f t="shared" si="36"/>
        <v>2390.5</v>
      </c>
      <c r="I807" s="34">
        <f t="shared" si="35"/>
        <v>92.99747130908383</v>
      </c>
    </row>
    <row r="808" spans="1:9" ht="18" customHeight="1">
      <c r="A808" s="95" t="s">
        <v>717</v>
      </c>
      <c r="B808" s="31"/>
      <c r="C808" s="43" t="s">
        <v>339</v>
      </c>
      <c r="D808" s="110" t="s">
        <v>177</v>
      </c>
      <c r="E808" s="48" t="s">
        <v>718</v>
      </c>
      <c r="F808" s="37"/>
      <c r="G808" s="77">
        <f t="shared" si="36"/>
        <v>2570.5</v>
      </c>
      <c r="H808" s="77">
        <f t="shared" si="36"/>
        <v>2390.5</v>
      </c>
      <c r="I808" s="34">
        <f t="shared" si="35"/>
        <v>92.99747130908383</v>
      </c>
    </row>
    <row r="809" spans="1:9" ht="18" customHeight="1">
      <c r="A809" s="95" t="s">
        <v>18</v>
      </c>
      <c r="B809" s="31"/>
      <c r="C809" s="43" t="s">
        <v>339</v>
      </c>
      <c r="D809" s="110" t="s">
        <v>177</v>
      </c>
      <c r="E809" s="48" t="s">
        <v>19</v>
      </c>
      <c r="F809" s="37"/>
      <c r="G809" s="77">
        <f t="shared" si="36"/>
        <v>2570.5</v>
      </c>
      <c r="H809" s="77">
        <f t="shared" si="36"/>
        <v>2390.5</v>
      </c>
      <c r="I809" s="34">
        <f t="shared" si="35"/>
        <v>92.99747130908383</v>
      </c>
    </row>
    <row r="810" spans="1:9" ht="18" customHeight="1">
      <c r="A810" s="95" t="s">
        <v>309</v>
      </c>
      <c r="B810" s="31"/>
      <c r="C810" s="43" t="s">
        <v>339</v>
      </c>
      <c r="D810" s="110" t="s">
        <v>177</v>
      </c>
      <c r="E810" s="48" t="s">
        <v>19</v>
      </c>
      <c r="F810" s="37" t="s">
        <v>310</v>
      </c>
      <c r="G810" s="77">
        <v>2570.5</v>
      </c>
      <c r="H810" s="77">
        <v>2390.5</v>
      </c>
      <c r="I810" s="34">
        <f t="shared" si="35"/>
        <v>92.99747130908383</v>
      </c>
    </row>
    <row r="811" spans="1:9" ht="17.25" customHeight="1">
      <c r="A811" s="49" t="s">
        <v>984</v>
      </c>
      <c r="B811" s="31"/>
      <c r="C811" s="43" t="s">
        <v>339</v>
      </c>
      <c r="D811" s="110" t="s">
        <v>201</v>
      </c>
      <c r="E811" s="110" t="s">
        <v>1023</v>
      </c>
      <c r="F811" s="37"/>
      <c r="G811" s="77">
        <f>SUM(G812)</f>
        <v>21120.3</v>
      </c>
      <c r="H811" s="77">
        <f>SUM(H812)</f>
        <v>14049</v>
      </c>
      <c r="I811" s="34">
        <f t="shared" si="35"/>
        <v>66.51894149230834</v>
      </c>
    </row>
    <row r="812" spans="1:9" ht="28.5">
      <c r="A812" s="95" t="s">
        <v>491</v>
      </c>
      <c r="B812" s="31"/>
      <c r="C812" s="43" t="s">
        <v>339</v>
      </c>
      <c r="D812" s="110" t="s">
        <v>201</v>
      </c>
      <c r="E812" s="48" t="s">
        <v>492</v>
      </c>
      <c r="F812" s="37"/>
      <c r="G812" s="77">
        <f>SUM(G813)+G815</f>
        <v>21120.3</v>
      </c>
      <c r="H812" s="77">
        <f>SUM(H813)+H815</f>
        <v>14049</v>
      </c>
      <c r="I812" s="34">
        <f t="shared" si="35"/>
        <v>66.51894149230834</v>
      </c>
    </row>
    <row r="813" spans="1:9" ht="71.25">
      <c r="A813" s="95" t="s">
        <v>988</v>
      </c>
      <c r="B813" s="31"/>
      <c r="C813" s="43" t="s">
        <v>339</v>
      </c>
      <c r="D813" s="110" t="s">
        <v>201</v>
      </c>
      <c r="E813" s="48" t="s">
        <v>989</v>
      </c>
      <c r="F813" s="37"/>
      <c r="G813" s="77">
        <f>SUM(G814)</f>
        <v>13888.6</v>
      </c>
      <c r="H813" s="77">
        <f>SUM(H814)</f>
        <v>11558.4</v>
      </c>
      <c r="I813" s="34">
        <f t="shared" si="35"/>
        <v>83.22221102198925</v>
      </c>
    </row>
    <row r="814" spans="1:9" ht="15">
      <c r="A814" s="95" t="s">
        <v>309</v>
      </c>
      <c r="B814" s="31"/>
      <c r="C814" s="43" t="s">
        <v>339</v>
      </c>
      <c r="D814" s="110" t="s">
        <v>201</v>
      </c>
      <c r="E814" s="48" t="s">
        <v>989</v>
      </c>
      <c r="F814" s="37" t="s">
        <v>310</v>
      </c>
      <c r="G814" s="77">
        <v>13888.6</v>
      </c>
      <c r="H814" s="77">
        <v>11558.4</v>
      </c>
      <c r="I814" s="34">
        <f t="shared" si="35"/>
        <v>83.22221102198925</v>
      </c>
    </row>
    <row r="815" spans="1:9" ht="85.5">
      <c r="A815" s="95" t="s">
        <v>990</v>
      </c>
      <c r="B815" s="31"/>
      <c r="C815" s="43" t="s">
        <v>339</v>
      </c>
      <c r="D815" s="110" t="s">
        <v>201</v>
      </c>
      <c r="E815" s="48" t="s">
        <v>991</v>
      </c>
      <c r="F815" s="37"/>
      <c r="G815" s="77">
        <f>SUM(G816)</f>
        <v>7231.7</v>
      </c>
      <c r="H815" s="77">
        <f>SUM(H816)</f>
        <v>2490.6</v>
      </c>
      <c r="I815" s="34">
        <f t="shared" si="35"/>
        <v>34.44003484657826</v>
      </c>
    </row>
    <row r="816" spans="1:9" ht="15">
      <c r="A816" s="95" t="s">
        <v>309</v>
      </c>
      <c r="B816" s="31"/>
      <c r="C816" s="43" t="s">
        <v>339</v>
      </c>
      <c r="D816" s="110" t="s">
        <v>201</v>
      </c>
      <c r="E816" s="48" t="s">
        <v>991</v>
      </c>
      <c r="F816" s="37" t="s">
        <v>310</v>
      </c>
      <c r="G816" s="77">
        <v>7231.7</v>
      </c>
      <c r="H816" s="77">
        <v>2490.6</v>
      </c>
      <c r="I816" s="34">
        <f t="shared" si="35"/>
        <v>34.44003484657826</v>
      </c>
    </row>
    <row r="817" spans="1:9" ht="15.75">
      <c r="A817" s="204" t="s">
        <v>139</v>
      </c>
      <c r="B817" s="123" t="s">
        <v>140</v>
      </c>
      <c r="C817" s="48"/>
      <c r="D817" s="48"/>
      <c r="E817" s="48"/>
      <c r="F817" s="36"/>
      <c r="G817" s="203">
        <f>SUM(G818+G832)</f>
        <v>70349.7</v>
      </c>
      <c r="H817" s="203">
        <f>SUM(H818+H832)</f>
        <v>69191.1</v>
      </c>
      <c r="I817" s="57">
        <f t="shared" si="35"/>
        <v>98.35308466134185</v>
      </c>
    </row>
    <row r="818" spans="1:9" ht="15">
      <c r="A818" s="30" t="s">
        <v>189</v>
      </c>
      <c r="B818" s="31"/>
      <c r="C818" s="48" t="s">
        <v>190</v>
      </c>
      <c r="D818" s="48"/>
      <c r="E818" s="48"/>
      <c r="F818" s="36"/>
      <c r="G818" s="34">
        <f>SUM(G819)+G825</f>
        <v>24050.199999999997</v>
      </c>
      <c r="H818" s="34">
        <f>SUM(H819)+H825</f>
        <v>23947.999999999996</v>
      </c>
      <c r="I818" s="34">
        <f t="shared" si="35"/>
        <v>99.5750555088939</v>
      </c>
    </row>
    <row r="819" spans="1:9" ht="15.75">
      <c r="A819" s="35" t="s">
        <v>512</v>
      </c>
      <c r="B819" s="123"/>
      <c r="C819" s="48" t="s">
        <v>190</v>
      </c>
      <c r="D819" s="48" t="s">
        <v>169</v>
      </c>
      <c r="E819" s="48"/>
      <c r="F819" s="36"/>
      <c r="G819" s="34">
        <f>SUM(G820)</f>
        <v>23748.6</v>
      </c>
      <c r="H819" s="34">
        <f>SUM(H820)</f>
        <v>23646.399999999998</v>
      </c>
      <c r="I819" s="34">
        <f t="shared" si="35"/>
        <v>99.56965884304759</v>
      </c>
    </row>
    <row r="820" spans="1:9" ht="15.75">
      <c r="A820" s="30" t="s">
        <v>533</v>
      </c>
      <c r="B820" s="123"/>
      <c r="C820" s="48" t="s">
        <v>190</v>
      </c>
      <c r="D820" s="48" t="s">
        <v>169</v>
      </c>
      <c r="E820" s="48" t="s">
        <v>534</v>
      </c>
      <c r="F820" s="36"/>
      <c r="G820" s="34">
        <f>SUM(G821)</f>
        <v>23748.6</v>
      </c>
      <c r="H820" s="34">
        <f>SUM(H821)</f>
        <v>23646.399999999998</v>
      </c>
      <c r="I820" s="34">
        <f t="shared" si="35"/>
        <v>99.56965884304759</v>
      </c>
    </row>
    <row r="821" spans="1:9" ht="29.25">
      <c r="A821" s="35" t="s">
        <v>263</v>
      </c>
      <c r="B821" s="123"/>
      <c r="C821" s="48" t="s">
        <v>190</v>
      </c>
      <c r="D821" s="48" t="s">
        <v>169</v>
      </c>
      <c r="E821" s="48" t="s">
        <v>535</v>
      </c>
      <c r="F821" s="36"/>
      <c r="G821" s="34">
        <f>SUM(G822:G823)</f>
        <v>23748.6</v>
      </c>
      <c r="H821" s="34">
        <f>SUM(H822:H823)</f>
        <v>23646.399999999998</v>
      </c>
      <c r="I821" s="34">
        <f t="shared" si="35"/>
        <v>99.56965884304759</v>
      </c>
    </row>
    <row r="822" spans="1:9" ht="15.75">
      <c r="A822" s="52" t="s">
        <v>265</v>
      </c>
      <c r="B822" s="69"/>
      <c r="C822" s="48" t="s">
        <v>190</v>
      </c>
      <c r="D822" s="48" t="s">
        <v>169</v>
      </c>
      <c r="E822" s="48" t="s">
        <v>535</v>
      </c>
      <c r="F822" s="37" t="s">
        <v>266</v>
      </c>
      <c r="G822" s="34">
        <f>23532.1-62.8</f>
        <v>23469.3</v>
      </c>
      <c r="H822" s="34">
        <v>23367.1</v>
      </c>
      <c r="I822" s="34">
        <f t="shared" si="35"/>
        <v>99.5645375021837</v>
      </c>
    </row>
    <row r="823" spans="1:9" ht="55.5" customHeight="1">
      <c r="A823" s="35" t="s">
        <v>508</v>
      </c>
      <c r="B823" s="39"/>
      <c r="C823" s="48" t="s">
        <v>190</v>
      </c>
      <c r="D823" s="48" t="s">
        <v>169</v>
      </c>
      <c r="E823" s="48" t="s">
        <v>539</v>
      </c>
      <c r="F823" s="37"/>
      <c r="G823" s="34">
        <f>SUM(G824)</f>
        <v>279.3</v>
      </c>
      <c r="H823" s="34">
        <f>SUM(H824)</f>
        <v>279.3</v>
      </c>
      <c r="I823" s="34">
        <f t="shared" si="35"/>
        <v>100</v>
      </c>
    </row>
    <row r="824" spans="1:9" ht="15.75">
      <c r="A824" s="52" t="s">
        <v>265</v>
      </c>
      <c r="B824" s="69"/>
      <c r="C824" s="48" t="s">
        <v>190</v>
      </c>
      <c r="D824" s="48" t="s">
        <v>169</v>
      </c>
      <c r="E824" s="48" t="s">
        <v>539</v>
      </c>
      <c r="F824" s="37" t="s">
        <v>266</v>
      </c>
      <c r="G824" s="34">
        <v>279.3</v>
      </c>
      <c r="H824" s="34">
        <v>279.3</v>
      </c>
      <c r="I824" s="34">
        <f t="shared" si="35"/>
        <v>100</v>
      </c>
    </row>
    <row r="825" spans="1:9" ht="21" customHeight="1">
      <c r="A825" s="35" t="s">
        <v>191</v>
      </c>
      <c r="B825" s="39"/>
      <c r="C825" s="32" t="s">
        <v>190</v>
      </c>
      <c r="D825" s="32" t="s">
        <v>190</v>
      </c>
      <c r="E825" s="48"/>
      <c r="F825" s="37"/>
      <c r="G825" s="34">
        <f>SUM(G829+G826)</f>
        <v>301.59999999999997</v>
      </c>
      <c r="H825" s="34">
        <f>SUM(H829+H826)</f>
        <v>301.59999999999997</v>
      </c>
      <c r="I825" s="34">
        <f t="shared" si="35"/>
        <v>100</v>
      </c>
    </row>
    <row r="826" spans="1:9" ht="28.5" customHeight="1">
      <c r="A826" s="46" t="s">
        <v>569</v>
      </c>
      <c r="B826" s="47"/>
      <c r="C826" s="48" t="s">
        <v>190</v>
      </c>
      <c r="D826" s="48" t="s">
        <v>190</v>
      </c>
      <c r="E826" s="48" t="s">
        <v>570</v>
      </c>
      <c r="F826" s="36"/>
      <c r="G826" s="34">
        <f>SUM(G827)</f>
        <v>39.7</v>
      </c>
      <c r="H826" s="34">
        <f>SUM(H827)</f>
        <v>39.7</v>
      </c>
      <c r="I826" s="34">
        <f t="shared" si="35"/>
        <v>100</v>
      </c>
    </row>
    <row r="827" spans="1:9" ht="21" customHeight="1">
      <c r="A827" s="46" t="s">
        <v>571</v>
      </c>
      <c r="B827" s="48"/>
      <c r="C827" s="48" t="s">
        <v>190</v>
      </c>
      <c r="D827" s="48" t="s">
        <v>190</v>
      </c>
      <c r="E827" s="48" t="s">
        <v>572</v>
      </c>
      <c r="F827" s="36"/>
      <c r="G827" s="34">
        <f>SUM(G828)</f>
        <v>39.7</v>
      </c>
      <c r="H827" s="34">
        <f>SUM(H828)</f>
        <v>39.7</v>
      </c>
      <c r="I827" s="34">
        <f t="shared" si="35"/>
        <v>100</v>
      </c>
    </row>
    <row r="828" spans="1:9" ht="21" customHeight="1">
      <c r="A828" s="52" t="s">
        <v>265</v>
      </c>
      <c r="B828" s="47"/>
      <c r="C828" s="48" t="s">
        <v>190</v>
      </c>
      <c r="D828" s="48" t="s">
        <v>190</v>
      </c>
      <c r="E828" s="48" t="s">
        <v>572</v>
      </c>
      <c r="F828" s="36" t="s">
        <v>266</v>
      </c>
      <c r="G828" s="34">
        <v>39.7</v>
      </c>
      <c r="H828" s="34">
        <v>39.7</v>
      </c>
      <c r="I828" s="34">
        <f t="shared" si="35"/>
        <v>100</v>
      </c>
    </row>
    <row r="829" spans="1:9" ht="29.25" customHeight="1">
      <c r="A829" s="49" t="s">
        <v>575</v>
      </c>
      <c r="B829" s="39"/>
      <c r="C829" s="32" t="s">
        <v>190</v>
      </c>
      <c r="D829" s="32" t="s">
        <v>190</v>
      </c>
      <c r="E829" s="32" t="s">
        <v>193</v>
      </c>
      <c r="F829" s="33"/>
      <c r="G829" s="34">
        <f>SUM(G830)</f>
        <v>261.9</v>
      </c>
      <c r="H829" s="34">
        <f>SUM(H830)</f>
        <v>261.9</v>
      </c>
      <c r="I829" s="34">
        <f t="shared" si="35"/>
        <v>100</v>
      </c>
    </row>
    <row r="830" spans="1:9" ht="23.25" customHeight="1">
      <c r="A830" s="49" t="s">
        <v>576</v>
      </c>
      <c r="B830" s="39"/>
      <c r="C830" s="32" t="s">
        <v>190</v>
      </c>
      <c r="D830" s="32" t="s">
        <v>190</v>
      </c>
      <c r="E830" s="32" t="s">
        <v>577</v>
      </c>
      <c r="F830" s="33"/>
      <c r="G830" s="34">
        <f>SUM(G831)</f>
        <v>261.9</v>
      </c>
      <c r="H830" s="34">
        <f>SUM(H831)</f>
        <v>261.9</v>
      </c>
      <c r="I830" s="34">
        <f t="shared" si="35"/>
        <v>100</v>
      </c>
    </row>
    <row r="831" spans="1:9" ht="24.75" customHeight="1">
      <c r="A831" s="52" t="s">
        <v>265</v>
      </c>
      <c r="B831" s="39"/>
      <c r="C831" s="32" t="s">
        <v>190</v>
      </c>
      <c r="D831" s="32" t="s">
        <v>190</v>
      </c>
      <c r="E831" s="32" t="s">
        <v>577</v>
      </c>
      <c r="F831" s="33" t="s">
        <v>266</v>
      </c>
      <c r="G831" s="34">
        <v>261.9</v>
      </c>
      <c r="H831" s="34">
        <v>261.9</v>
      </c>
      <c r="I831" s="34">
        <f t="shared" si="35"/>
        <v>100</v>
      </c>
    </row>
    <row r="832" spans="1:9" ht="28.5">
      <c r="A832" s="30" t="s">
        <v>981</v>
      </c>
      <c r="B832" s="31"/>
      <c r="C832" s="48" t="s">
        <v>203</v>
      </c>
      <c r="D832" s="48"/>
      <c r="E832" s="48"/>
      <c r="F832" s="36"/>
      <c r="G832" s="34">
        <f>SUM(G833+G857)</f>
        <v>46299.5</v>
      </c>
      <c r="H832" s="34">
        <f>SUM(H833+H857)</f>
        <v>45243.100000000006</v>
      </c>
      <c r="I832" s="34">
        <f t="shared" si="35"/>
        <v>97.71833389129473</v>
      </c>
    </row>
    <row r="833" spans="1:9" ht="15">
      <c r="A833" s="30" t="s">
        <v>982</v>
      </c>
      <c r="B833" s="31"/>
      <c r="C833" s="48" t="s">
        <v>203</v>
      </c>
      <c r="D833" s="48" t="s">
        <v>167</v>
      </c>
      <c r="E833" s="48"/>
      <c r="F833" s="36"/>
      <c r="G833" s="34">
        <f>SUM(G846+G840+G834+G854)</f>
        <v>38039.7</v>
      </c>
      <c r="H833" s="34">
        <f>SUM(H846+H840+H834+H854)</f>
        <v>37223.3</v>
      </c>
      <c r="I833" s="34">
        <f t="shared" si="35"/>
        <v>97.85382113949376</v>
      </c>
    </row>
    <row r="834" spans="1:9" ht="28.5">
      <c r="A834" s="30" t="s">
        <v>275</v>
      </c>
      <c r="B834" s="31"/>
      <c r="C834" s="48" t="s">
        <v>203</v>
      </c>
      <c r="D834" s="48" t="s">
        <v>167</v>
      </c>
      <c r="E834" s="48" t="s">
        <v>276</v>
      </c>
      <c r="F834" s="36"/>
      <c r="G834" s="34">
        <f>SUM(G835)</f>
        <v>19662.6</v>
      </c>
      <c r="H834" s="34">
        <f>SUM(H835)</f>
        <v>19430.2</v>
      </c>
      <c r="I834" s="34">
        <f t="shared" si="35"/>
        <v>98.81806068373461</v>
      </c>
    </row>
    <row r="835" spans="1:9" ht="29.25">
      <c r="A835" s="35" t="s">
        <v>263</v>
      </c>
      <c r="B835" s="123"/>
      <c r="C835" s="48" t="s">
        <v>203</v>
      </c>
      <c r="D835" s="48" t="s">
        <v>167</v>
      </c>
      <c r="E835" s="48" t="s">
        <v>277</v>
      </c>
      <c r="F835" s="36"/>
      <c r="G835" s="34">
        <f>SUM(G836:G838)</f>
        <v>19662.6</v>
      </c>
      <c r="H835" s="34">
        <f>SUM(H836:H838)</f>
        <v>19430.2</v>
      </c>
      <c r="I835" s="34">
        <f t="shared" si="35"/>
        <v>98.81806068373461</v>
      </c>
    </row>
    <row r="836" spans="1:9" ht="15.75">
      <c r="A836" s="52" t="s">
        <v>265</v>
      </c>
      <c r="B836" s="69"/>
      <c r="C836" s="48" t="s">
        <v>203</v>
      </c>
      <c r="D836" s="48" t="s">
        <v>167</v>
      </c>
      <c r="E836" s="48" t="s">
        <v>277</v>
      </c>
      <c r="F836" s="37" t="s">
        <v>266</v>
      </c>
      <c r="G836" s="34">
        <f>16775.1+25.3</f>
        <v>16800.399999999998</v>
      </c>
      <c r="H836" s="34">
        <v>16568</v>
      </c>
      <c r="I836" s="34">
        <f t="shared" si="35"/>
        <v>98.61669960239044</v>
      </c>
    </row>
    <row r="837" spans="1:9" ht="43.5" customHeight="1" hidden="1">
      <c r="A837" s="52" t="s">
        <v>618</v>
      </c>
      <c r="B837" s="69"/>
      <c r="C837" s="48" t="s">
        <v>203</v>
      </c>
      <c r="D837" s="48" t="s">
        <v>167</v>
      </c>
      <c r="E837" s="48" t="s">
        <v>277</v>
      </c>
      <c r="F837" s="37" t="s">
        <v>619</v>
      </c>
      <c r="G837" s="34"/>
      <c r="H837" s="34"/>
      <c r="I837" s="34" t="e">
        <f t="shared" si="35"/>
        <v>#DIV/0!</v>
      </c>
    </row>
    <row r="838" spans="1:9" ht="55.5" customHeight="1">
      <c r="A838" s="35" t="s">
        <v>508</v>
      </c>
      <c r="B838" s="39"/>
      <c r="C838" s="48" t="s">
        <v>203</v>
      </c>
      <c r="D838" s="48" t="s">
        <v>167</v>
      </c>
      <c r="E838" s="48" t="s">
        <v>620</v>
      </c>
      <c r="F838" s="37"/>
      <c r="G838" s="34">
        <f>SUM(G839)</f>
        <v>2862.2</v>
      </c>
      <c r="H838" s="34">
        <f>SUM(H839)</f>
        <v>2862.2</v>
      </c>
      <c r="I838" s="34">
        <f t="shared" si="35"/>
        <v>100</v>
      </c>
    </row>
    <row r="839" spans="1:9" ht="15.75">
      <c r="A839" s="52" t="s">
        <v>265</v>
      </c>
      <c r="B839" s="69"/>
      <c r="C839" s="48" t="s">
        <v>203</v>
      </c>
      <c r="D839" s="48" t="s">
        <v>167</v>
      </c>
      <c r="E839" s="48" t="s">
        <v>620</v>
      </c>
      <c r="F839" s="37" t="s">
        <v>266</v>
      </c>
      <c r="G839" s="34">
        <v>2862.2</v>
      </c>
      <c r="H839" s="34">
        <v>2862.2</v>
      </c>
      <c r="I839" s="34">
        <f t="shared" si="35"/>
        <v>100</v>
      </c>
    </row>
    <row r="840" spans="1:9" ht="15">
      <c r="A840" s="30" t="s">
        <v>621</v>
      </c>
      <c r="B840" s="31"/>
      <c r="C840" s="48" t="s">
        <v>203</v>
      </c>
      <c r="D840" s="48" t="s">
        <v>167</v>
      </c>
      <c r="E840" s="48" t="s">
        <v>622</v>
      </c>
      <c r="F840" s="36"/>
      <c r="G840" s="34">
        <f>SUM(G841)</f>
        <v>2847.0000000000005</v>
      </c>
      <c r="H840" s="34">
        <f>SUM(H841)</f>
        <v>2769.5</v>
      </c>
      <c r="I840" s="34">
        <f t="shared" si="35"/>
        <v>97.2778363189322</v>
      </c>
    </row>
    <row r="841" spans="1:9" ht="29.25">
      <c r="A841" s="35" t="s">
        <v>263</v>
      </c>
      <c r="B841" s="123"/>
      <c r="C841" s="48" t="s">
        <v>203</v>
      </c>
      <c r="D841" s="48" t="s">
        <v>167</v>
      </c>
      <c r="E841" s="48" t="s">
        <v>623</v>
      </c>
      <c r="F841" s="36"/>
      <c r="G841" s="34">
        <f>SUM(G842:G844)</f>
        <v>2847.0000000000005</v>
      </c>
      <c r="H841" s="34">
        <f>SUM(H842:H844)</f>
        <v>2769.5</v>
      </c>
      <c r="I841" s="34">
        <f t="shared" si="35"/>
        <v>97.2778363189322</v>
      </c>
    </row>
    <row r="842" spans="1:9" ht="15.75">
      <c r="A842" s="52" t="s">
        <v>265</v>
      </c>
      <c r="B842" s="69"/>
      <c r="C842" s="48" t="s">
        <v>203</v>
      </c>
      <c r="D842" s="48" t="s">
        <v>167</v>
      </c>
      <c r="E842" s="48" t="s">
        <v>623</v>
      </c>
      <c r="F842" s="37" t="s">
        <v>266</v>
      </c>
      <c r="G842" s="34">
        <f>2757.9+0.8</f>
        <v>2758.7000000000003</v>
      </c>
      <c r="H842" s="34">
        <v>2681.2</v>
      </c>
      <c r="I842" s="34">
        <f t="shared" si="35"/>
        <v>97.19070576720917</v>
      </c>
    </row>
    <row r="843" spans="1:9" ht="47.25" customHeight="1" hidden="1">
      <c r="A843" s="52" t="s">
        <v>618</v>
      </c>
      <c r="B843" s="69"/>
      <c r="C843" s="48" t="s">
        <v>203</v>
      </c>
      <c r="D843" s="48" t="s">
        <v>167</v>
      </c>
      <c r="E843" s="48" t="s">
        <v>623</v>
      </c>
      <c r="F843" s="37" t="s">
        <v>619</v>
      </c>
      <c r="G843" s="34"/>
      <c r="H843" s="34"/>
      <c r="I843" s="34" t="e">
        <f t="shared" si="35"/>
        <v>#DIV/0!</v>
      </c>
    </row>
    <row r="844" spans="1:9" ht="63" customHeight="1">
      <c r="A844" s="35" t="s">
        <v>508</v>
      </c>
      <c r="B844" s="39"/>
      <c r="C844" s="48" t="s">
        <v>203</v>
      </c>
      <c r="D844" s="48" t="s">
        <v>167</v>
      </c>
      <c r="E844" s="48" t="s">
        <v>624</v>
      </c>
      <c r="F844" s="37"/>
      <c r="G844" s="34">
        <f>SUM(G845)</f>
        <v>88.3</v>
      </c>
      <c r="H844" s="34">
        <f>SUM(H845)</f>
        <v>88.3</v>
      </c>
      <c r="I844" s="34">
        <f t="shared" si="35"/>
        <v>100</v>
      </c>
    </row>
    <row r="845" spans="1:9" ht="15.75">
      <c r="A845" s="52" t="s">
        <v>265</v>
      </c>
      <c r="B845" s="69"/>
      <c r="C845" s="48" t="s">
        <v>203</v>
      </c>
      <c r="D845" s="48" t="s">
        <v>167</v>
      </c>
      <c r="E845" s="48" t="s">
        <v>624</v>
      </c>
      <c r="F845" s="37" t="s">
        <v>266</v>
      </c>
      <c r="G845" s="34">
        <v>88.3</v>
      </c>
      <c r="H845" s="34">
        <v>88.3</v>
      </c>
      <c r="I845" s="34">
        <f t="shared" si="35"/>
        <v>100</v>
      </c>
    </row>
    <row r="846" spans="1:9" ht="15">
      <c r="A846" s="30" t="s">
        <v>625</v>
      </c>
      <c r="B846" s="31"/>
      <c r="C846" s="48" t="s">
        <v>203</v>
      </c>
      <c r="D846" s="48" t="s">
        <v>167</v>
      </c>
      <c r="E846" s="48" t="s">
        <v>626</v>
      </c>
      <c r="F846" s="36"/>
      <c r="G846" s="34">
        <f>SUM(G847)</f>
        <v>15016.100000000002</v>
      </c>
      <c r="H846" s="34">
        <f>SUM(H847)</f>
        <v>14629.6</v>
      </c>
      <c r="I846" s="34">
        <f t="shared" si="35"/>
        <v>97.42609599030374</v>
      </c>
    </row>
    <row r="847" spans="1:9" ht="29.25">
      <c r="A847" s="35" t="s">
        <v>263</v>
      </c>
      <c r="B847" s="123"/>
      <c r="C847" s="48" t="s">
        <v>203</v>
      </c>
      <c r="D847" s="48" t="s">
        <v>167</v>
      </c>
      <c r="E847" s="48" t="s">
        <v>627</v>
      </c>
      <c r="F847" s="36"/>
      <c r="G847" s="34">
        <f>SUM(G848+G851+G853)</f>
        <v>15016.100000000002</v>
      </c>
      <c r="H847" s="34">
        <f>SUM(H848+H851+H853)</f>
        <v>14629.6</v>
      </c>
      <c r="I847" s="34">
        <f t="shared" si="35"/>
        <v>97.42609599030374</v>
      </c>
    </row>
    <row r="848" spans="1:9" ht="15.75">
      <c r="A848" s="52" t="s">
        <v>265</v>
      </c>
      <c r="B848" s="69"/>
      <c r="C848" s="48" t="s">
        <v>203</v>
      </c>
      <c r="D848" s="48" t="s">
        <v>167</v>
      </c>
      <c r="E848" s="48" t="s">
        <v>627</v>
      </c>
      <c r="F848" s="37" t="s">
        <v>266</v>
      </c>
      <c r="G848" s="34">
        <f>12560.2+36.7</f>
        <v>12596.900000000001</v>
      </c>
      <c r="H848" s="34">
        <v>12502.5</v>
      </c>
      <c r="I848" s="34">
        <f aca="true" t="shared" si="37" ref="I848:I911">SUM(H848/G848*100)</f>
        <v>99.25060927688557</v>
      </c>
    </row>
    <row r="849" spans="1:9" ht="45.75" customHeight="1" hidden="1">
      <c r="A849" s="52" t="s">
        <v>618</v>
      </c>
      <c r="B849" s="69"/>
      <c r="C849" s="48" t="s">
        <v>203</v>
      </c>
      <c r="D849" s="48" t="s">
        <v>167</v>
      </c>
      <c r="E849" s="48" t="s">
        <v>627</v>
      </c>
      <c r="F849" s="37" t="s">
        <v>619</v>
      </c>
      <c r="G849" s="34"/>
      <c r="H849" s="34"/>
      <c r="I849" s="34" t="e">
        <f t="shared" si="37"/>
        <v>#DIV/0!</v>
      </c>
    </row>
    <row r="850" spans="1:9" ht="54.75" customHeight="1">
      <c r="A850" s="35" t="s">
        <v>508</v>
      </c>
      <c r="B850" s="39"/>
      <c r="C850" s="48" t="s">
        <v>203</v>
      </c>
      <c r="D850" s="48" t="s">
        <v>167</v>
      </c>
      <c r="E850" s="48" t="s">
        <v>628</v>
      </c>
      <c r="F850" s="37"/>
      <c r="G850" s="34">
        <f>SUM(G851)</f>
        <v>367.9</v>
      </c>
      <c r="H850" s="34">
        <f>SUM(H851)</f>
        <v>367.9</v>
      </c>
      <c r="I850" s="34">
        <f t="shared" si="37"/>
        <v>100</v>
      </c>
    </row>
    <row r="851" spans="1:9" ht="15.75">
      <c r="A851" s="52" t="s">
        <v>265</v>
      </c>
      <c r="B851" s="69"/>
      <c r="C851" s="48" t="s">
        <v>203</v>
      </c>
      <c r="D851" s="48" t="s">
        <v>167</v>
      </c>
      <c r="E851" s="48" t="s">
        <v>628</v>
      </c>
      <c r="F851" s="37" t="s">
        <v>266</v>
      </c>
      <c r="G851" s="34">
        <v>367.9</v>
      </c>
      <c r="H851" s="34">
        <v>367.9</v>
      </c>
      <c r="I851" s="34">
        <f t="shared" si="37"/>
        <v>100</v>
      </c>
    </row>
    <row r="852" spans="1:9" ht="72">
      <c r="A852" s="52" t="s">
        <v>629</v>
      </c>
      <c r="B852" s="69"/>
      <c r="C852" s="48" t="s">
        <v>203</v>
      </c>
      <c r="D852" s="48" t="s">
        <v>167</v>
      </c>
      <c r="E852" s="48" t="s">
        <v>630</v>
      </c>
      <c r="F852" s="37"/>
      <c r="G852" s="34">
        <f>SUM(G853)</f>
        <v>2051.3</v>
      </c>
      <c r="H852" s="34">
        <f>SUM(H853)</f>
        <v>1759.2</v>
      </c>
      <c r="I852" s="34">
        <f t="shared" si="37"/>
        <v>85.76024959781601</v>
      </c>
    </row>
    <row r="853" spans="1:9" ht="15.75">
      <c r="A853" s="52" t="s">
        <v>265</v>
      </c>
      <c r="B853" s="69"/>
      <c r="C853" s="48" t="s">
        <v>203</v>
      </c>
      <c r="D853" s="48" t="s">
        <v>167</v>
      </c>
      <c r="E853" s="48" t="s">
        <v>630</v>
      </c>
      <c r="F853" s="37" t="s">
        <v>266</v>
      </c>
      <c r="G853" s="34">
        <v>2051.3</v>
      </c>
      <c r="H853" s="34">
        <v>1759.2</v>
      </c>
      <c r="I853" s="34">
        <f t="shared" si="37"/>
        <v>85.76024959781601</v>
      </c>
    </row>
    <row r="854" spans="1:9" ht="29.25">
      <c r="A854" s="52" t="s">
        <v>631</v>
      </c>
      <c r="B854" s="69"/>
      <c r="C854" s="48" t="s">
        <v>203</v>
      </c>
      <c r="D854" s="48" t="s">
        <v>167</v>
      </c>
      <c r="E854" s="48" t="s">
        <v>632</v>
      </c>
      <c r="F854" s="37"/>
      <c r="G854" s="34">
        <f>SUM(G856)</f>
        <v>514</v>
      </c>
      <c r="H854" s="34">
        <f>SUM(H856)</f>
        <v>394</v>
      </c>
      <c r="I854" s="34">
        <f t="shared" si="37"/>
        <v>76.65369649805449</v>
      </c>
    </row>
    <row r="855" spans="1:9" ht="42" customHeight="1">
      <c r="A855" s="52" t="s">
        <v>633</v>
      </c>
      <c r="B855" s="69"/>
      <c r="C855" s="48" t="s">
        <v>203</v>
      </c>
      <c r="D855" s="48" t="s">
        <v>167</v>
      </c>
      <c r="E855" s="48" t="s">
        <v>634</v>
      </c>
      <c r="F855" s="37"/>
      <c r="G855" s="34">
        <f>SUM(G856)</f>
        <v>514</v>
      </c>
      <c r="H855" s="34">
        <f>SUM(H856)</f>
        <v>394</v>
      </c>
      <c r="I855" s="34">
        <f t="shared" si="37"/>
        <v>76.65369649805449</v>
      </c>
    </row>
    <row r="856" spans="1:9" ht="15.75">
      <c r="A856" s="52" t="s">
        <v>265</v>
      </c>
      <c r="B856" s="69"/>
      <c r="C856" s="48" t="s">
        <v>203</v>
      </c>
      <c r="D856" s="48" t="s">
        <v>167</v>
      </c>
      <c r="E856" s="48" t="s">
        <v>634</v>
      </c>
      <c r="F856" s="37" t="s">
        <v>266</v>
      </c>
      <c r="G856" s="34">
        <v>514</v>
      </c>
      <c r="H856" s="34">
        <v>394</v>
      </c>
      <c r="I856" s="34">
        <f t="shared" si="37"/>
        <v>76.65369649805449</v>
      </c>
    </row>
    <row r="857" spans="1:9" ht="29.25">
      <c r="A857" s="49" t="s">
        <v>635</v>
      </c>
      <c r="B857" s="54"/>
      <c r="C857" s="43" t="s">
        <v>203</v>
      </c>
      <c r="D857" s="43" t="s">
        <v>237</v>
      </c>
      <c r="E857" s="43"/>
      <c r="F857" s="130"/>
      <c r="G857" s="34">
        <f>SUM(G858+G861)</f>
        <v>8259.8</v>
      </c>
      <c r="H857" s="34">
        <f>SUM(H858+H861)</f>
        <v>8019.8</v>
      </c>
      <c r="I857" s="34">
        <f t="shared" si="37"/>
        <v>97.09436063827212</v>
      </c>
    </row>
    <row r="858" spans="1:9" ht="71.25" customHeight="1">
      <c r="A858" s="49" t="s">
        <v>591</v>
      </c>
      <c r="B858" s="123"/>
      <c r="C858" s="48" t="s">
        <v>203</v>
      </c>
      <c r="D858" s="48" t="s">
        <v>237</v>
      </c>
      <c r="E858" s="48" t="s">
        <v>592</v>
      </c>
      <c r="F858" s="36"/>
      <c r="G858" s="34">
        <f>SUM(G859)</f>
        <v>4209</v>
      </c>
      <c r="H858" s="34">
        <f>SUM(H859)</f>
        <v>4143.1</v>
      </c>
      <c r="I858" s="34">
        <f t="shared" si="37"/>
        <v>98.43430743644572</v>
      </c>
    </row>
    <row r="859" spans="1:9" ht="29.25">
      <c r="A859" s="35" t="s">
        <v>263</v>
      </c>
      <c r="B859" s="123"/>
      <c r="C859" s="48" t="s">
        <v>203</v>
      </c>
      <c r="D859" s="48" t="s">
        <v>237</v>
      </c>
      <c r="E859" s="48" t="s">
        <v>593</v>
      </c>
      <c r="F859" s="36"/>
      <c r="G859" s="34">
        <f>SUM(G860)</f>
        <v>4209</v>
      </c>
      <c r="H859" s="34">
        <f>SUM(H860)</f>
        <v>4143.1</v>
      </c>
      <c r="I859" s="34">
        <f t="shared" si="37"/>
        <v>98.43430743644572</v>
      </c>
    </row>
    <row r="860" spans="1:9" ht="15.75">
      <c r="A860" s="52" t="s">
        <v>265</v>
      </c>
      <c r="B860" s="69"/>
      <c r="C860" s="48" t="s">
        <v>203</v>
      </c>
      <c r="D860" s="48" t="s">
        <v>237</v>
      </c>
      <c r="E860" s="48" t="s">
        <v>593</v>
      </c>
      <c r="F860" s="37" t="s">
        <v>266</v>
      </c>
      <c r="G860" s="34">
        <v>4209</v>
      </c>
      <c r="H860" s="34">
        <v>4143.1</v>
      </c>
      <c r="I860" s="34">
        <f t="shared" si="37"/>
        <v>98.43430743644572</v>
      </c>
    </row>
    <row r="861" spans="1:9" ht="15.75">
      <c r="A861" s="108" t="s">
        <v>278</v>
      </c>
      <c r="B861" s="54"/>
      <c r="C861" s="43" t="s">
        <v>203</v>
      </c>
      <c r="D861" s="43" t="s">
        <v>237</v>
      </c>
      <c r="E861" s="43" t="s">
        <v>279</v>
      </c>
      <c r="F861" s="130"/>
      <c r="G861" s="34">
        <f>SUM(G862)</f>
        <v>4050.8</v>
      </c>
      <c r="H861" s="34">
        <f>SUM(H862)</f>
        <v>3876.7</v>
      </c>
      <c r="I861" s="34">
        <f t="shared" si="37"/>
        <v>95.702083539054</v>
      </c>
    </row>
    <row r="862" spans="1:9" ht="42.75">
      <c r="A862" s="30" t="s">
        <v>636</v>
      </c>
      <c r="B862" s="54"/>
      <c r="C862" s="43" t="s">
        <v>203</v>
      </c>
      <c r="D862" s="43" t="s">
        <v>237</v>
      </c>
      <c r="E862" s="43" t="s">
        <v>279</v>
      </c>
      <c r="F862" s="130" t="s">
        <v>637</v>
      </c>
      <c r="G862" s="34">
        <f>SUM(G863:G866)</f>
        <v>4050.8</v>
      </c>
      <c r="H862" s="34">
        <f>SUM(H863:H866)</f>
        <v>3876.7</v>
      </c>
      <c r="I862" s="34">
        <f t="shared" si="37"/>
        <v>95.702083539054</v>
      </c>
    </row>
    <row r="863" spans="1:9" ht="42.75" hidden="1">
      <c r="A863" s="95" t="s">
        <v>973</v>
      </c>
      <c r="B863" s="54"/>
      <c r="C863" s="43" t="s">
        <v>203</v>
      </c>
      <c r="D863" s="43" t="s">
        <v>237</v>
      </c>
      <c r="E863" s="43" t="s">
        <v>974</v>
      </c>
      <c r="F863" s="130" t="s">
        <v>637</v>
      </c>
      <c r="G863" s="34"/>
      <c r="H863" s="34"/>
      <c r="I863" s="34" t="e">
        <f t="shared" si="37"/>
        <v>#DIV/0!</v>
      </c>
    </row>
    <row r="864" spans="1:9" ht="28.5" hidden="1">
      <c r="A864" s="41" t="s">
        <v>638</v>
      </c>
      <c r="B864" s="54"/>
      <c r="C864" s="43" t="s">
        <v>203</v>
      </c>
      <c r="D864" s="43" t="s">
        <v>237</v>
      </c>
      <c r="E864" s="43" t="s">
        <v>639</v>
      </c>
      <c r="F864" s="130" t="s">
        <v>637</v>
      </c>
      <c r="G864" s="77"/>
      <c r="H864" s="77"/>
      <c r="I864" s="34" t="e">
        <f t="shared" si="37"/>
        <v>#DIV/0!</v>
      </c>
    </row>
    <row r="865" spans="1:9" ht="71.25" hidden="1">
      <c r="A865" s="41" t="s">
        <v>640</v>
      </c>
      <c r="B865" s="54"/>
      <c r="C865" s="43" t="s">
        <v>203</v>
      </c>
      <c r="D865" s="43" t="s">
        <v>237</v>
      </c>
      <c r="E865" s="43" t="s">
        <v>641</v>
      </c>
      <c r="F865" s="130" t="s">
        <v>637</v>
      </c>
      <c r="G865" s="77"/>
      <c r="H865" s="77"/>
      <c r="I865" s="34" t="e">
        <f t="shared" si="37"/>
        <v>#DIV/0!</v>
      </c>
    </row>
    <row r="866" spans="1:9" ht="28.5">
      <c r="A866" s="41" t="s">
        <v>642</v>
      </c>
      <c r="B866" s="54"/>
      <c r="C866" s="43" t="s">
        <v>203</v>
      </c>
      <c r="D866" s="43" t="s">
        <v>237</v>
      </c>
      <c r="E866" s="43" t="s">
        <v>643</v>
      </c>
      <c r="F866" s="130" t="s">
        <v>637</v>
      </c>
      <c r="G866" s="77">
        <v>4050.8</v>
      </c>
      <c r="H866" s="77">
        <v>3876.7</v>
      </c>
      <c r="I866" s="34">
        <f t="shared" si="37"/>
        <v>95.702083539054</v>
      </c>
    </row>
    <row r="867" spans="1:9" ht="15.75">
      <c r="A867" s="204" t="s">
        <v>141</v>
      </c>
      <c r="B867" s="123" t="s">
        <v>142</v>
      </c>
      <c r="C867" s="48"/>
      <c r="D867" s="48"/>
      <c r="E867" s="48"/>
      <c r="F867" s="36"/>
      <c r="G867" s="203">
        <f>SUM(G868+G876)</f>
        <v>172616.3</v>
      </c>
      <c r="H867" s="203">
        <f>SUM(H868+H876)</f>
        <v>168290.4</v>
      </c>
      <c r="I867" s="57">
        <f t="shared" si="37"/>
        <v>97.49392148945378</v>
      </c>
    </row>
    <row r="868" spans="1:9" ht="15.75">
      <c r="A868" s="30" t="s">
        <v>189</v>
      </c>
      <c r="B868" s="123"/>
      <c r="C868" s="48" t="s">
        <v>190</v>
      </c>
      <c r="D868" s="48"/>
      <c r="E868" s="48"/>
      <c r="F868" s="36"/>
      <c r="G868" s="34">
        <f>SUM(G869)+G873</f>
        <v>529.9</v>
      </c>
      <c r="H868" s="34">
        <f>SUM(H869)+H873</f>
        <v>529.9</v>
      </c>
      <c r="I868" s="34">
        <f t="shared" si="37"/>
        <v>100</v>
      </c>
    </row>
    <row r="869" spans="1:9" ht="15">
      <c r="A869" s="35" t="s">
        <v>191</v>
      </c>
      <c r="B869" s="39"/>
      <c r="C869" s="32" t="s">
        <v>190</v>
      </c>
      <c r="D869" s="32" t="s">
        <v>190</v>
      </c>
      <c r="E869" s="32"/>
      <c r="F869" s="33"/>
      <c r="G869" s="34">
        <f aca="true" t="shared" si="38" ref="G869:H871">SUM(G870)</f>
        <v>529.9</v>
      </c>
      <c r="H869" s="34">
        <f t="shared" si="38"/>
        <v>529.9</v>
      </c>
      <c r="I869" s="34">
        <f t="shared" si="37"/>
        <v>100</v>
      </c>
    </row>
    <row r="870" spans="1:9" ht="28.5">
      <c r="A870" s="49" t="s">
        <v>575</v>
      </c>
      <c r="B870" s="39"/>
      <c r="C870" s="32" t="s">
        <v>190</v>
      </c>
      <c r="D870" s="32" t="s">
        <v>190</v>
      </c>
      <c r="E870" s="32" t="s">
        <v>193</v>
      </c>
      <c r="F870" s="33"/>
      <c r="G870" s="34">
        <f t="shared" si="38"/>
        <v>529.9</v>
      </c>
      <c r="H870" s="34">
        <f t="shared" si="38"/>
        <v>529.9</v>
      </c>
      <c r="I870" s="34">
        <f t="shared" si="37"/>
        <v>100</v>
      </c>
    </row>
    <row r="871" spans="1:9" ht="15">
      <c r="A871" s="49" t="s">
        <v>576</v>
      </c>
      <c r="B871" s="39"/>
      <c r="C871" s="32" t="s">
        <v>190</v>
      </c>
      <c r="D871" s="32" t="s">
        <v>190</v>
      </c>
      <c r="E871" s="32" t="s">
        <v>577</v>
      </c>
      <c r="F871" s="33"/>
      <c r="G871" s="34">
        <f t="shared" si="38"/>
        <v>529.9</v>
      </c>
      <c r="H871" s="34">
        <f t="shared" si="38"/>
        <v>529.9</v>
      </c>
      <c r="I871" s="34">
        <f t="shared" si="37"/>
        <v>100</v>
      </c>
    </row>
    <row r="872" spans="1:9" ht="14.25" customHeight="1">
      <c r="A872" s="52" t="s">
        <v>265</v>
      </c>
      <c r="B872" s="39"/>
      <c r="C872" s="32" t="s">
        <v>190</v>
      </c>
      <c r="D872" s="32" t="s">
        <v>190</v>
      </c>
      <c r="E872" s="32" t="s">
        <v>577</v>
      </c>
      <c r="F872" s="33" t="s">
        <v>266</v>
      </c>
      <c r="G872" s="34">
        <v>529.9</v>
      </c>
      <c r="H872" s="34">
        <v>529.9</v>
      </c>
      <c r="I872" s="34">
        <f t="shared" si="37"/>
        <v>100</v>
      </c>
    </row>
    <row r="873" spans="1:9" ht="18" customHeight="1" hidden="1">
      <c r="A873" s="108" t="s">
        <v>586</v>
      </c>
      <c r="B873" s="39"/>
      <c r="C873" s="32" t="s">
        <v>190</v>
      </c>
      <c r="D873" s="32" t="s">
        <v>317</v>
      </c>
      <c r="E873" s="32"/>
      <c r="F873" s="33"/>
      <c r="G873" s="34">
        <f>SUM(G874)</f>
        <v>0</v>
      </c>
      <c r="H873" s="34">
        <f>SUM(H874)</f>
        <v>0</v>
      </c>
      <c r="I873" s="34" t="e">
        <f t="shared" si="37"/>
        <v>#DIV/0!</v>
      </c>
    </row>
    <row r="874" spans="1:9" ht="13.5" customHeight="1" hidden="1">
      <c r="A874" s="108" t="s">
        <v>278</v>
      </c>
      <c r="B874" s="39"/>
      <c r="C874" s="32" t="s">
        <v>190</v>
      </c>
      <c r="D874" s="32" t="s">
        <v>317</v>
      </c>
      <c r="E874" s="32" t="s">
        <v>279</v>
      </c>
      <c r="F874" s="33"/>
      <c r="G874" s="34">
        <f>SUM(G875)</f>
        <v>0</v>
      </c>
      <c r="H874" s="34">
        <f>SUM(H875)</f>
        <v>0</v>
      </c>
      <c r="I874" s="34" t="e">
        <f t="shared" si="37"/>
        <v>#DIV/0!</v>
      </c>
    </row>
    <row r="875" spans="1:9" ht="13.5" customHeight="1" hidden="1">
      <c r="A875" s="35" t="s">
        <v>644</v>
      </c>
      <c r="B875" s="39"/>
      <c r="C875" s="32" t="s">
        <v>190</v>
      </c>
      <c r="D875" s="32" t="s">
        <v>317</v>
      </c>
      <c r="E875" s="32" t="s">
        <v>279</v>
      </c>
      <c r="F875" s="33" t="s">
        <v>645</v>
      </c>
      <c r="G875" s="34"/>
      <c r="H875" s="34"/>
      <c r="I875" s="34" t="e">
        <f t="shared" si="37"/>
        <v>#DIV/0!</v>
      </c>
    </row>
    <row r="876" spans="1:9" ht="15">
      <c r="A876" s="30" t="s">
        <v>1055</v>
      </c>
      <c r="B876" s="31"/>
      <c r="C876" s="48" t="s">
        <v>317</v>
      </c>
      <c r="D876" s="48"/>
      <c r="E876" s="48"/>
      <c r="F876" s="36"/>
      <c r="G876" s="34">
        <f>SUM(G877+G888+G912+G922+G907)</f>
        <v>172086.4</v>
      </c>
      <c r="H876" s="34">
        <f>SUM(H877+H888+H912+H922+H907)</f>
        <v>167760.5</v>
      </c>
      <c r="I876" s="34">
        <f t="shared" si="37"/>
        <v>97.48620460419882</v>
      </c>
    </row>
    <row r="877" spans="1:9" ht="15">
      <c r="A877" s="30" t="s">
        <v>647</v>
      </c>
      <c r="B877" s="31"/>
      <c r="C877" s="48" t="s">
        <v>317</v>
      </c>
      <c r="D877" s="48" t="s">
        <v>167</v>
      </c>
      <c r="E877" s="48"/>
      <c r="F877" s="36"/>
      <c r="G877" s="34">
        <f>SUM(G878+G881)</f>
        <v>64495</v>
      </c>
      <c r="H877" s="34">
        <f>SUM(H878+H881)</f>
        <v>62493.8</v>
      </c>
      <c r="I877" s="34">
        <f t="shared" si="37"/>
        <v>96.89712380804714</v>
      </c>
    </row>
    <row r="878" spans="1:9" ht="15" hidden="1">
      <c r="A878" s="30" t="s">
        <v>253</v>
      </c>
      <c r="B878" s="31"/>
      <c r="C878" s="48" t="s">
        <v>317</v>
      </c>
      <c r="D878" s="48" t="s">
        <v>167</v>
      </c>
      <c r="E878" s="32" t="s">
        <v>230</v>
      </c>
      <c r="F878" s="33"/>
      <c r="G878" s="34">
        <f>SUM(G879)</f>
        <v>720</v>
      </c>
      <c r="H878" s="34">
        <f>SUM(H879)</f>
        <v>718.9</v>
      </c>
      <c r="I878" s="34">
        <f t="shared" si="37"/>
        <v>99.84722222222221</v>
      </c>
    </row>
    <row r="879" spans="1:9" ht="15">
      <c r="A879" s="30" t="s">
        <v>255</v>
      </c>
      <c r="B879" s="31"/>
      <c r="C879" s="48" t="s">
        <v>317</v>
      </c>
      <c r="D879" s="48" t="s">
        <v>167</v>
      </c>
      <c r="E879" s="32" t="s">
        <v>256</v>
      </c>
      <c r="F879" s="33"/>
      <c r="G879" s="34">
        <f>SUM(G880)</f>
        <v>720</v>
      </c>
      <c r="H879" s="34">
        <f>SUM(H880)</f>
        <v>718.9</v>
      </c>
      <c r="I879" s="34">
        <f t="shared" si="37"/>
        <v>99.84722222222221</v>
      </c>
    </row>
    <row r="880" spans="1:9" ht="18.75" customHeight="1">
      <c r="A880" s="52" t="s">
        <v>265</v>
      </c>
      <c r="B880" s="47"/>
      <c r="C880" s="48" t="s">
        <v>317</v>
      </c>
      <c r="D880" s="48" t="s">
        <v>167</v>
      </c>
      <c r="E880" s="32" t="s">
        <v>256</v>
      </c>
      <c r="F880" s="36" t="s">
        <v>266</v>
      </c>
      <c r="G880" s="34">
        <f>470+250</f>
        <v>720</v>
      </c>
      <c r="H880" s="34">
        <v>718.9</v>
      </c>
      <c r="I880" s="34">
        <f t="shared" si="37"/>
        <v>99.84722222222221</v>
      </c>
    </row>
    <row r="881" spans="1:9" ht="15">
      <c r="A881" s="30" t="s">
        <v>651</v>
      </c>
      <c r="B881" s="31"/>
      <c r="C881" s="48" t="s">
        <v>317</v>
      </c>
      <c r="D881" s="48" t="s">
        <v>167</v>
      </c>
      <c r="E881" s="48" t="s">
        <v>652</v>
      </c>
      <c r="F881" s="36"/>
      <c r="G881" s="34">
        <f>SUM(G882)</f>
        <v>63775</v>
      </c>
      <c r="H881" s="34">
        <f>SUM(H882)</f>
        <v>61774.9</v>
      </c>
      <c r="I881" s="34">
        <f t="shared" si="37"/>
        <v>96.86381811054488</v>
      </c>
    </row>
    <row r="882" spans="1:9" ht="28.5">
      <c r="A882" s="35" t="s">
        <v>263</v>
      </c>
      <c r="B882" s="31"/>
      <c r="C882" s="48" t="s">
        <v>317</v>
      </c>
      <c r="D882" s="48" t="s">
        <v>167</v>
      </c>
      <c r="E882" s="48" t="s">
        <v>653</v>
      </c>
      <c r="F882" s="36"/>
      <c r="G882" s="34">
        <f>SUM(G883:G886)</f>
        <v>63775</v>
      </c>
      <c r="H882" s="34">
        <f>SUM(H883:H886)</f>
        <v>61774.9</v>
      </c>
      <c r="I882" s="34">
        <f t="shared" si="37"/>
        <v>96.86381811054488</v>
      </c>
    </row>
    <row r="883" spans="1:9" ht="15">
      <c r="A883" s="52" t="s">
        <v>265</v>
      </c>
      <c r="B883" s="31"/>
      <c r="C883" s="48" t="s">
        <v>654</v>
      </c>
      <c r="D883" s="48" t="s">
        <v>167</v>
      </c>
      <c r="E883" s="48" t="s">
        <v>653</v>
      </c>
      <c r="F883" s="36" t="s">
        <v>266</v>
      </c>
      <c r="G883" s="34">
        <f>52550.1</f>
        <v>52550.1</v>
      </c>
      <c r="H883" s="34">
        <v>50550</v>
      </c>
      <c r="I883" s="34">
        <f t="shared" si="37"/>
        <v>96.1939178041526</v>
      </c>
    </row>
    <row r="884" spans="1:9" ht="57" hidden="1">
      <c r="A884" s="52" t="s">
        <v>655</v>
      </c>
      <c r="B884" s="31"/>
      <c r="C884" s="48" t="s">
        <v>654</v>
      </c>
      <c r="D884" s="48" t="s">
        <v>167</v>
      </c>
      <c r="E884" s="48" t="s">
        <v>653</v>
      </c>
      <c r="F884" s="36" t="s">
        <v>656</v>
      </c>
      <c r="G884" s="34"/>
      <c r="H884" s="34"/>
      <c r="I884" s="34" t="e">
        <f t="shared" si="37"/>
        <v>#DIV/0!</v>
      </c>
    </row>
    <row r="885" spans="1:9" ht="46.5" customHeight="1" hidden="1">
      <c r="A885" s="52" t="s">
        <v>518</v>
      </c>
      <c r="B885" s="31"/>
      <c r="C885" s="48" t="s">
        <v>654</v>
      </c>
      <c r="D885" s="48" t="s">
        <v>167</v>
      </c>
      <c r="E885" s="48" t="s">
        <v>653</v>
      </c>
      <c r="F885" s="36" t="s">
        <v>519</v>
      </c>
      <c r="G885" s="34"/>
      <c r="H885" s="34"/>
      <c r="I885" s="34" t="e">
        <f t="shared" si="37"/>
        <v>#DIV/0!</v>
      </c>
    </row>
    <row r="886" spans="1:9" ht="60.75" customHeight="1">
      <c r="A886" s="35" t="s">
        <v>508</v>
      </c>
      <c r="B886" s="31"/>
      <c r="C886" s="48" t="s">
        <v>654</v>
      </c>
      <c r="D886" s="48" t="s">
        <v>167</v>
      </c>
      <c r="E886" s="48" t="s">
        <v>657</v>
      </c>
      <c r="F886" s="36"/>
      <c r="G886" s="34">
        <f>SUM(G887)</f>
        <v>11224.9</v>
      </c>
      <c r="H886" s="34">
        <f>SUM(H887)</f>
        <v>11224.9</v>
      </c>
      <c r="I886" s="34">
        <f t="shared" si="37"/>
        <v>100</v>
      </c>
    </row>
    <row r="887" spans="1:9" ht="15">
      <c r="A887" s="52" t="s">
        <v>265</v>
      </c>
      <c r="B887" s="31"/>
      <c r="C887" s="48" t="s">
        <v>654</v>
      </c>
      <c r="D887" s="48" t="s">
        <v>167</v>
      </c>
      <c r="E887" s="48" t="s">
        <v>657</v>
      </c>
      <c r="F887" s="36" t="s">
        <v>266</v>
      </c>
      <c r="G887" s="34">
        <v>11224.9</v>
      </c>
      <c r="H887" s="34">
        <v>11224.9</v>
      </c>
      <c r="I887" s="34">
        <f t="shared" si="37"/>
        <v>100</v>
      </c>
    </row>
    <row r="888" spans="1:9" ht="15">
      <c r="A888" s="30" t="s">
        <v>658</v>
      </c>
      <c r="B888" s="31"/>
      <c r="C888" s="48" t="s">
        <v>317</v>
      </c>
      <c r="D888" s="48" t="s">
        <v>169</v>
      </c>
      <c r="E888" s="48"/>
      <c r="F888" s="36"/>
      <c r="G888" s="34">
        <f>SUM(G889+G896+G900+G904)</f>
        <v>43300.00000000001</v>
      </c>
      <c r="H888" s="34">
        <f>SUM(H889+H896+H900+H904)</f>
        <v>41641.2</v>
      </c>
      <c r="I888" s="34">
        <f t="shared" si="37"/>
        <v>96.1690531177829</v>
      </c>
    </row>
    <row r="889" spans="1:9" ht="15">
      <c r="A889" s="30" t="s">
        <v>651</v>
      </c>
      <c r="B889" s="31"/>
      <c r="C889" s="48" t="s">
        <v>317</v>
      </c>
      <c r="D889" s="48" t="s">
        <v>169</v>
      </c>
      <c r="E889" s="48" t="s">
        <v>652</v>
      </c>
      <c r="F889" s="36"/>
      <c r="G889" s="34">
        <f>SUM(G890)</f>
        <v>30728.8</v>
      </c>
      <c r="H889" s="34">
        <f>SUM(H890)</f>
        <v>29610.8</v>
      </c>
      <c r="I889" s="34">
        <f t="shared" si="37"/>
        <v>96.3617192991591</v>
      </c>
    </row>
    <row r="890" spans="1:9" ht="28.5">
      <c r="A890" s="35" t="s">
        <v>263</v>
      </c>
      <c r="B890" s="31"/>
      <c r="C890" s="48" t="s">
        <v>317</v>
      </c>
      <c r="D890" s="48" t="s">
        <v>169</v>
      </c>
      <c r="E890" s="48" t="s">
        <v>653</v>
      </c>
      <c r="F890" s="36"/>
      <c r="G890" s="34">
        <f>SUM(G891:G894)</f>
        <v>30728.8</v>
      </c>
      <c r="H890" s="34">
        <f>SUM(H891:H894)</f>
        <v>29610.8</v>
      </c>
      <c r="I890" s="34">
        <f t="shared" si="37"/>
        <v>96.3617192991591</v>
      </c>
    </row>
    <row r="891" spans="1:9" ht="18" customHeight="1">
      <c r="A891" s="52" t="s">
        <v>265</v>
      </c>
      <c r="B891" s="31"/>
      <c r="C891" s="48" t="s">
        <v>317</v>
      </c>
      <c r="D891" s="48" t="s">
        <v>169</v>
      </c>
      <c r="E891" s="48" t="s">
        <v>653</v>
      </c>
      <c r="F891" s="36" t="s">
        <v>266</v>
      </c>
      <c r="G891" s="34">
        <f>24718.6</f>
        <v>24718.6</v>
      </c>
      <c r="H891" s="34">
        <v>23600.6</v>
      </c>
      <c r="I891" s="34">
        <f t="shared" si="37"/>
        <v>95.47709012646347</v>
      </c>
    </row>
    <row r="892" spans="1:9" ht="56.25" customHeight="1" hidden="1">
      <c r="A892" s="52" t="s">
        <v>655</v>
      </c>
      <c r="B892" s="31"/>
      <c r="C892" s="48" t="s">
        <v>317</v>
      </c>
      <c r="D892" s="48" t="s">
        <v>169</v>
      </c>
      <c r="E892" s="48" t="s">
        <v>653</v>
      </c>
      <c r="F892" s="36" t="s">
        <v>656</v>
      </c>
      <c r="G892" s="34"/>
      <c r="H892" s="34"/>
      <c r="I892" s="34" t="e">
        <f t="shared" si="37"/>
        <v>#DIV/0!</v>
      </c>
    </row>
    <row r="893" spans="1:9" ht="18.75" customHeight="1" hidden="1">
      <c r="A893" s="52" t="s">
        <v>518</v>
      </c>
      <c r="B893" s="31"/>
      <c r="C893" s="48" t="s">
        <v>317</v>
      </c>
      <c r="D893" s="48" t="s">
        <v>169</v>
      </c>
      <c r="E893" s="48" t="s">
        <v>653</v>
      </c>
      <c r="F893" s="36" t="s">
        <v>519</v>
      </c>
      <c r="G893" s="34"/>
      <c r="H893" s="34"/>
      <c r="I893" s="34" t="e">
        <f t="shared" si="37"/>
        <v>#DIV/0!</v>
      </c>
    </row>
    <row r="894" spans="1:9" ht="57.75" customHeight="1">
      <c r="A894" s="35" t="s">
        <v>508</v>
      </c>
      <c r="B894" s="31"/>
      <c r="C894" s="48" t="s">
        <v>317</v>
      </c>
      <c r="D894" s="48" t="s">
        <v>169</v>
      </c>
      <c r="E894" s="48" t="s">
        <v>657</v>
      </c>
      <c r="F894" s="36"/>
      <c r="G894" s="34">
        <f>SUM(G895)</f>
        <v>6010.2</v>
      </c>
      <c r="H894" s="34">
        <f>SUM(H895)</f>
        <v>6010.2</v>
      </c>
      <c r="I894" s="34">
        <f t="shared" si="37"/>
        <v>100</v>
      </c>
    </row>
    <row r="895" spans="1:9" ht="15">
      <c r="A895" s="52" t="s">
        <v>265</v>
      </c>
      <c r="B895" s="31"/>
      <c r="C895" s="48" t="s">
        <v>317</v>
      </c>
      <c r="D895" s="48" t="s">
        <v>169</v>
      </c>
      <c r="E895" s="48" t="s">
        <v>657</v>
      </c>
      <c r="F895" s="36" t="s">
        <v>266</v>
      </c>
      <c r="G895" s="34">
        <v>6010.2</v>
      </c>
      <c r="H895" s="34">
        <v>6010.2</v>
      </c>
      <c r="I895" s="34">
        <f t="shared" si="37"/>
        <v>100</v>
      </c>
    </row>
    <row r="896" spans="1:9" ht="28.5">
      <c r="A896" s="30" t="s">
        <v>659</v>
      </c>
      <c r="B896" s="31"/>
      <c r="C896" s="48" t="s">
        <v>317</v>
      </c>
      <c r="D896" s="48" t="s">
        <v>169</v>
      </c>
      <c r="E896" s="48" t="s">
        <v>660</v>
      </c>
      <c r="F896" s="36"/>
      <c r="G896" s="34">
        <f>SUM(G897)</f>
        <v>10092</v>
      </c>
      <c r="H896" s="34">
        <f>SUM(H897)</f>
        <v>9704.4</v>
      </c>
      <c r="I896" s="34">
        <f t="shared" si="37"/>
        <v>96.15933412604043</v>
      </c>
    </row>
    <row r="897" spans="1:9" ht="28.5">
      <c r="A897" s="35" t="s">
        <v>263</v>
      </c>
      <c r="B897" s="31"/>
      <c r="C897" s="48" t="s">
        <v>317</v>
      </c>
      <c r="D897" s="48" t="s">
        <v>169</v>
      </c>
      <c r="E897" s="48" t="s">
        <v>661</v>
      </c>
      <c r="F897" s="36"/>
      <c r="G897" s="34">
        <f>SUM(G898:G899)</f>
        <v>10092</v>
      </c>
      <c r="H897" s="34">
        <f>SUM(H898:H899)</f>
        <v>9704.4</v>
      </c>
      <c r="I897" s="34">
        <f t="shared" si="37"/>
        <v>96.15933412604043</v>
      </c>
    </row>
    <row r="898" spans="1:9" ht="16.5" customHeight="1">
      <c r="A898" s="52" t="s">
        <v>265</v>
      </c>
      <c r="B898" s="31"/>
      <c r="C898" s="48" t="s">
        <v>317</v>
      </c>
      <c r="D898" s="48" t="s">
        <v>169</v>
      </c>
      <c r="E898" s="48" t="s">
        <v>661</v>
      </c>
      <c r="F898" s="36" t="s">
        <v>266</v>
      </c>
      <c r="G898" s="34">
        <f>10092</f>
        <v>10092</v>
      </c>
      <c r="H898" s="34">
        <v>9704.4</v>
      </c>
      <c r="I898" s="34">
        <f t="shared" si="37"/>
        <v>96.15933412604043</v>
      </c>
    </row>
    <row r="899" spans="1:9" ht="0.75" customHeight="1" hidden="1">
      <c r="A899" s="35" t="s">
        <v>508</v>
      </c>
      <c r="B899" s="31"/>
      <c r="C899" s="48" t="s">
        <v>317</v>
      </c>
      <c r="D899" s="48" t="s">
        <v>169</v>
      </c>
      <c r="E899" s="48" t="s">
        <v>661</v>
      </c>
      <c r="F899" s="36" t="s">
        <v>662</v>
      </c>
      <c r="G899" s="34"/>
      <c r="H899" s="34"/>
      <c r="I899" s="34" t="e">
        <f t="shared" si="37"/>
        <v>#DIV/0!</v>
      </c>
    </row>
    <row r="900" spans="1:9" ht="15">
      <c r="A900" s="30" t="s">
        <v>663</v>
      </c>
      <c r="B900" s="31"/>
      <c r="C900" s="48" t="s">
        <v>317</v>
      </c>
      <c r="D900" s="48" t="s">
        <v>169</v>
      </c>
      <c r="E900" s="48" t="s">
        <v>664</v>
      </c>
      <c r="F900" s="36"/>
      <c r="G900" s="34">
        <f>SUM(G901)</f>
        <v>1957.3</v>
      </c>
      <c r="H900" s="34">
        <f>SUM(H901)</f>
        <v>1804.1</v>
      </c>
      <c r="I900" s="34">
        <f t="shared" si="37"/>
        <v>92.17289122771165</v>
      </c>
    </row>
    <row r="901" spans="1:9" ht="28.5">
      <c r="A901" s="35" t="s">
        <v>263</v>
      </c>
      <c r="B901" s="31"/>
      <c r="C901" s="48" t="s">
        <v>317</v>
      </c>
      <c r="D901" s="48" t="s">
        <v>169</v>
      </c>
      <c r="E901" s="48" t="s">
        <v>665</v>
      </c>
      <c r="F901" s="36"/>
      <c r="G901" s="34">
        <f>SUM(G902:G903)</f>
        <v>1957.3</v>
      </c>
      <c r="H901" s="34">
        <f>SUM(H902:H903)</f>
        <v>1804.1</v>
      </c>
      <c r="I901" s="34">
        <f t="shared" si="37"/>
        <v>92.17289122771165</v>
      </c>
    </row>
    <row r="902" spans="1:9" ht="14.25" customHeight="1">
      <c r="A902" s="52" t="s">
        <v>265</v>
      </c>
      <c r="B902" s="31"/>
      <c r="C902" s="48" t="s">
        <v>317</v>
      </c>
      <c r="D902" s="48" t="s">
        <v>169</v>
      </c>
      <c r="E902" s="48" t="s">
        <v>665</v>
      </c>
      <c r="F902" s="36" t="s">
        <v>266</v>
      </c>
      <c r="G902" s="34">
        <v>1957.3</v>
      </c>
      <c r="H902" s="34">
        <v>1804.1</v>
      </c>
      <c r="I902" s="34">
        <f t="shared" si="37"/>
        <v>92.17289122771165</v>
      </c>
    </row>
    <row r="903" spans="1:9" ht="58.5" customHeight="1" hidden="1">
      <c r="A903" s="35" t="s">
        <v>508</v>
      </c>
      <c r="B903" s="31"/>
      <c r="C903" s="48" t="s">
        <v>317</v>
      </c>
      <c r="D903" s="48" t="s">
        <v>169</v>
      </c>
      <c r="E903" s="48" t="s">
        <v>665</v>
      </c>
      <c r="F903" s="36" t="s">
        <v>662</v>
      </c>
      <c r="G903" s="34"/>
      <c r="H903" s="34"/>
      <c r="I903" s="34" t="e">
        <f t="shared" si="37"/>
        <v>#DIV/0!</v>
      </c>
    </row>
    <row r="904" spans="1:9" ht="28.5">
      <c r="A904" s="95" t="s">
        <v>491</v>
      </c>
      <c r="B904" s="31"/>
      <c r="C904" s="48" t="s">
        <v>317</v>
      </c>
      <c r="D904" s="48" t="s">
        <v>169</v>
      </c>
      <c r="E904" s="48" t="s">
        <v>492</v>
      </c>
      <c r="F904" s="36"/>
      <c r="G904" s="34">
        <f>SUM(G905)</f>
        <v>521.9</v>
      </c>
      <c r="H904" s="34">
        <f>SUM(H905)</f>
        <v>521.9</v>
      </c>
      <c r="I904" s="34">
        <f t="shared" si="37"/>
        <v>100</v>
      </c>
    </row>
    <row r="905" spans="1:9" ht="57">
      <c r="A905" s="49" t="s">
        <v>666</v>
      </c>
      <c r="B905" s="31"/>
      <c r="C905" s="48" t="s">
        <v>317</v>
      </c>
      <c r="D905" s="48" t="s">
        <v>169</v>
      </c>
      <c r="E905" s="48" t="s">
        <v>667</v>
      </c>
      <c r="F905" s="36"/>
      <c r="G905" s="34">
        <f>SUM(G906)</f>
        <v>521.9</v>
      </c>
      <c r="H905" s="34">
        <f>SUM(H906)</f>
        <v>521.9</v>
      </c>
      <c r="I905" s="34">
        <f t="shared" si="37"/>
        <v>100</v>
      </c>
    </row>
    <row r="906" spans="1:9" ht="15">
      <c r="A906" s="52" t="s">
        <v>265</v>
      </c>
      <c r="B906" s="31"/>
      <c r="C906" s="48" t="s">
        <v>317</v>
      </c>
      <c r="D906" s="48" t="s">
        <v>169</v>
      </c>
      <c r="E906" s="48" t="s">
        <v>667</v>
      </c>
      <c r="F906" s="36" t="s">
        <v>266</v>
      </c>
      <c r="G906" s="34">
        <v>521.9</v>
      </c>
      <c r="H906" s="34">
        <v>521.9</v>
      </c>
      <c r="I906" s="34">
        <f t="shared" si="37"/>
        <v>100</v>
      </c>
    </row>
    <row r="907" spans="1:9" ht="28.5">
      <c r="A907" s="218" t="s">
        <v>668</v>
      </c>
      <c r="B907" s="85"/>
      <c r="C907" s="48" t="s">
        <v>317</v>
      </c>
      <c r="D907" s="48" t="s">
        <v>177</v>
      </c>
      <c r="E907" s="48"/>
      <c r="F907" s="36"/>
      <c r="G907" s="34">
        <f>SUM(G908)</f>
        <v>485.1</v>
      </c>
      <c r="H907" s="34">
        <f>SUM(H908)</f>
        <v>465.2</v>
      </c>
      <c r="I907" s="34">
        <f t="shared" si="37"/>
        <v>95.89775304061018</v>
      </c>
    </row>
    <row r="908" spans="1:9" ht="28.5">
      <c r="A908" s="218" t="s">
        <v>669</v>
      </c>
      <c r="B908" s="85"/>
      <c r="C908" s="48" t="s">
        <v>317</v>
      </c>
      <c r="D908" s="48" t="s">
        <v>177</v>
      </c>
      <c r="E908" s="48" t="s">
        <v>652</v>
      </c>
      <c r="F908" s="36"/>
      <c r="G908" s="34">
        <f>SUM(G909)</f>
        <v>485.1</v>
      </c>
      <c r="H908" s="34">
        <f>SUM(H909)</f>
        <v>465.2</v>
      </c>
      <c r="I908" s="34">
        <f t="shared" si="37"/>
        <v>95.89775304061018</v>
      </c>
    </row>
    <row r="909" spans="1:9" ht="28.5">
      <c r="A909" s="219" t="s">
        <v>263</v>
      </c>
      <c r="B909" s="85"/>
      <c r="C909" s="48" t="s">
        <v>317</v>
      </c>
      <c r="D909" s="48" t="s">
        <v>177</v>
      </c>
      <c r="E909" s="48" t="s">
        <v>653</v>
      </c>
      <c r="F909" s="36"/>
      <c r="G909" s="34">
        <f>SUM(G910:G911)</f>
        <v>485.1</v>
      </c>
      <c r="H909" s="34">
        <f>SUM(H910:H911)</f>
        <v>465.2</v>
      </c>
      <c r="I909" s="34">
        <f t="shared" si="37"/>
        <v>95.89775304061018</v>
      </c>
    </row>
    <row r="910" spans="1:9" ht="15">
      <c r="A910" s="219" t="s">
        <v>265</v>
      </c>
      <c r="B910" s="85"/>
      <c r="C910" s="48" t="s">
        <v>317</v>
      </c>
      <c r="D910" s="48" t="s">
        <v>177</v>
      </c>
      <c r="E910" s="48" t="s">
        <v>653</v>
      </c>
      <c r="F910" s="36" t="s">
        <v>266</v>
      </c>
      <c r="G910" s="34">
        <v>485.1</v>
      </c>
      <c r="H910" s="34">
        <v>465.2</v>
      </c>
      <c r="I910" s="34">
        <f t="shared" si="37"/>
        <v>95.89775304061018</v>
      </c>
    </row>
    <row r="911" spans="1:9" ht="58.5" customHeight="1" hidden="1">
      <c r="A911" s="35" t="s">
        <v>508</v>
      </c>
      <c r="B911" s="31"/>
      <c r="C911" s="48" t="s">
        <v>317</v>
      </c>
      <c r="D911" s="48" t="s">
        <v>177</v>
      </c>
      <c r="E911" s="48" t="s">
        <v>661</v>
      </c>
      <c r="F911" s="36" t="s">
        <v>662</v>
      </c>
      <c r="G911" s="34"/>
      <c r="H911" s="34"/>
      <c r="I911" s="34" t="e">
        <f t="shared" si="37"/>
        <v>#DIV/0!</v>
      </c>
    </row>
    <row r="912" spans="1:9" ht="15">
      <c r="A912" s="52" t="s">
        <v>670</v>
      </c>
      <c r="B912" s="31"/>
      <c r="C912" s="48" t="s">
        <v>317</v>
      </c>
      <c r="D912" s="48" t="s">
        <v>201</v>
      </c>
      <c r="E912" s="48"/>
      <c r="F912" s="36"/>
      <c r="G912" s="34">
        <f>SUM(G913+G917)</f>
        <v>54249.5</v>
      </c>
      <c r="H912" s="34">
        <f>SUM(H913+H917)</f>
        <v>53748.3</v>
      </c>
      <c r="I912" s="34">
        <f aca="true" t="shared" si="39" ref="I912:I944">SUM(H912/G912*100)</f>
        <v>99.0761205172398</v>
      </c>
    </row>
    <row r="913" spans="1:9" ht="15">
      <c r="A913" s="30" t="s">
        <v>671</v>
      </c>
      <c r="B913" s="31"/>
      <c r="C913" s="48" t="s">
        <v>317</v>
      </c>
      <c r="D913" s="48" t="s">
        <v>201</v>
      </c>
      <c r="E913" s="48" t="s">
        <v>672</v>
      </c>
      <c r="F913" s="36"/>
      <c r="G913" s="34">
        <f>SUM(G914)</f>
        <v>45844.4</v>
      </c>
      <c r="H913" s="34">
        <f>SUM(H914)</f>
        <v>45588.8</v>
      </c>
      <c r="I913" s="34">
        <f t="shared" si="39"/>
        <v>99.44246189283751</v>
      </c>
    </row>
    <row r="914" spans="1:9" ht="28.5">
      <c r="A914" s="35" t="s">
        <v>263</v>
      </c>
      <c r="B914" s="31"/>
      <c r="C914" s="48" t="s">
        <v>317</v>
      </c>
      <c r="D914" s="48" t="s">
        <v>201</v>
      </c>
      <c r="E914" s="48" t="s">
        <v>673</v>
      </c>
      <c r="F914" s="36"/>
      <c r="G914" s="34">
        <f>SUM(G915:G916)</f>
        <v>45844.4</v>
      </c>
      <c r="H914" s="34">
        <f>SUM(H915:H916)</f>
        <v>45588.8</v>
      </c>
      <c r="I914" s="34">
        <f t="shared" si="39"/>
        <v>99.44246189283751</v>
      </c>
    </row>
    <row r="915" spans="1:9" ht="14.25" customHeight="1">
      <c r="A915" s="52" t="s">
        <v>265</v>
      </c>
      <c r="B915" s="31"/>
      <c r="C915" s="48" t="s">
        <v>317</v>
      </c>
      <c r="D915" s="48" t="s">
        <v>201</v>
      </c>
      <c r="E915" s="48" t="s">
        <v>673</v>
      </c>
      <c r="F915" s="36" t="s">
        <v>266</v>
      </c>
      <c r="G915" s="34">
        <v>45844.4</v>
      </c>
      <c r="H915" s="34">
        <v>45588.8</v>
      </c>
      <c r="I915" s="34">
        <f t="shared" si="39"/>
        <v>99.44246189283751</v>
      </c>
    </row>
    <row r="916" spans="1:9" ht="62.25" customHeight="1" hidden="1">
      <c r="A916" s="35" t="s">
        <v>508</v>
      </c>
      <c r="B916" s="31"/>
      <c r="C916" s="48" t="s">
        <v>317</v>
      </c>
      <c r="D916" s="48" t="s">
        <v>201</v>
      </c>
      <c r="E916" s="48" t="s">
        <v>673</v>
      </c>
      <c r="F916" s="36" t="s">
        <v>662</v>
      </c>
      <c r="G916" s="34"/>
      <c r="H916" s="34"/>
      <c r="I916" s="34" t="e">
        <f t="shared" si="39"/>
        <v>#DIV/0!</v>
      </c>
    </row>
    <row r="917" spans="1:9" ht="28.5">
      <c r="A917" s="95" t="s">
        <v>491</v>
      </c>
      <c r="B917" s="31"/>
      <c r="C917" s="48" t="s">
        <v>317</v>
      </c>
      <c r="D917" s="48" t="s">
        <v>201</v>
      </c>
      <c r="E917" s="48" t="s">
        <v>492</v>
      </c>
      <c r="F917" s="36"/>
      <c r="G917" s="34">
        <f>SUM(G918)</f>
        <v>8405.1</v>
      </c>
      <c r="H917" s="34">
        <f>SUM(H918)</f>
        <v>8159.5</v>
      </c>
      <c r="I917" s="34">
        <f t="shared" si="39"/>
        <v>97.07796456913064</v>
      </c>
    </row>
    <row r="918" spans="1:9" ht="57">
      <c r="A918" s="49" t="s">
        <v>666</v>
      </c>
      <c r="B918" s="31"/>
      <c r="C918" s="48" t="s">
        <v>317</v>
      </c>
      <c r="D918" s="48" t="s">
        <v>201</v>
      </c>
      <c r="E918" s="48" t="s">
        <v>667</v>
      </c>
      <c r="F918" s="36"/>
      <c r="G918" s="34">
        <f>SUM(G919)</f>
        <v>8405.1</v>
      </c>
      <c r="H918" s="34">
        <f>SUM(H919)</f>
        <v>8159.5</v>
      </c>
      <c r="I918" s="34">
        <f t="shared" si="39"/>
        <v>97.07796456913064</v>
      </c>
    </row>
    <row r="919" spans="1:9" ht="15">
      <c r="A919" s="52" t="s">
        <v>265</v>
      </c>
      <c r="B919" s="31"/>
      <c r="C919" s="48" t="s">
        <v>317</v>
      </c>
      <c r="D919" s="48" t="s">
        <v>201</v>
      </c>
      <c r="E919" s="48" t="s">
        <v>667</v>
      </c>
      <c r="F919" s="36" t="s">
        <v>266</v>
      </c>
      <c r="G919" s="34">
        <v>8405.1</v>
      </c>
      <c r="H919" s="34">
        <v>8159.5</v>
      </c>
      <c r="I919" s="34">
        <f t="shared" si="39"/>
        <v>97.07796456913064</v>
      </c>
    </row>
    <row r="920" spans="1:9" ht="15" hidden="1">
      <c r="A920" s="49" t="s">
        <v>331</v>
      </c>
      <c r="B920" s="31"/>
      <c r="C920" s="48" t="s">
        <v>317</v>
      </c>
      <c r="D920" s="48" t="s">
        <v>167</v>
      </c>
      <c r="E920" s="48" t="s">
        <v>1067</v>
      </c>
      <c r="F920" s="33"/>
      <c r="G920" s="34">
        <f>SUM(G921)</f>
        <v>0</v>
      </c>
      <c r="H920" s="34">
        <f>SUM(H921)</f>
        <v>0</v>
      </c>
      <c r="I920" s="34" t="e">
        <f t="shared" si="39"/>
        <v>#DIV/0!</v>
      </c>
    </row>
    <row r="921" spans="1:9" ht="28.5" hidden="1">
      <c r="A921" s="30" t="s">
        <v>521</v>
      </c>
      <c r="B921" s="31"/>
      <c r="C921" s="48" t="s">
        <v>317</v>
      </c>
      <c r="D921" s="48" t="s">
        <v>167</v>
      </c>
      <c r="E921" s="48" t="s">
        <v>1067</v>
      </c>
      <c r="F921" s="33" t="s">
        <v>1068</v>
      </c>
      <c r="G921" s="34"/>
      <c r="H921" s="34"/>
      <c r="I921" s="34" t="e">
        <f t="shared" si="39"/>
        <v>#DIV/0!</v>
      </c>
    </row>
    <row r="922" spans="1:9" ht="28.5">
      <c r="A922" s="214" t="s">
        <v>1069</v>
      </c>
      <c r="B922" s="47"/>
      <c r="C922" s="48" t="s">
        <v>317</v>
      </c>
      <c r="D922" s="48" t="s">
        <v>339</v>
      </c>
      <c r="E922" s="48"/>
      <c r="F922" s="36"/>
      <c r="G922" s="34">
        <f>SUM(G923+G927+G932+G933)</f>
        <v>9556.8</v>
      </c>
      <c r="H922" s="34">
        <f>SUM(H923+H927+H932+H933)</f>
        <v>9412</v>
      </c>
      <c r="I922" s="34">
        <f t="shared" si="39"/>
        <v>98.4848484848485</v>
      </c>
    </row>
    <row r="923" spans="1:9" ht="28.5">
      <c r="A923" s="75" t="s">
        <v>648</v>
      </c>
      <c r="B923" s="31"/>
      <c r="C923" s="48" t="s">
        <v>317</v>
      </c>
      <c r="D923" s="48" t="s">
        <v>339</v>
      </c>
      <c r="E923" s="48" t="s">
        <v>649</v>
      </c>
      <c r="F923" s="36"/>
      <c r="G923" s="34">
        <f>SUM(G924)</f>
        <v>9297.3</v>
      </c>
      <c r="H923" s="34">
        <f>SUM(H924)</f>
        <v>9152.5</v>
      </c>
      <c r="I923" s="34">
        <f t="shared" si="39"/>
        <v>98.44255859227948</v>
      </c>
    </row>
    <row r="924" spans="1:9" ht="28.5">
      <c r="A924" s="35" t="s">
        <v>263</v>
      </c>
      <c r="B924" s="31"/>
      <c r="C924" s="48" t="s">
        <v>317</v>
      </c>
      <c r="D924" s="48" t="s">
        <v>339</v>
      </c>
      <c r="E924" s="48" t="s">
        <v>650</v>
      </c>
      <c r="F924" s="36"/>
      <c r="G924" s="34">
        <f>SUM(G925:G926)</f>
        <v>9297.3</v>
      </c>
      <c r="H924" s="34">
        <f>SUM(H925:H926)</f>
        <v>9152.5</v>
      </c>
      <c r="I924" s="34">
        <f t="shared" si="39"/>
        <v>98.44255859227948</v>
      </c>
    </row>
    <row r="925" spans="1:9" ht="14.25" customHeight="1">
      <c r="A925" s="52" t="s">
        <v>265</v>
      </c>
      <c r="B925" s="31"/>
      <c r="C925" s="48" t="s">
        <v>317</v>
      </c>
      <c r="D925" s="48" t="s">
        <v>339</v>
      </c>
      <c r="E925" s="48" t="s">
        <v>650</v>
      </c>
      <c r="F925" s="36" t="s">
        <v>266</v>
      </c>
      <c r="G925" s="34">
        <f>9297.3</f>
        <v>9297.3</v>
      </c>
      <c r="H925" s="34">
        <v>9152.5</v>
      </c>
      <c r="I925" s="34">
        <f t="shared" si="39"/>
        <v>98.44255859227948</v>
      </c>
    </row>
    <row r="926" spans="1:9" ht="71.25" hidden="1">
      <c r="A926" s="35" t="s">
        <v>508</v>
      </c>
      <c r="B926" s="31"/>
      <c r="C926" s="48" t="s">
        <v>317</v>
      </c>
      <c r="D926" s="48" t="s">
        <v>339</v>
      </c>
      <c r="E926" s="48" t="s">
        <v>650</v>
      </c>
      <c r="F926" s="36" t="s">
        <v>662</v>
      </c>
      <c r="G926" s="34"/>
      <c r="H926" s="34"/>
      <c r="I926" s="34" t="e">
        <f t="shared" si="39"/>
        <v>#DIV/0!</v>
      </c>
    </row>
    <row r="927" spans="1:9" ht="15" hidden="1">
      <c r="A927" s="35" t="s">
        <v>331</v>
      </c>
      <c r="B927" s="31"/>
      <c r="C927" s="48" t="s">
        <v>317</v>
      </c>
      <c r="D927" s="48" t="s">
        <v>339</v>
      </c>
      <c r="E927" s="48" t="s">
        <v>332</v>
      </c>
      <c r="F927" s="36"/>
      <c r="G927" s="34">
        <f>SUM(G928+G930)</f>
        <v>0</v>
      </c>
      <c r="H927" s="34">
        <f>SUM(H928+H930)</f>
        <v>0</v>
      </c>
      <c r="I927" s="34" t="e">
        <f t="shared" si="39"/>
        <v>#DIV/0!</v>
      </c>
    </row>
    <row r="928" spans="1:9" ht="43.5" hidden="1">
      <c r="A928" s="52" t="s">
        <v>7</v>
      </c>
      <c r="B928" s="69"/>
      <c r="C928" s="48" t="s">
        <v>317</v>
      </c>
      <c r="D928" s="48" t="s">
        <v>339</v>
      </c>
      <c r="E928" s="48" t="s">
        <v>8</v>
      </c>
      <c r="F928" s="37"/>
      <c r="G928" s="34">
        <f>SUM(G929)</f>
        <v>0</v>
      </c>
      <c r="H928" s="34">
        <f>SUM(H929)</f>
        <v>0</v>
      </c>
      <c r="I928" s="34" t="e">
        <f t="shared" si="39"/>
        <v>#DIV/0!</v>
      </c>
    </row>
    <row r="929" spans="1:9" ht="29.25" hidden="1">
      <c r="A929" s="35" t="s">
        <v>521</v>
      </c>
      <c r="B929" s="69"/>
      <c r="C929" s="48" t="s">
        <v>317</v>
      </c>
      <c r="D929" s="48" t="s">
        <v>339</v>
      </c>
      <c r="E929" s="48" t="s">
        <v>8</v>
      </c>
      <c r="F929" s="37" t="s">
        <v>6</v>
      </c>
      <c r="G929" s="34"/>
      <c r="H929" s="34"/>
      <c r="I929" s="34" t="e">
        <f t="shared" si="39"/>
        <v>#DIV/0!</v>
      </c>
    </row>
    <row r="930" spans="1:9" ht="42.75" hidden="1">
      <c r="A930" s="35" t="s">
        <v>679</v>
      </c>
      <c r="B930" s="31"/>
      <c r="C930" s="48" t="s">
        <v>317</v>
      </c>
      <c r="D930" s="48" t="s">
        <v>339</v>
      </c>
      <c r="E930" s="48" t="s">
        <v>680</v>
      </c>
      <c r="F930" s="36"/>
      <c r="G930" s="34">
        <f>SUM(G931)</f>
        <v>0</v>
      </c>
      <c r="H930" s="34">
        <f>SUM(H931)</f>
        <v>0</v>
      </c>
      <c r="I930" s="34" t="e">
        <f t="shared" si="39"/>
        <v>#DIV/0!</v>
      </c>
    </row>
    <row r="931" spans="1:9" ht="28.5" hidden="1">
      <c r="A931" s="35" t="s">
        <v>521</v>
      </c>
      <c r="B931" s="31"/>
      <c r="C931" s="48" t="s">
        <v>317</v>
      </c>
      <c r="D931" s="48" t="s">
        <v>339</v>
      </c>
      <c r="E931" s="48" t="s">
        <v>680</v>
      </c>
      <c r="F931" s="36" t="s">
        <v>6</v>
      </c>
      <c r="G931" s="34"/>
      <c r="H931" s="34"/>
      <c r="I931" s="34" t="e">
        <f t="shared" si="39"/>
        <v>#DIV/0!</v>
      </c>
    </row>
    <row r="932" spans="1:9" ht="1.5" customHeight="1" hidden="1">
      <c r="A932" s="108" t="s">
        <v>278</v>
      </c>
      <c r="B932" s="47"/>
      <c r="C932" s="48" t="s">
        <v>317</v>
      </c>
      <c r="D932" s="48" t="s">
        <v>339</v>
      </c>
      <c r="E932" s="48" t="s">
        <v>279</v>
      </c>
      <c r="F932" s="36"/>
      <c r="G932" s="34">
        <f>SUM(G935)</f>
        <v>0</v>
      </c>
      <c r="H932" s="34">
        <f>SUM(H935)</f>
        <v>0</v>
      </c>
      <c r="I932" s="34" t="e">
        <f t="shared" si="39"/>
        <v>#DIV/0!</v>
      </c>
    </row>
    <row r="933" spans="1:9" ht="28.5">
      <c r="A933" s="30" t="s">
        <v>521</v>
      </c>
      <c r="B933" s="47"/>
      <c r="C933" s="48" t="s">
        <v>317</v>
      </c>
      <c r="D933" s="48" t="s">
        <v>339</v>
      </c>
      <c r="E933" s="48" t="s">
        <v>279</v>
      </c>
      <c r="F933" s="36"/>
      <c r="G933" s="34">
        <f>SUM(G934)</f>
        <v>259.5</v>
      </c>
      <c r="H933" s="34">
        <f>SUM(H934)</f>
        <v>259.5</v>
      </c>
      <c r="I933" s="34">
        <f t="shared" si="39"/>
        <v>100</v>
      </c>
    </row>
    <row r="934" spans="1:9" ht="28.5">
      <c r="A934" s="30" t="s">
        <v>521</v>
      </c>
      <c r="B934" s="47"/>
      <c r="C934" s="48" t="s">
        <v>317</v>
      </c>
      <c r="D934" s="48" t="s">
        <v>339</v>
      </c>
      <c r="E934" s="48" t="s">
        <v>279</v>
      </c>
      <c r="F934" s="36" t="s">
        <v>6</v>
      </c>
      <c r="G934" s="34">
        <f>SUM(G936:G942)</f>
        <v>259.5</v>
      </c>
      <c r="H934" s="34">
        <f>SUM(H936:H942)</f>
        <v>259.5</v>
      </c>
      <c r="I934" s="34">
        <f t="shared" si="39"/>
        <v>100</v>
      </c>
    </row>
    <row r="935" spans="1:9" ht="28.5" hidden="1">
      <c r="A935" s="30" t="s">
        <v>681</v>
      </c>
      <c r="B935" s="136"/>
      <c r="C935" s="48" t="s">
        <v>317</v>
      </c>
      <c r="D935" s="48" t="s">
        <v>339</v>
      </c>
      <c r="E935" s="48" t="s">
        <v>682</v>
      </c>
      <c r="F935" s="36"/>
      <c r="G935" s="34"/>
      <c r="H935" s="34"/>
      <c r="I935" s="34" t="e">
        <f t="shared" si="39"/>
        <v>#DIV/0!</v>
      </c>
    </row>
    <row r="936" spans="1:9" ht="27.75" customHeight="1">
      <c r="A936" s="30" t="s">
        <v>681</v>
      </c>
      <c r="B936" s="136"/>
      <c r="C936" s="48" t="s">
        <v>317</v>
      </c>
      <c r="D936" s="48" t="s">
        <v>339</v>
      </c>
      <c r="E936" s="48" t="s">
        <v>682</v>
      </c>
      <c r="F936" s="36" t="s">
        <v>6</v>
      </c>
      <c r="G936" s="77">
        <v>253.5</v>
      </c>
      <c r="H936" s="77">
        <v>253.5</v>
      </c>
      <c r="I936" s="34">
        <f t="shared" si="39"/>
        <v>100</v>
      </c>
    </row>
    <row r="937" spans="1:9" ht="42.75" hidden="1">
      <c r="A937" s="41" t="s">
        <v>683</v>
      </c>
      <c r="B937" s="137"/>
      <c r="C937" s="43" t="s">
        <v>317</v>
      </c>
      <c r="D937" s="43" t="s">
        <v>339</v>
      </c>
      <c r="E937" s="43" t="s">
        <v>684</v>
      </c>
      <c r="F937" s="130" t="s">
        <v>6</v>
      </c>
      <c r="G937" s="77"/>
      <c r="H937" s="77"/>
      <c r="I937" s="34" t="e">
        <f t="shared" si="39"/>
        <v>#DIV/0!</v>
      </c>
    </row>
    <row r="938" spans="1:9" ht="28.5" hidden="1">
      <c r="A938" s="126" t="s">
        <v>685</v>
      </c>
      <c r="B938" s="137"/>
      <c r="C938" s="43" t="s">
        <v>317</v>
      </c>
      <c r="D938" s="43" t="s">
        <v>339</v>
      </c>
      <c r="E938" s="43" t="s">
        <v>686</v>
      </c>
      <c r="F938" s="130" t="s">
        <v>6</v>
      </c>
      <c r="G938" s="77"/>
      <c r="H938" s="77"/>
      <c r="I938" s="34" t="e">
        <f t="shared" si="39"/>
        <v>#DIV/0!</v>
      </c>
    </row>
    <row r="939" spans="1:9" ht="28.5">
      <c r="A939" s="126" t="s">
        <v>687</v>
      </c>
      <c r="B939" s="137"/>
      <c r="C939" s="43" t="s">
        <v>317</v>
      </c>
      <c r="D939" s="43" t="s">
        <v>339</v>
      </c>
      <c r="E939" s="43" t="s">
        <v>688</v>
      </c>
      <c r="F939" s="130" t="s">
        <v>6</v>
      </c>
      <c r="G939" s="77">
        <v>6</v>
      </c>
      <c r="H939" s="77">
        <v>6</v>
      </c>
      <c r="I939" s="34">
        <f t="shared" si="39"/>
        <v>100</v>
      </c>
    </row>
    <row r="940" spans="1:9" ht="0.75" customHeight="1" thickBot="1">
      <c r="A940" s="126" t="s">
        <v>689</v>
      </c>
      <c r="B940" s="137"/>
      <c r="C940" s="43" t="s">
        <v>317</v>
      </c>
      <c r="D940" s="43" t="s">
        <v>339</v>
      </c>
      <c r="E940" s="43" t="s">
        <v>690</v>
      </c>
      <c r="F940" s="130" t="s">
        <v>6</v>
      </c>
      <c r="G940" s="77"/>
      <c r="H940" s="77"/>
      <c r="I940" s="34" t="e">
        <f t="shared" si="39"/>
        <v>#DIV/0!</v>
      </c>
    </row>
    <row r="941" spans="1:9" ht="28.5" customHeight="1" hidden="1">
      <c r="A941" s="95" t="s">
        <v>973</v>
      </c>
      <c r="B941" s="137"/>
      <c r="C941" s="43" t="s">
        <v>317</v>
      </c>
      <c r="D941" s="43" t="s">
        <v>339</v>
      </c>
      <c r="E941" s="43" t="s">
        <v>974</v>
      </c>
      <c r="F941" s="130" t="s">
        <v>6</v>
      </c>
      <c r="G941" s="77"/>
      <c r="H941" s="77"/>
      <c r="I941" s="34" t="e">
        <f t="shared" si="39"/>
        <v>#DIV/0!</v>
      </c>
    </row>
    <row r="942" spans="1:9" ht="28.5" customHeight="1" hidden="1">
      <c r="A942" s="220" t="s">
        <v>691</v>
      </c>
      <c r="B942" s="221"/>
      <c r="C942" s="222" t="s">
        <v>317</v>
      </c>
      <c r="D942" s="222" t="s">
        <v>339</v>
      </c>
      <c r="E942" s="222" t="s">
        <v>692</v>
      </c>
      <c r="F942" s="223" t="s">
        <v>6</v>
      </c>
      <c r="G942" s="224"/>
      <c r="H942" s="224"/>
      <c r="I942" s="34" t="e">
        <f t="shared" si="39"/>
        <v>#DIV/0!</v>
      </c>
    </row>
    <row r="943" spans="1:9" ht="26.25" customHeight="1" thickBot="1">
      <c r="A943" s="150" t="s">
        <v>1019</v>
      </c>
      <c r="B943" s="151"/>
      <c r="C943" s="152"/>
      <c r="D943" s="152"/>
      <c r="E943" s="152"/>
      <c r="F943" s="153"/>
      <c r="G943" s="154">
        <f>SUM(G14+G35+G43+G380+G414+G648+G660+G683+G817+G867)</f>
        <v>2636043.602</v>
      </c>
      <c r="H943" s="154">
        <f>SUM(H14+H35+H43+H380+H414+H648+H660+H683+H817+H867)+0.1</f>
        <v>2590179.8019999997</v>
      </c>
      <c r="I943" s="225">
        <f t="shared" si="39"/>
        <v>98.26012741347667</v>
      </c>
    </row>
    <row r="944" spans="1:9" ht="26.25" thickBot="1">
      <c r="A944" s="226" t="s">
        <v>1020</v>
      </c>
      <c r="B944" s="227"/>
      <c r="C944" s="228"/>
      <c r="D944" s="227"/>
      <c r="E944" s="227"/>
      <c r="F944" s="229"/>
      <c r="G944" s="167">
        <v>-145908.1</v>
      </c>
      <c r="H944" s="230">
        <v>-127118.7</v>
      </c>
      <c r="I944" s="231">
        <f t="shared" si="39"/>
        <v>87.12244213994973</v>
      </c>
    </row>
  </sheetData>
  <mergeCells count="2">
    <mergeCell ref="F5:G5"/>
    <mergeCell ref="F8:H8"/>
  </mergeCells>
  <printOptions/>
  <pageMargins left="1.1811023622047245" right="0.1968503937007874" top="0.1968503937007874" bottom="0.1968503937007874" header="0.5118110236220472" footer="0.5118110236220472"/>
  <pageSetup fitToHeight="20"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K46"/>
  <sheetViews>
    <sheetView workbookViewId="0" topLeftCell="A6">
      <selection activeCell="J5" sqref="J5"/>
    </sheetView>
  </sheetViews>
  <sheetFormatPr defaultColWidth="9.00390625" defaultRowHeight="12.75"/>
  <cols>
    <col min="1" max="1" width="19.25390625" style="50" customWidth="1"/>
    <col min="2" max="2" width="35.25390625" style="50" customWidth="1"/>
    <col min="3" max="6" width="18.75390625" style="50" hidden="1" customWidth="1"/>
    <col min="7" max="7" width="13.25390625" style="356" customWidth="1"/>
    <col min="8" max="8" width="12.375" style="357" customWidth="1"/>
    <col min="9" max="9" width="12.75390625" style="357" customWidth="1"/>
    <col min="10" max="10" width="18.00390625" style="360" customWidth="1"/>
    <col min="11" max="16384" width="9.125" style="50" customWidth="1"/>
  </cols>
  <sheetData>
    <row r="1" spans="1:10" ht="12.75" customHeight="1">
      <c r="A1" s="354"/>
      <c r="B1" s="355"/>
      <c r="C1" s="355"/>
      <c r="I1" s="238" t="s">
        <v>113</v>
      </c>
      <c r="J1" s="357"/>
    </row>
    <row r="2" spans="1:9" ht="12.75" customHeight="1">
      <c r="A2" s="358"/>
      <c r="B2" s="359"/>
      <c r="C2" s="359"/>
      <c r="I2" s="238" t="s">
        <v>597</v>
      </c>
    </row>
    <row r="3" spans="1:9" ht="12.75" customHeight="1">
      <c r="A3" s="358"/>
      <c r="B3" s="359"/>
      <c r="C3" s="359"/>
      <c r="I3" s="238" t="s">
        <v>598</v>
      </c>
    </row>
    <row r="4" spans="1:9" ht="12.75" customHeight="1">
      <c r="A4" s="358"/>
      <c r="B4" s="359"/>
      <c r="C4" s="359"/>
      <c r="I4" s="238" t="s">
        <v>16</v>
      </c>
    </row>
    <row r="5" spans="1:9" ht="51.75" customHeight="1">
      <c r="A5" s="398" t="s">
        <v>983</v>
      </c>
      <c r="B5" s="398"/>
      <c r="C5" s="398"/>
      <c r="D5" s="398"/>
      <c r="E5" s="398"/>
      <c r="F5" s="398"/>
      <c r="G5" s="398"/>
      <c r="H5" s="398"/>
      <c r="I5" s="398"/>
    </row>
    <row r="6" spans="1:9" ht="12.75" customHeight="1">
      <c r="A6" s="361"/>
      <c r="B6" s="359"/>
      <c r="C6" s="359"/>
      <c r="I6" s="362" t="s">
        <v>1154</v>
      </c>
    </row>
    <row r="7" spans="1:9" ht="26.25" customHeight="1">
      <c r="A7" s="399" t="s">
        <v>43</v>
      </c>
      <c r="B7" s="400" t="s">
        <v>44</v>
      </c>
      <c r="C7" s="400" t="s">
        <v>45</v>
      </c>
      <c r="D7" s="400" t="s">
        <v>46</v>
      </c>
      <c r="E7" s="400" t="s">
        <v>47</v>
      </c>
      <c r="F7" s="400" t="s">
        <v>48</v>
      </c>
      <c r="G7" s="385" t="s">
        <v>49</v>
      </c>
      <c r="H7" s="402" t="s">
        <v>1434</v>
      </c>
      <c r="I7" s="402" t="s">
        <v>1435</v>
      </c>
    </row>
    <row r="8" spans="1:9" ht="26.25" customHeight="1">
      <c r="A8" s="399"/>
      <c r="B8" s="401"/>
      <c r="C8" s="401"/>
      <c r="D8" s="401"/>
      <c r="E8" s="401"/>
      <c r="F8" s="401"/>
      <c r="G8" s="386"/>
      <c r="H8" s="403"/>
      <c r="I8" s="403"/>
    </row>
    <row r="9" spans="1:9" ht="31.5">
      <c r="A9" s="363" t="s">
        <v>50</v>
      </c>
      <c r="B9" s="329" t="s">
        <v>51</v>
      </c>
      <c r="C9" s="364"/>
      <c r="D9" s="364"/>
      <c r="E9" s="364"/>
      <c r="F9" s="364"/>
      <c r="G9" s="365">
        <f>SUM(G10+G17+G24+G35)</f>
        <v>145908.10000000003</v>
      </c>
      <c r="H9" s="365">
        <f>SUM(H10+H17+H24+H35)</f>
        <v>127118.7</v>
      </c>
      <c r="I9" s="365">
        <f aca="true" t="shared" si="0" ref="I9:I16">H9/G9*100</f>
        <v>87.12244213994971</v>
      </c>
    </row>
    <row r="10" spans="1:9" ht="26.25" customHeight="1">
      <c r="A10" s="363" t="s">
        <v>52</v>
      </c>
      <c r="B10" s="329" t="s">
        <v>53</v>
      </c>
      <c r="C10" s="364"/>
      <c r="D10" s="364"/>
      <c r="E10" s="364"/>
      <c r="F10" s="364"/>
      <c r="G10" s="365">
        <f>SUM(G11+G14)</f>
        <v>75000</v>
      </c>
      <c r="H10" s="365">
        <f>SUM(H11+H14)</f>
        <v>75000</v>
      </c>
      <c r="I10" s="365">
        <f t="shared" si="0"/>
        <v>100</v>
      </c>
    </row>
    <row r="11" spans="1:9" ht="31.5">
      <c r="A11" s="363" t="s">
        <v>54</v>
      </c>
      <c r="B11" s="329" t="s">
        <v>55</v>
      </c>
      <c r="C11" s="364"/>
      <c r="D11" s="364"/>
      <c r="E11" s="364"/>
      <c r="F11" s="364"/>
      <c r="G11" s="365">
        <f>SUM(G12)</f>
        <v>105000</v>
      </c>
      <c r="H11" s="365">
        <f>SUM(H12)</f>
        <v>105000</v>
      </c>
      <c r="I11" s="365">
        <f t="shared" si="0"/>
        <v>100</v>
      </c>
    </row>
    <row r="12" spans="1:9" ht="31.5">
      <c r="A12" s="363" t="s">
        <v>56</v>
      </c>
      <c r="B12" s="329" t="s">
        <v>57</v>
      </c>
      <c r="C12" s="364"/>
      <c r="D12" s="364"/>
      <c r="E12" s="364"/>
      <c r="F12" s="364"/>
      <c r="G12" s="365">
        <f>SUM(G13)</f>
        <v>105000</v>
      </c>
      <c r="H12" s="365">
        <f>SUM(H13)</f>
        <v>105000</v>
      </c>
      <c r="I12" s="365">
        <f t="shared" si="0"/>
        <v>100</v>
      </c>
    </row>
    <row r="13" spans="1:9" ht="31.5" hidden="1">
      <c r="A13" s="363" t="s">
        <v>58</v>
      </c>
      <c r="B13" s="329" t="s">
        <v>57</v>
      </c>
      <c r="C13" s="364"/>
      <c r="D13" s="364"/>
      <c r="E13" s="364"/>
      <c r="F13" s="364"/>
      <c r="G13" s="365">
        <v>105000</v>
      </c>
      <c r="H13" s="365">
        <v>105000</v>
      </c>
      <c r="I13" s="365">
        <f t="shared" si="0"/>
        <v>100</v>
      </c>
    </row>
    <row r="14" spans="1:9" ht="31.5">
      <c r="A14" s="363" t="s">
        <v>59</v>
      </c>
      <c r="B14" s="329" t="s">
        <v>60</v>
      </c>
      <c r="C14" s="364"/>
      <c r="D14" s="364"/>
      <c r="E14" s="364"/>
      <c r="F14" s="364"/>
      <c r="G14" s="365">
        <f>SUM(G15)</f>
        <v>-30000</v>
      </c>
      <c r="H14" s="365">
        <f>SUM(H15)</f>
        <v>-30000</v>
      </c>
      <c r="I14" s="365">
        <f t="shared" si="0"/>
        <v>100</v>
      </c>
    </row>
    <row r="15" spans="1:9" ht="31.5">
      <c r="A15" s="363" t="s">
        <v>61</v>
      </c>
      <c r="B15" s="329" t="s">
        <v>62</v>
      </c>
      <c r="C15" s="364"/>
      <c r="D15" s="364"/>
      <c r="E15" s="364"/>
      <c r="F15" s="364"/>
      <c r="G15" s="365">
        <f>SUM(G16)</f>
        <v>-30000</v>
      </c>
      <c r="H15" s="365">
        <f>SUM(H16)</f>
        <v>-30000</v>
      </c>
      <c r="I15" s="365">
        <f t="shared" si="0"/>
        <v>100</v>
      </c>
    </row>
    <row r="16" spans="1:9" ht="31.5" hidden="1">
      <c r="A16" s="363" t="s">
        <v>63</v>
      </c>
      <c r="B16" s="329" t="s">
        <v>62</v>
      </c>
      <c r="C16" s="364"/>
      <c r="D16" s="364"/>
      <c r="E16" s="364"/>
      <c r="F16" s="364"/>
      <c r="G16" s="365">
        <v>-30000</v>
      </c>
      <c r="H16" s="365">
        <v>-30000</v>
      </c>
      <c r="I16" s="365">
        <f t="shared" si="0"/>
        <v>100</v>
      </c>
    </row>
    <row r="17" spans="1:9" ht="30.75" customHeight="1" hidden="1">
      <c r="A17" s="366" t="s">
        <v>64</v>
      </c>
      <c r="B17" s="367" t="s">
        <v>65</v>
      </c>
      <c r="C17" s="364" t="s">
        <v>65</v>
      </c>
      <c r="D17" s="364"/>
      <c r="E17" s="364"/>
      <c r="F17" s="364"/>
      <c r="G17" s="368">
        <f>SUM(G18+G21)</f>
        <v>0</v>
      </c>
      <c r="H17" s="368">
        <f aca="true" t="shared" si="1" ref="H17:I19">SUM(H18)</f>
        <v>0</v>
      </c>
      <c r="I17" s="368">
        <f t="shared" si="1"/>
        <v>0</v>
      </c>
    </row>
    <row r="18" spans="1:9" ht="41.25" customHeight="1" hidden="1">
      <c r="A18" s="366" t="s">
        <v>66</v>
      </c>
      <c r="B18" s="367" t="s">
        <v>67</v>
      </c>
      <c r="C18" s="364" t="s">
        <v>67</v>
      </c>
      <c r="D18" s="364"/>
      <c r="E18" s="364"/>
      <c r="F18" s="364"/>
      <c r="G18" s="368">
        <f>SUM(G19)</f>
        <v>0</v>
      </c>
      <c r="H18" s="368">
        <f t="shared" si="1"/>
        <v>0</v>
      </c>
      <c r="I18" s="368">
        <f t="shared" si="1"/>
        <v>0</v>
      </c>
    </row>
    <row r="19" spans="1:9" ht="41.25" customHeight="1" hidden="1">
      <c r="A19" s="366" t="s">
        <v>68</v>
      </c>
      <c r="B19" s="367" t="s">
        <v>69</v>
      </c>
      <c r="C19" s="364" t="s">
        <v>69</v>
      </c>
      <c r="D19" s="364"/>
      <c r="E19" s="364"/>
      <c r="F19" s="364"/>
      <c r="G19" s="368">
        <f>SUM(G20)</f>
        <v>0</v>
      </c>
      <c r="H19" s="368">
        <f t="shared" si="1"/>
        <v>0</v>
      </c>
      <c r="I19" s="368">
        <f t="shared" si="1"/>
        <v>0</v>
      </c>
    </row>
    <row r="20" spans="1:9" ht="41.25" customHeight="1" hidden="1">
      <c r="A20" s="366" t="s">
        <v>70</v>
      </c>
      <c r="B20" s="367" t="s">
        <v>69</v>
      </c>
      <c r="C20" s="364" t="s">
        <v>69</v>
      </c>
      <c r="D20" s="364"/>
      <c r="E20" s="364"/>
      <c r="F20" s="364"/>
      <c r="G20" s="368">
        <v>0</v>
      </c>
      <c r="H20" s="368">
        <v>0</v>
      </c>
      <c r="I20" s="368">
        <v>0</v>
      </c>
    </row>
    <row r="21" spans="1:10" ht="42.75" customHeight="1" hidden="1">
      <c r="A21" s="366" t="s">
        <v>71</v>
      </c>
      <c r="B21" s="367" t="s">
        <v>72</v>
      </c>
      <c r="C21" s="364" t="s">
        <v>72</v>
      </c>
      <c r="D21" s="364"/>
      <c r="E21" s="364"/>
      <c r="F21" s="364"/>
      <c r="G21" s="368">
        <f>SUM(G22)</f>
        <v>0</v>
      </c>
      <c r="H21" s="365"/>
      <c r="I21" s="365"/>
      <c r="J21" s="369"/>
    </row>
    <row r="22" spans="1:10" ht="42.75" customHeight="1" hidden="1">
      <c r="A22" s="366" t="s">
        <v>73</v>
      </c>
      <c r="B22" s="367" t="s">
        <v>74</v>
      </c>
      <c r="C22" s="364" t="s">
        <v>74</v>
      </c>
      <c r="D22" s="364"/>
      <c r="E22" s="364"/>
      <c r="F22" s="364"/>
      <c r="G22" s="368">
        <f>SUM(G23)</f>
        <v>0</v>
      </c>
      <c r="H22" s="365"/>
      <c r="I22" s="365"/>
      <c r="J22" s="369"/>
    </row>
    <row r="23" spans="1:10" ht="42.75" customHeight="1" hidden="1">
      <c r="A23" s="366" t="s">
        <v>75</v>
      </c>
      <c r="B23" s="367" t="s">
        <v>74</v>
      </c>
      <c r="C23" s="364" t="s">
        <v>74</v>
      </c>
      <c r="D23" s="364"/>
      <c r="E23" s="364"/>
      <c r="F23" s="364"/>
      <c r="G23" s="368">
        <v>0</v>
      </c>
      <c r="H23" s="365"/>
      <c r="I23" s="365"/>
      <c r="J23" s="369"/>
    </row>
    <row r="24" spans="1:9" ht="21">
      <c r="A24" s="366" t="s">
        <v>76</v>
      </c>
      <c r="B24" s="367" t="s">
        <v>77</v>
      </c>
      <c r="C24" s="370"/>
      <c r="D24" s="370"/>
      <c r="E24" s="370"/>
      <c r="F24" s="371"/>
      <c r="G24" s="365">
        <f>SUM(G30+G25)</f>
        <v>56750.40000000001</v>
      </c>
      <c r="H24" s="365">
        <f>SUM(H30+H25)</f>
        <v>37961</v>
      </c>
      <c r="I24" s="365">
        <f aca="true" t="shared" si="2" ref="I24:I44">H24/G24*100</f>
        <v>66.89115847641601</v>
      </c>
    </row>
    <row r="25" spans="1:9" ht="12.75" hidden="1">
      <c r="A25" s="366" t="s">
        <v>78</v>
      </c>
      <c r="B25" s="367" t="s">
        <v>79</v>
      </c>
      <c r="C25" s="364"/>
      <c r="D25" s="364"/>
      <c r="E25" s="364"/>
      <c r="F25" s="372"/>
      <c r="G25" s="373">
        <f aca="true" t="shared" si="3" ref="G25:H28">SUM(G26)</f>
        <v>-14157.7</v>
      </c>
      <c r="H25" s="373">
        <f t="shared" si="3"/>
        <v>-48965</v>
      </c>
      <c r="I25" s="365">
        <f t="shared" si="2"/>
        <v>345.8541994815542</v>
      </c>
    </row>
    <row r="26" spans="1:9" ht="21">
      <c r="A26" s="366" t="s">
        <v>80</v>
      </c>
      <c r="B26" s="367" t="s">
        <v>81</v>
      </c>
      <c r="C26" s="364"/>
      <c r="D26" s="364"/>
      <c r="E26" s="364"/>
      <c r="F26" s="372"/>
      <c r="G26" s="373">
        <f t="shared" si="3"/>
        <v>-14157.7</v>
      </c>
      <c r="H26" s="373">
        <f t="shared" si="3"/>
        <v>-48965</v>
      </c>
      <c r="I26" s="365">
        <f t="shared" si="2"/>
        <v>345.8541994815542</v>
      </c>
    </row>
    <row r="27" spans="1:9" ht="21">
      <c r="A27" s="366" t="s">
        <v>82</v>
      </c>
      <c r="B27" s="367" t="s">
        <v>83</v>
      </c>
      <c r="C27" s="364"/>
      <c r="D27" s="364"/>
      <c r="E27" s="364"/>
      <c r="F27" s="372"/>
      <c r="G27" s="373">
        <f t="shared" si="3"/>
        <v>-14157.7</v>
      </c>
      <c r="H27" s="373">
        <f t="shared" si="3"/>
        <v>-48965</v>
      </c>
      <c r="I27" s="365">
        <f t="shared" si="2"/>
        <v>345.8541994815542</v>
      </c>
    </row>
    <row r="28" spans="1:9" ht="21">
      <c r="A28" s="366" t="s">
        <v>84</v>
      </c>
      <c r="B28" s="367" t="s">
        <v>83</v>
      </c>
      <c r="C28" s="364"/>
      <c r="D28" s="364"/>
      <c r="E28" s="364"/>
      <c r="F28" s="372"/>
      <c r="G28" s="373">
        <f t="shared" si="3"/>
        <v>-14157.7</v>
      </c>
      <c r="H28" s="373">
        <f>SUM(H29)+0.1</f>
        <v>-48965</v>
      </c>
      <c r="I28" s="373" t="s">
        <v>143</v>
      </c>
    </row>
    <row r="29" spans="1:9" ht="21" hidden="1">
      <c r="A29" s="366" t="s">
        <v>85</v>
      </c>
      <c r="B29" s="367" t="s">
        <v>86</v>
      </c>
      <c r="C29" s="364"/>
      <c r="D29" s="364"/>
      <c r="E29" s="364"/>
      <c r="F29" s="372"/>
      <c r="G29" s="373">
        <v>-14157.7</v>
      </c>
      <c r="H29" s="373">
        <v>-48965.1</v>
      </c>
      <c r="I29" s="365">
        <f t="shared" si="2"/>
        <v>345.8549058109721</v>
      </c>
    </row>
    <row r="30" spans="1:9" ht="12.75">
      <c r="A30" s="366" t="s">
        <v>87</v>
      </c>
      <c r="B30" s="367" t="s">
        <v>88</v>
      </c>
      <c r="C30" s="370"/>
      <c r="D30" s="370"/>
      <c r="E30" s="370"/>
      <c r="F30" s="371"/>
      <c r="G30" s="365">
        <f aca="true" t="shared" si="4" ref="G30:H33">SUM(G31)</f>
        <v>70908.1</v>
      </c>
      <c r="H30" s="365">
        <f t="shared" si="4"/>
        <v>86926</v>
      </c>
      <c r="I30" s="365">
        <f t="shared" si="2"/>
        <v>122.58966182988966</v>
      </c>
    </row>
    <row r="31" spans="1:9" ht="21">
      <c r="A31" s="366" t="s">
        <v>89</v>
      </c>
      <c r="B31" s="367" t="s">
        <v>90</v>
      </c>
      <c r="C31" s="370"/>
      <c r="D31" s="370"/>
      <c r="E31" s="370"/>
      <c r="F31" s="371"/>
      <c r="G31" s="365">
        <f t="shared" si="4"/>
        <v>70908.1</v>
      </c>
      <c r="H31" s="365">
        <f t="shared" si="4"/>
        <v>86926</v>
      </c>
      <c r="I31" s="365">
        <f t="shared" si="2"/>
        <v>122.58966182988966</v>
      </c>
    </row>
    <row r="32" spans="1:9" ht="21">
      <c r="A32" s="366" t="s">
        <v>91</v>
      </c>
      <c r="B32" s="367" t="s">
        <v>92</v>
      </c>
      <c r="C32" s="370"/>
      <c r="D32" s="370"/>
      <c r="E32" s="370"/>
      <c r="F32" s="371"/>
      <c r="G32" s="365">
        <f t="shared" si="4"/>
        <v>70908.1</v>
      </c>
      <c r="H32" s="365">
        <f t="shared" si="4"/>
        <v>86926</v>
      </c>
      <c r="I32" s="365">
        <f t="shared" si="2"/>
        <v>122.58966182988966</v>
      </c>
    </row>
    <row r="33" spans="1:9" ht="21">
      <c r="A33" s="366" t="s">
        <v>93</v>
      </c>
      <c r="B33" s="367" t="s">
        <v>94</v>
      </c>
      <c r="C33" s="370"/>
      <c r="D33" s="370"/>
      <c r="E33" s="370"/>
      <c r="F33" s="371"/>
      <c r="G33" s="365">
        <f t="shared" si="4"/>
        <v>70908.1</v>
      </c>
      <c r="H33" s="365">
        <f t="shared" si="4"/>
        <v>86926</v>
      </c>
      <c r="I33" s="365">
        <f t="shared" si="2"/>
        <v>122.58966182988966</v>
      </c>
    </row>
    <row r="34" spans="1:9" ht="21" hidden="1">
      <c r="A34" s="366" t="s">
        <v>95</v>
      </c>
      <c r="B34" s="367" t="s">
        <v>94</v>
      </c>
      <c r="C34" s="370"/>
      <c r="D34" s="370"/>
      <c r="E34" s="370"/>
      <c r="F34" s="371"/>
      <c r="G34" s="365">
        <v>70908.1</v>
      </c>
      <c r="H34" s="365">
        <v>86926</v>
      </c>
      <c r="I34" s="365">
        <f t="shared" si="2"/>
        <v>122.58966182988966</v>
      </c>
    </row>
    <row r="35" spans="1:9" ht="21">
      <c r="A35" s="366" t="s">
        <v>96</v>
      </c>
      <c r="B35" s="367" t="s">
        <v>97</v>
      </c>
      <c r="C35" s="370"/>
      <c r="D35" s="370"/>
      <c r="E35" s="370"/>
      <c r="F35" s="371"/>
      <c r="G35" s="365">
        <f>SUM(G36+G40)</f>
        <v>14157.7</v>
      </c>
      <c r="H35" s="365">
        <f>SUM(H36+H40)</f>
        <v>14157.7</v>
      </c>
      <c r="I35" s="365">
        <f t="shared" si="2"/>
        <v>100</v>
      </c>
    </row>
    <row r="36" spans="1:11" ht="39.75" customHeight="1">
      <c r="A36" s="366" t="s">
        <v>98</v>
      </c>
      <c r="B36" s="367" t="s">
        <v>99</v>
      </c>
      <c r="C36" s="364" t="s">
        <v>99</v>
      </c>
      <c r="D36" s="364"/>
      <c r="E36" s="364"/>
      <c r="F36" s="364"/>
      <c r="G36" s="365">
        <f aca="true" t="shared" si="5" ref="G36:H38">SUM(G37)</f>
        <v>-10000</v>
      </c>
      <c r="H36" s="365">
        <f t="shared" si="5"/>
        <v>0</v>
      </c>
      <c r="I36" s="365">
        <f t="shared" si="2"/>
        <v>0</v>
      </c>
      <c r="J36" s="369"/>
      <c r="K36" s="369"/>
    </row>
    <row r="37" spans="1:11" ht="90.75" customHeight="1">
      <c r="A37" s="366" t="s">
        <v>100</v>
      </c>
      <c r="B37" s="374" t="s">
        <v>101</v>
      </c>
      <c r="C37" s="375" t="s">
        <v>101</v>
      </c>
      <c r="D37" s="364"/>
      <c r="E37" s="364"/>
      <c r="F37" s="364"/>
      <c r="G37" s="365">
        <f t="shared" si="5"/>
        <v>-10000</v>
      </c>
      <c r="H37" s="365">
        <f t="shared" si="5"/>
        <v>0</v>
      </c>
      <c r="I37" s="365">
        <f t="shared" si="2"/>
        <v>0</v>
      </c>
      <c r="J37" s="369"/>
      <c r="K37" s="369"/>
    </row>
    <row r="38" spans="1:11" ht="90.75" customHeight="1">
      <c r="A38" s="366" t="s">
        <v>102</v>
      </c>
      <c r="B38" s="374" t="s">
        <v>103</v>
      </c>
      <c r="C38" s="375" t="s">
        <v>103</v>
      </c>
      <c r="D38" s="364"/>
      <c r="E38" s="364"/>
      <c r="F38" s="364"/>
      <c r="G38" s="365">
        <f t="shared" si="5"/>
        <v>-10000</v>
      </c>
      <c r="H38" s="365">
        <f t="shared" si="5"/>
        <v>0</v>
      </c>
      <c r="I38" s="365">
        <f t="shared" si="2"/>
        <v>0</v>
      </c>
      <c r="J38" s="369"/>
      <c r="K38" s="369"/>
    </row>
    <row r="39" spans="1:11" ht="90.75" customHeight="1" hidden="1">
      <c r="A39" s="366" t="s">
        <v>104</v>
      </c>
      <c r="B39" s="374" t="s">
        <v>103</v>
      </c>
      <c r="C39" s="375" t="s">
        <v>103</v>
      </c>
      <c r="D39" s="364"/>
      <c r="E39" s="364"/>
      <c r="F39" s="364"/>
      <c r="G39" s="365">
        <v>-10000</v>
      </c>
      <c r="H39" s="365">
        <v>0</v>
      </c>
      <c r="I39" s="365">
        <f t="shared" si="2"/>
        <v>0</v>
      </c>
      <c r="J39" s="369"/>
      <c r="K39" s="369"/>
    </row>
    <row r="40" spans="1:9" ht="31.5">
      <c r="A40" s="366" t="s">
        <v>105</v>
      </c>
      <c r="B40" s="367" t="s">
        <v>106</v>
      </c>
      <c r="C40" s="364"/>
      <c r="D40" s="364"/>
      <c r="E40" s="364"/>
      <c r="F40" s="372"/>
      <c r="G40" s="365">
        <f aca="true" t="shared" si="6" ref="G40:H42">SUM(G41)</f>
        <v>24157.7</v>
      </c>
      <c r="H40" s="365">
        <f t="shared" si="6"/>
        <v>14157.7</v>
      </c>
      <c r="I40" s="365">
        <f t="shared" si="2"/>
        <v>58.605330805498866</v>
      </c>
    </row>
    <row r="41" spans="1:9" ht="31.5">
      <c r="A41" s="366" t="s">
        <v>107</v>
      </c>
      <c r="B41" s="367" t="s">
        <v>108</v>
      </c>
      <c r="C41" s="364"/>
      <c r="D41" s="364"/>
      <c r="E41" s="364"/>
      <c r="F41" s="372"/>
      <c r="G41" s="365">
        <f t="shared" si="6"/>
        <v>24157.7</v>
      </c>
      <c r="H41" s="365">
        <f t="shared" si="6"/>
        <v>14157.7</v>
      </c>
      <c r="I41" s="365">
        <f t="shared" si="2"/>
        <v>58.605330805498866</v>
      </c>
    </row>
    <row r="42" spans="1:9" ht="42">
      <c r="A42" s="366" t="s">
        <v>109</v>
      </c>
      <c r="B42" s="367" t="s">
        <v>110</v>
      </c>
      <c r="C42" s="364"/>
      <c r="D42" s="364"/>
      <c r="E42" s="364"/>
      <c r="F42" s="372"/>
      <c r="G42" s="365">
        <f t="shared" si="6"/>
        <v>24157.7</v>
      </c>
      <c r="H42" s="365">
        <f t="shared" si="6"/>
        <v>14157.7</v>
      </c>
      <c r="I42" s="365">
        <f t="shared" si="2"/>
        <v>58.605330805498866</v>
      </c>
    </row>
    <row r="43" spans="1:9" ht="42" hidden="1">
      <c r="A43" s="366" t="s">
        <v>111</v>
      </c>
      <c r="B43" s="367" t="s">
        <v>110</v>
      </c>
      <c r="C43" s="364"/>
      <c r="D43" s="364"/>
      <c r="E43" s="364"/>
      <c r="F43" s="372"/>
      <c r="G43" s="365">
        <v>24157.7</v>
      </c>
      <c r="H43" s="365">
        <v>14157.7</v>
      </c>
      <c r="I43" s="365">
        <f t="shared" si="2"/>
        <v>58.605330805498866</v>
      </c>
    </row>
    <row r="44" spans="1:9" ht="12.75" hidden="1">
      <c r="A44" s="376" t="s">
        <v>112</v>
      </c>
      <c r="B44" s="377"/>
      <c r="C44" s="378"/>
      <c r="D44" s="378"/>
      <c r="E44" s="378"/>
      <c r="F44" s="378"/>
      <c r="G44" s="379">
        <f>SUM(G9)</f>
        <v>145908.10000000003</v>
      </c>
      <c r="H44" s="379">
        <f>SUM(H9)</f>
        <v>127118.7</v>
      </c>
      <c r="I44" s="379">
        <f t="shared" si="2"/>
        <v>87.12244213994971</v>
      </c>
    </row>
    <row r="46" spans="1:10" ht="42.75" customHeight="1">
      <c r="A46" s="359"/>
      <c r="G46" s="357"/>
      <c r="J46" s="50"/>
    </row>
  </sheetData>
  <mergeCells count="10">
    <mergeCell ref="A5:I5"/>
    <mergeCell ref="A7:A8"/>
    <mergeCell ref="B7:B8"/>
    <mergeCell ref="C7:C8"/>
    <mergeCell ref="D7:D8"/>
    <mergeCell ref="E7:E8"/>
    <mergeCell ref="F7:F8"/>
    <mergeCell ref="G7:G8"/>
    <mergeCell ref="H7:H8"/>
    <mergeCell ref="I7:I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46"/>
  <sheetViews>
    <sheetView tabSelected="1" workbookViewId="0" topLeftCell="A1">
      <selection activeCell="J5" sqref="J5"/>
    </sheetView>
  </sheetViews>
  <sheetFormatPr defaultColWidth="9.00390625" defaultRowHeight="12.75"/>
  <cols>
    <col min="1" max="1" width="19.25390625" style="50" customWidth="1"/>
    <col min="2" max="2" width="35.25390625" style="50" customWidth="1"/>
    <col min="3" max="6" width="18.75390625" style="50" hidden="1" customWidth="1"/>
    <col min="7" max="7" width="13.25390625" style="356" customWidth="1"/>
    <col min="8" max="8" width="12.375" style="357" customWidth="1"/>
    <col min="9" max="9" width="12.75390625" style="357" customWidth="1"/>
    <col min="10" max="10" width="18.00390625" style="360" customWidth="1"/>
    <col min="11" max="16384" width="9.125" style="50" customWidth="1"/>
  </cols>
  <sheetData>
    <row r="1" spans="1:10" ht="12.75" customHeight="1">
      <c r="A1" s="354"/>
      <c r="B1" s="355"/>
      <c r="C1" s="355"/>
      <c r="I1" s="238" t="s">
        <v>130</v>
      </c>
      <c r="J1" s="357"/>
    </row>
    <row r="2" spans="1:9" ht="12.75" customHeight="1">
      <c r="A2" s="358"/>
      <c r="B2" s="359"/>
      <c r="C2" s="359"/>
      <c r="I2" s="238" t="s">
        <v>597</v>
      </c>
    </row>
    <row r="3" spans="1:9" ht="12.75" customHeight="1">
      <c r="A3" s="358"/>
      <c r="B3" s="359"/>
      <c r="C3" s="359"/>
      <c r="I3" s="238" t="s">
        <v>598</v>
      </c>
    </row>
    <row r="4" spans="1:9" ht="12.75" customHeight="1">
      <c r="A4" s="358"/>
      <c r="B4" s="359"/>
      <c r="C4" s="359"/>
      <c r="I4" s="238" t="s">
        <v>16</v>
      </c>
    </row>
    <row r="5" spans="1:9" ht="51.75" customHeight="1">
      <c r="A5" s="398" t="s">
        <v>114</v>
      </c>
      <c r="B5" s="398"/>
      <c r="C5" s="398"/>
      <c r="D5" s="398"/>
      <c r="E5" s="398"/>
      <c r="F5" s="398"/>
      <c r="G5" s="398"/>
      <c r="H5" s="398"/>
      <c r="I5" s="398"/>
    </row>
    <row r="6" spans="1:9" ht="12.75" customHeight="1">
      <c r="A6" s="361"/>
      <c r="B6" s="359"/>
      <c r="C6" s="359"/>
      <c r="I6" s="362" t="s">
        <v>1154</v>
      </c>
    </row>
    <row r="7" spans="1:9" ht="26.25" customHeight="1">
      <c r="A7" s="399" t="s">
        <v>43</v>
      </c>
      <c r="B7" s="400" t="s">
        <v>44</v>
      </c>
      <c r="C7" s="400" t="s">
        <v>45</v>
      </c>
      <c r="D7" s="400" t="s">
        <v>46</v>
      </c>
      <c r="E7" s="400" t="s">
        <v>47</v>
      </c>
      <c r="F7" s="400" t="s">
        <v>48</v>
      </c>
      <c r="G7" s="385" t="s">
        <v>49</v>
      </c>
      <c r="H7" s="402" t="s">
        <v>1434</v>
      </c>
      <c r="I7" s="402" t="s">
        <v>1435</v>
      </c>
    </row>
    <row r="8" spans="1:9" ht="26.25" customHeight="1">
      <c r="A8" s="399"/>
      <c r="B8" s="401"/>
      <c r="C8" s="401"/>
      <c r="D8" s="401"/>
      <c r="E8" s="401"/>
      <c r="F8" s="401"/>
      <c r="G8" s="386"/>
      <c r="H8" s="403"/>
      <c r="I8" s="403"/>
    </row>
    <row r="9" spans="1:9" ht="31.5">
      <c r="A9" s="363" t="s">
        <v>115</v>
      </c>
      <c r="B9" s="329" t="s">
        <v>51</v>
      </c>
      <c r="C9" s="364"/>
      <c r="D9" s="364"/>
      <c r="E9" s="364"/>
      <c r="F9" s="364"/>
      <c r="G9" s="365">
        <f>SUM(G10+G17+G24+G35)</f>
        <v>145908.10000000003</v>
      </c>
      <c r="H9" s="365">
        <f>SUM(H10+H17+H24+H35)</f>
        <v>127118.7</v>
      </c>
      <c r="I9" s="365">
        <f aca="true" t="shared" si="0" ref="I9:I16">H9/G9*100</f>
        <v>87.12244213994971</v>
      </c>
    </row>
    <row r="10" spans="1:9" ht="26.25" customHeight="1">
      <c r="A10" s="363" t="s">
        <v>116</v>
      </c>
      <c r="B10" s="329" t="s">
        <v>53</v>
      </c>
      <c r="C10" s="364"/>
      <c r="D10" s="364"/>
      <c r="E10" s="364"/>
      <c r="F10" s="364"/>
      <c r="G10" s="365">
        <f>SUM(G11+G14)</f>
        <v>75000</v>
      </c>
      <c r="H10" s="365">
        <f>SUM(H11+H14)</f>
        <v>75000</v>
      </c>
      <c r="I10" s="365">
        <f t="shared" si="0"/>
        <v>100</v>
      </c>
    </row>
    <row r="11" spans="1:9" ht="31.5">
      <c r="A11" s="363" t="s">
        <v>117</v>
      </c>
      <c r="B11" s="329" t="s">
        <v>55</v>
      </c>
      <c r="C11" s="364"/>
      <c r="D11" s="364"/>
      <c r="E11" s="364"/>
      <c r="F11" s="364"/>
      <c r="G11" s="365">
        <f>SUM(G12)</f>
        <v>105000</v>
      </c>
      <c r="H11" s="365">
        <f>SUM(H12)</f>
        <v>105000</v>
      </c>
      <c r="I11" s="365">
        <f t="shared" si="0"/>
        <v>100</v>
      </c>
    </row>
    <row r="12" spans="1:9" ht="31.5">
      <c r="A12" s="363" t="s">
        <v>58</v>
      </c>
      <c r="B12" s="329" t="s">
        <v>57</v>
      </c>
      <c r="C12" s="364"/>
      <c r="D12" s="364"/>
      <c r="E12" s="364"/>
      <c r="F12" s="364"/>
      <c r="G12" s="365">
        <f>SUM(G13)</f>
        <v>105000</v>
      </c>
      <c r="H12" s="365">
        <f>SUM(H13)</f>
        <v>105000</v>
      </c>
      <c r="I12" s="365">
        <f t="shared" si="0"/>
        <v>100</v>
      </c>
    </row>
    <row r="13" spans="1:9" ht="31.5" hidden="1">
      <c r="A13" s="363" t="s">
        <v>58</v>
      </c>
      <c r="B13" s="329" t="s">
        <v>57</v>
      </c>
      <c r="C13" s="364"/>
      <c r="D13" s="364"/>
      <c r="E13" s="364"/>
      <c r="F13" s="364"/>
      <c r="G13" s="365">
        <v>105000</v>
      </c>
      <c r="H13" s="365">
        <v>105000</v>
      </c>
      <c r="I13" s="365">
        <f t="shared" si="0"/>
        <v>100</v>
      </c>
    </row>
    <row r="14" spans="1:9" ht="31.5">
      <c r="A14" s="363" t="s">
        <v>118</v>
      </c>
      <c r="B14" s="329" t="s">
        <v>60</v>
      </c>
      <c r="C14" s="364"/>
      <c r="D14" s="364"/>
      <c r="E14" s="364"/>
      <c r="F14" s="364"/>
      <c r="G14" s="365">
        <f>SUM(G15)</f>
        <v>-30000</v>
      </c>
      <c r="H14" s="365">
        <f>SUM(H15)</f>
        <v>-30000</v>
      </c>
      <c r="I14" s="365">
        <f t="shared" si="0"/>
        <v>100</v>
      </c>
    </row>
    <row r="15" spans="1:9" ht="31.5">
      <c r="A15" s="363" t="s">
        <v>63</v>
      </c>
      <c r="B15" s="329" t="s">
        <v>62</v>
      </c>
      <c r="C15" s="364"/>
      <c r="D15" s="364"/>
      <c r="E15" s="364"/>
      <c r="F15" s="364"/>
      <c r="G15" s="365">
        <f>SUM(G16)</f>
        <v>-30000</v>
      </c>
      <c r="H15" s="365">
        <f>SUM(H16)</f>
        <v>-30000</v>
      </c>
      <c r="I15" s="365">
        <f t="shared" si="0"/>
        <v>100</v>
      </c>
    </row>
    <row r="16" spans="1:9" ht="31.5" hidden="1">
      <c r="A16" s="363" t="s">
        <v>63</v>
      </c>
      <c r="B16" s="329" t="s">
        <v>62</v>
      </c>
      <c r="C16" s="364"/>
      <c r="D16" s="364"/>
      <c r="E16" s="364"/>
      <c r="F16" s="364"/>
      <c r="G16" s="365">
        <v>-30000</v>
      </c>
      <c r="H16" s="365">
        <v>-30000</v>
      </c>
      <c r="I16" s="365">
        <f t="shared" si="0"/>
        <v>100</v>
      </c>
    </row>
    <row r="17" spans="1:9" ht="30.75" customHeight="1" hidden="1">
      <c r="A17" s="366" t="s">
        <v>64</v>
      </c>
      <c r="B17" s="367" t="s">
        <v>65</v>
      </c>
      <c r="C17" s="364" t="s">
        <v>65</v>
      </c>
      <c r="D17" s="364"/>
      <c r="E17" s="364"/>
      <c r="F17" s="364"/>
      <c r="G17" s="368">
        <f>SUM(G18+G21)</f>
        <v>0</v>
      </c>
      <c r="H17" s="368">
        <f aca="true" t="shared" si="1" ref="H17:I19">SUM(H18)</f>
        <v>0</v>
      </c>
      <c r="I17" s="368">
        <f t="shared" si="1"/>
        <v>0</v>
      </c>
    </row>
    <row r="18" spans="1:9" ht="41.25" customHeight="1" hidden="1">
      <c r="A18" s="366" t="s">
        <v>66</v>
      </c>
      <c r="B18" s="367" t="s">
        <v>67</v>
      </c>
      <c r="C18" s="364" t="s">
        <v>67</v>
      </c>
      <c r="D18" s="364"/>
      <c r="E18" s="364"/>
      <c r="F18" s="364"/>
      <c r="G18" s="368">
        <f>SUM(G19)</f>
        <v>0</v>
      </c>
      <c r="H18" s="368">
        <f t="shared" si="1"/>
        <v>0</v>
      </c>
      <c r="I18" s="368">
        <f t="shared" si="1"/>
        <v>0</v>
      </c>
    </row>
    <row r="19" spans="1:9" ht="41.25" customHeight="1" hidden="1">
      <c r="A19" s="366" t="s">
        <v>68</v>
      </c>
      <c r="B19" s="367" t="s">
        <v>69</v>
      </c>
      <c r="C19" s="364" t="s">
        <v>69</v>
      </c>
      <c r="D19" s="364"/>
      <c r="E19" s="364"/>
      <c r="F19" s="364"/>
      <c r="G19" s="368">
        <f>SUM(G20)</f>
        <v>0</v>
      </c>
      <c r="H19" s="368">
        <f t="shared" si="1"/>
        <v>0</v>
      </c>
      <c r="I19" s="368">
        <f t="shared" si="1"/>
        <v>0</v>
      </c>
    </row>
    <row r="20" spans="1:9" ht="41.25" customHeight="1" hidden="1">
      <c r="A20" s="366" t="s">
        <v>70</v>
      </c>
      <c r="B20" s="367" t="s">
        <v>69</v>
      </c>
      <c r="C20" s="364" t="s">
        <v>69</v>
      </c>
      <c r="D20" s="364"/>
      <c r="E20" s="364"/>
      <c r="F20" s="364"/>
      <c r="G20" s="368">
        <v>0</v>
      </c>
      <c r="H20" s="368">
        <v>0</v>
      </c>
      <c r="I20" s="368">
        <v>0</v>
      </c>
    </row>
    <row r="21" spans="1:10" ht="42.75" customHeight="1" hidden="1">
      <c r="A21" s="366" t="s">
        <v>71</v>
      </c>
      <c r="B21" s="367" t="s">
        <v>72</v>
      </c>
      <c r="C21" s="364" t="s">
        <v>72</v>
      </c>
      <c r="D21" s="364"/>
      <c r="E21" s="364"/>
      <c r="F21" s="364"/>
      <c r="G21" s="368">
        <f>SUM(G22)</f>
        <v>0</v>
      </c>
      <c r="H21" s="365"/>
      <c r="I21" s="365"/>
      <c r="J21" s="369"/>
    </row>
    <row r="22" spans="1:10" ht="42.75" customHeight="1" hidden="1">
      <c r="A22" s="366" t="s">
        <v>73</v>
      </c>
      <c r="B22" s="367" t="s">
        <v>74</v>
      </c>
      <c r="C22" s="364" t="s">
        <v>74</v>
      </c>
      <c r="D22" s="364"/>
      <c r="E22" s="364"/>
      <c r="F22" s="364"/>
      <c r="G22" s="368">
        <f>SUM(G23)</f>
        <v>0</v>
      </c>
      <c r="H22" s="365"/>
      <c r="I22" s="365"/>
      <c r="J22" s="369"/>
    </row>
    <row r="23" spans="1:10" ht="42.75" customHeight="1" hidden="1">
      <c r="A23" s="366" t="s">
        <v>75</v>
      </c>
      <c r="B23" s="367" t="s">
        <v>74</v>
      </c>
      <c r="C23" s="364" t="s">
        <v>74</v>
      </c>
      <c r="D23" s="364"/>
      <c r="E23" s="364"/>
      <c r="F23" s="364"/>
      <c r="G23" s="368">
        <v>0</v>
      </c>
      <c r="H23" s="365"/>
      <c r="I23" s="365"/>
      <c r="J23" s="369"/>
    </row>
    <row r="24" spans="1:9" ht="21">
      <c r="A24" s="366" t="s">
        <v>119</v>
      </c>
      <c r="B24" s="367" t="s">
        <v>77</v>
      </c>
      <c r="C24" s="370"/>
      <c r="D24" s="370"/>
      <c r="E24" s="370"/>
      <c r="F24" s="371"/>
      <c r="G24" s="365">
        <f>SUM(G30+G25)</f>
        <v>56750.40000000001</v>
      </c>
      <c r="H24" s="365">
        <f>SUM(H30+H25)</f>
        <v>37961</v>
      </c>
      <c r="I24" s="365">
        <f aca="true" t="shared" si="2" ref="I24:I44">H24/G24*100</f>
        <v>66.89115847641601</v>
      </c>
    </row>
    <row r="25" spans="1:9" ht="12.75" hidden="1">
      <c r="A25" s="366" t="s">
        <v>78</v>
      </c>
      <c r="B25" s="367" t="s">
        <v>79</v>
      </c>
      <c r="C25" s="364"/>
      <c r="D25" s="364"/>
      <c r="E25" s="364"/>
      <c r="F25" s="372"/>
      <c r="G25" s="373">
        <f aca="true" t="shared" si="3" ref="G25:H28">SUM(G26)</f>
        <v>-14157.7</v>
      </c>
      <c r="H25" s="373">
        <f t="shared" si="3"/>
        <v>-48965</v>
      </c>
      <c r="I25" s="365">
        <f t="shared" si="2"/>
        <v>345.8541994815542</v>
      </c>
    </row>
    <row r="26" spans="1:9" ht="21">
      <c r="A26" s="366" t="s">
        <v>120</v>
      </c>
      <c r="B26" s="367" t="s">
        <v>81</v>
      </c>
      <c r="C26" s="364"/>
      <c r="D26" s="364"/>
      <c r="E26" s="364"/>
      <c r="F26" s="372"/>
      <c r="G26" s="373">
        <f t="shared" si="3"/>
        <v>-14157.7</v>
      </c>
      <c r="H26" s="373">
        <f t="shared" si="3"/>
        <v>-48965</v>
      </c>
      <c r="I26" s="365">
        <f t="shared" si="2"/>
        <v>345.8541994815542</v>
      </c>
    </row>
    <row r="27" spans="1:9" ht="21">
      <c r="A27" s="366" t="s">
        <v>121</v>
      </c>
      <c r="B27" s="367" t="s">
        <v>83</v>
      </c>
      <c r="C27" s="364"/>
      <c r="D27" s="364"/>
      <c r="E27" s="364"/>
      <c r="F27" s="372"/>
      <c r="G27" s="373">
        <f t="shared" si="3"/>
        <v>-14157.7</v>
      </c>
      <c r="H27" s="373">
        <f t="shared" si="3"/>
        <v>-48965</v>
      </c>
      <c r="I27" s="365">
        <f t="shared" si="2"/>
        <v>345.8541994815542</v>
      </c>
    </row>
    <row r="28" spans="1:9" ht="21">
      <c r="A28" s="366" t="s">
        <v>85</v>
      </c>
      <c r="B28" s="367" t="s">
        <v>83</v>
      </c>
      <c r="C28" s="364"/>
      <c r="D28" s="364"/>
      <c r="E28" s="364"/>
      <c r="F28" s="372"/>
      <c r="G28" s="373">
        <f t="shared" si="3"/>
        <v>-14157.7</v>
      </c>
      <c r="H28" s="373">
        <f>SUM(H29)+0.1</f>
        <v>-48965</v>
      </c>
      <c r="I28" s="373" t="s">
        <v>143</v>
      </c>
    </row>
    <row r="29" spans="1:9" ht="21" hidden="1">
      <c r="A29" s="366" t="s">
        <v>85</v>
      </c>
      <c r="B29" s="367" t="s">
        <v>86</v>
      </c>
      <c r="C29" s="364"/>
      <c r="D29" s="364"/>
      <c r="E29" s="364"/>
      <c r="F29" s="372"/>
      <c r="G29" s="373">
        <v>-14157.7</v>
      </c>
      <c r="H29" s="373">
        <v>-48965.1</v>
      </c>
      <c r="I29" s="365">
        <f t="shared" si="2"/>
        <v>345.8549058109721</v>
      </c>
    </row>
    <row r="30" spans="1:9" ht="12.75">
      <c r="A30" s="366" t="s">
        <v>122</v>
      </c>
      <c r="B30" s="367" t="s">
        <v>88</v>
      </c>
      <c r="C30" s="370"/>
      <c r="D30" s="370"/>
      <c r="E30" s="370"/>
      <c r="F30" s="371"/>
      <c r="G30" s="365">
        <f aca="true" t="shared" si="4" ref="G30:H33">SUM(G31)</f>
        <v>70908.1</v>
      </c>
      <c r="H30" s="365">
        <f t="shared" si="4"/>
        <v>86926</v>
      </c>
      <c r="I30" s="365">
        <f t="shared" si="2"/>
        <v>122.58966182988966</v>
      </c>
    </row>
    <row r="31" spans="1:9" ht="21">
      <c r="A31" s="366" t="s">
        <v>123</v>
      </c>
      <c r="B31" s="367" t="s">
        <v>90</v>
      </c>
      <c r="C31" s="370"/>
      <c r="D31" s="370"/>
      <c r="E31" s="370"/>
      <c r="F31" s="371"/>
      <c r="G31" s="365">
        <f t="shared" si="4"/>
        <v>70908.1</v>
      </c>
      <c r="H31" s="365">
        <f t="shared" si="4"/>
        <v>86926</v>
      </c>
      <c r="I31" s="365">
        <f t="shared" si="2"/>
        <v>122.58966182988966</v>
      </c>
    </row>
    <row r="32" spans="1:9" ht="21">
      <c r="A32" s="366" t="s">
        <v>124</v>
      </c>
      <c r="B32" s="367" t="s">
        <v>92</v>
      </c>
      <c r="C32" s="370"/>
      <c r="D32" s="370"/>
      <c r="E32" s="370"/>
      <c r="F32" s="371"/>
      <c r="G32" s="365">
        <f t="shared" si="4"/>
        <v>70908.1</v>
      </c>
      <c r="H32" s="365">
        <f t="shared" si="4"/>
        <v>86926</v>
      </c>
      <c r="I32" s="365">
        <f t="shared" si="2"/>
        <v>122.58966182988966</v>
      </c>
    </row>
    <row r="33" spans="1:9" ht="21">
      <c r="A33" s="366" t="s">
        <v>95</v>
      </c>
      <c r="B33" s="367" t="s">
        <v>94</v>
      </c>
      <c r="C33" s="370"/>
      <c r="D33" s="370"/>
      <c r="E33" s="370"/>
      <c r="F33" s="371"/>
      <c r="G33" s="365">
        <f t="shared" si="4"/>
        <v>70908.1</v>
      </c>
      <c r="H33" s="365">
        <f t="shared" si="4"/>
        <v>86926</v>
      </c>
      <c r="I33" s="365">
        <f t="shared" si="2"/>
        <v>122.58966182988966</v>
      </c>
    </row>
    <row r="34" spans="1:9" ht="21" hidden="1">
      <c r="A34" s="366" t="s">
        <v>95</v>
      </c>
      <c r="B34" s="367" t="s">
        <v>94</v>
      </c>
      <c r="C34" s="370"/>
      <c r="D34" s="370"/>
      <c r="E34" s="370"/>
      <c r="F34" s="371"/>
      <c r="G34" s="365">
        <v>70908.1</v>
      </c>
      <c r="H34" s="365">
        <v>86926</v>
      </c>
      <c r="I34" s="365">
        <f t="shared" si="2"/>
        <v>122.58966182988966</v>
      </c>
    </row>
    <row r="35" spans="1:9" ht="21">
      <c r="A35" s="366" t="s">
        <v>125</v>
      </c>
      <c r="B35" s="367" t="s">
        <v>97</v>
      </c>
      <c r="C35" s="370"/>
      <c r="D35" s="370"/>
      <c r="E35" s="370"/>
      <c r="F35" s="371"/>
      <c r="G35" s="365">
        <f>SUM(G36+G40)</f>
        <v>14157.7</v>
      </c>
      <c r="H35" s="365">
        <f>SUM(H36+H40)</f>
        <v>14157.7</v>
      </c>
      <c r="I35" s="365">
        <f t="shared" si="2"/>
        <v>100</v>
      </c>
    </row>
    <row r="36" spans="1:11" ht="39.75" customHeight="1">
      <c r="A36" s="366" t="s">
        <v>126</v>
      </c>
      <c r="B36" s="367" t="s">
        <v>99</v>
      </c>
      <c r="C36" s="364" t="s">
        <v>99</v>
      </c>
      <c r="D36" s="364"/>
      <c r="E36" s="364"/>
      <c r="F36" s="364"/>
      <c r="G36" s="365">
        <f aca="true" t="shared" si="5" ref="G36:H38">SUM(G37)</f>
        <v>-10000</v>
      </c>
      <c r="H36" s="365">
        <f t="shared" si="5"/>
        <v>0</v>
      </c>
      <c r="I36" s="365">
        <f t="shared" si="2"/>
        <v>0</v>
      </c>
      <c r="J36" s="369"/>
      <c r="K36" s="369"/>
    </row>
    <row r="37" spans="1:11" ht="90.75" customHeight="1">
      <c r="A37" s="366" t="s">
        <v>127</v>
      </c>
      <c r="B37" s="374" t="s">
        <v>101</v>
      </c>
      <c r="C37" s="375" t="s">
        <v>101</v>
      </c>
      <c r="D37" s="364"/>
      <c r="E37" s="364"/>
      <c r="F37" s="364"/>
      <c r="G37" s="365">
        <f t="shared" si="5"/>
        <v>-10000</v>
      </c>
      <c r="H37" s="365">
        <f t="shared" si="5"/>
        <v>0</v>
      </c>
      <c r="I37" s="365">
        <f t="shared" si="2"/>
        <v>0</v>
      </c>
      <c r="J37" s="369"/>
      <c r="K37" s="369"/>
    </row>
    <row r="38" spans="1:11" ht="90.75" customHeight="1">
      <c r="A38" s="366" t="s">
        <v>104</v>
      </c>
      <c r="B38" s="374" t="s">
        <v>103</v>
      </c>
      <c r="C38" s="375" t="s">
        <v>103</v>
      </c>
      <c r="D38" s="364"/>
      <c r="E38" s="364"/>
      <c r="F38" s="364"/>
      <c r="G38" s="365">
        <f t="shared" si="5"/>
        <v>-10000</v>
      </c>
      <c r="H38" s="365">
        <f t="shared" si="5"/>
        <v>0</v>
      </c>
      <c r="I38" s="365">
        <f t="shared" si="2"/>
        <v>0</v>
      </c>
      <c r="J38" s="369"/>
      <c r="K38" s="369"/>
    </row>
    <row r="39" spans="1:11" ht="90.75" customHeight="1" hidden="1">
      <c r="A39" s="366" t="s">
        <v>104</v>
      </c>
      <c r="B39" s="374" t="s">
        <v>103</v>
      </c>
      <c r="C39" s="375" t="s">
        <v>103</v>
      </c>
      <c r="D39" s="364"/>
      <c r="E39" s="364"/>
      <c r="F39" s="364"/>
      <c r="G39" s="365">
        <v>-10000</v>
      </c>
      <c r="H39" s="365">
        <v>0</v>
      </c>
      <c r="I39" s="365">
        <f t="shared" si="2"/>
        <v>0</v>
      </c>
      <c r="J39" s="369"/>
      <c r="K39" s="369"/>
    </row>
    <row r="40" spans="1:9" ht="31.5">
      <c r="A40" s="366" t="s">
        <v>128</v>
      </c>
      <c r="B40" s="367" t="s">
        <v>106</v>
      </c>
      <c r="C40" s="364"/>
      <c r="D40" s="364"/>
      <c r="E40" s="364"/>
      <c r="F40" s="372"/>
      <c r="G40" s="365">
        <f aca="true" t="shared" si="6" ref="G40:H42">SUM(G41)</f>
        <v>24157.7</v>
      </c>
      <c r="H40" s="365">
        <f t="shared" si="6"/>
        <v>14157.7</v>
      </c>
      <c r="I40" s="365">
        <f t="shared" si="2"/>
        <v>58.605330805498866</v>
      </c>
    </row>
    <row r="41" spans="1:9" ht="31.5">
      <c r="A41" s="366" t="s">
        <v>129</v>
      </c>
      <c r="B41" s="367" t="s">
        <v>108</v>
      </c>
      <c r="C41" s="364"/>
      <c r="D41" s="364"/>
      <c r="E41" s="364"/>
      <c r="F41" s="372"/>
      <c r="G41" s="365">
        <f t="shared" si="6"/>
        <v>24157.7</v>
      </c>
      <c r="H41" s="365">
        <f t="shared" si="6"/>
        <v>14157.7</v>
      </c>
      <c r="I41" s="365">
        <f t="shared" si="2"/>
        <v>58.605330805498866</v>
      </c>
    </row>
    <row r="42" spans="1:9" ht="42">
      <c r="A42" s="366" t="s">
        <v>111</v>
      </c>
      <c r="B42" s="367" t="s">
        <v>110</v>
      </c>
      <c r="C42" s="364"/>
      <c r="D42" s="364"/>
      <c r="E42" s="364"/>
      <c r="F42" s="372"/>
      <c r="G42" s="365">
        <f t="shared" si="6"/>
        <v>24157.7</v>
      </c>
      <c r="H42" s="365">
        <f t="shared" si="6"/>
        <v>14157.7</v>
      </c>
      <c r="I42" s="365">
        <f t="shared" si="2"/>
        <v>58.605330805498866</v>
      </c>
    </row>
    <row r="43" spans="1:9" ht="42" hidden="1">
      <c r="A43" s="366" t="s">
        <v>111</v>
      </c>
      <c r="B43" s="367" t="s">
        <v>110</v>
      </c>
      <c r="C43" s="364"/>
      <c r="D43" s="364"/>
      <c r="E43" s="364"/>
      <c r="F43" s="372"/>
      <c r="G43" s="365">
        <v>24157.7</v>
      </c>
      <c r="H43" s="365">
        <v>14157.7</v>
      </c>
      <c r="I43" s="365">
        <f t="shared" si="2"/>
        <v>58.605330805498866</v>
      </c>
    </row>
    <row r="44" spans="1:9" ht="12.75" hidden="1">
      <c r="A44" s="376" t="s">
        <v>112</v>
      </c>
      <c r="B44" s="377"/>
      <c r="C44" s="378"/>
      <c r="D44" s="378"/>
      <c r="E44" s="378"/>
      <c r="F44" s="378"/>
      <c r="G44" s="379">
        <f>SUM(G9)</f>
        <v>145908.10000000003</v>
      </c>
      <c r="H44" s="379">
        <f>SUM(H9)</f>
        <v>127118.7</v>
      </c>
      <c r="I44" s="379">
        <f t="shared" si="2"/>
        <v>87.12244213994971</v>
      </c>
    </row>
    <row r="46" spans="1:10" ht="42.75" customHeight="1">
      <c r="A46" s="359"/>
      <c r="G46" s="357"/>
      <c r="J46" s="50"/>
    </row>
  </sheetData>
  <mergeCells count="10">
    <mergeCell ref="A5:I5"/>
    <mergeCell ref="A7:A8"/>
    <mergeCell ref="B7:B8"/>
    <mergeCell ref="G7:G8"/>
    <mergeCell ref="H7:H8"/>
    <mergeCell ref="I7:I8"/>
    <mergeCell ref="C7:C8"/>
    <mergeCell ref="D7:D8"/>
    <mergeCell ref="E7:E8"/>
    <mergeCell ref="F7:F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k66-3</dc:creator>
  <cp:keywords/>
  <dc:description/>
  <cp:lastModifiedBy>user</cp:lastModifiedBy>
  <cp:lastPrinted>2010-02-11T12:00:53Z</cp:lastPrinted>
  <dcterms:created xsi:type="dcterms:W3CDTF">2010-02-10T10:25:14Z</dcterms:created>
  <dcterms:modified xsi:type="dcterms:W3CDTF">2010-05-31T03:23:28Z</dcterms:modified>
  <cp:category/>
  <cp:version/>
  <cp:contentType/>
  <cp:contentStatus/>
</cp:coreProperties>
</file>