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7795" windowHeight="11445"/>
  </bookViews>
  <sheets>
    <sheet name="Приложение 4 перемещ" sheetId="3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'Приложение 4 перемещ'!$4:$4</definedName>
    <definedName name="_xlnm.Print_Area" localSheetId="0">'Приложение 4 перемещ'!$A$1:$G$88</definedName>
  </definedNames>
  <calcPr calcId="145621"/>
</workbook>
</file>

<file path=xl/calcChain.xml><?xml version="1.0" encoding="utf-8"?>
<calcChain xmlns="http://schemas.openxmlformats.org/spreadsheetml/2006/main">
  <c r="F48" i="3"/>
  <c r="D45"/>
  <c r="D54"/>
  <c r="F73" l="1"/>
  <c r="D68"/>
  <c r="D75"/>
  <c r="D74"/>
  <c r="D82"/>
  <c r="D76"/>
  <c r="F63"/>
  <c r="D61"/>
  <c r="D83" l="1"/>
  <c r="F50"/>
  <c r="E76" l="1"/>
  <c r="E75"/>
  <c r="D42"/>
  <c r="E42" s="1"/>
  <c r="D29"/>
  <c r="D28" s="1"/>
  <c r="F27"/>
  <c r="F25"/>
  <c r="F24"/>
  <c r="F23"/>
  <c r="D17"/>
  <c r="D16" s="1"/>
  <c r="D12"/>
  <c r="E12" s="1"/>
  <c r="D11"/>
  <c r="E11" s="1"/>
  <c r="D7"/>
  <c r="E7" s="1"/>
  <c r="E83"/>
  <c r="E82"/>
  <c r="E80"/>
  <c r="F79"/>
  <c r="D79"/>
  <c r="C79"/>
  <c r="E78"/>
  <c r="E77"/>
  <c r="E74"/>
  <c r="E68"/>
  <c r="C67"/>
  <c r="E61"/>
  <c r="F60"/>
  <c r="D60"/>
  <c r="C60"/>
  <c r="E59"/>
  <c r="E58"/>
  <c r="E57"/>
  <c r="F56"/>
  <c r="F55"/>
  <c r="E55"/>
  <c r="E54"/>
  <c r="E49"/>
  <c r="F47"/>
  <c r="F46"/>
  <c r="E45"/>
  <c r="D44"/>
  <c r="C44"/>
  <c r="F43"/>
  <c r="C41"/>
  <c r="F36"/>
  <c r="F32"/>
  <c r="F31"/>
  <c r="F30"/>
  <c r="C28"/>
  <c r="C16"/>
  <c r="F15"/>
  <c r="F14" s="1"/>
  <c r="E15"/>
  <c r="D14"/>
  <c r="C14"/>
  <c r="E13"/>
  <c r="F10"/>
  <c r="E10"/>
  <c r="F9"/>
  <c r="F8"/>
  <c r="C6"/>
  <c r="E29" l="1"/>
  <c r="E17"/>
  <c r="D67"/>
  <c r="E67" s="1"/>
  <c r="D41"/>
  <c r="E41" s="1"/>
  <c r="E79"/>
  <c r="F16"/>
  <c r="D6"/>
  <c r="E6" s="1"/>
  <c r="F67"/>
  <c r="F28"/>
  <c r="F44"/>
  <c r="E16"/>
  <c r="E28"/>
  <c r="F6"/>
  <c r="F41"/>
  <c r="E60"/>
  <c r="E44"/>
  <c r="C88"/>
  <c r="E14"/>
  <c r="D88" l="1"/>
  <c r="F88"/>
  <c r="E88"/>
</calcChain>
</file>

<file path=xl/sharedStrings.xml><?xml version="1.0" encoding="utf-8"?>
<sst xmlns="http://schemas.openxmlformats.org/spreadsheetml/2006/main" count="126" uniqueCount="117">
  <si>
    <t>тыс. рублей</t>
  </si>
  <si>
    <t xml:space="preserve"> Раз дел</t>
  </si>
  <si>
    <t>Наименование разделов/ ГРБС</t>
  </si>
  <si>
    <t>Уточненный бюджет на 2021 год</t>
  </si>
  <si>
    <t>Ассигнования на 2021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</si>
  <si>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</si>
  <si>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</si>
  <si>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</si>
  <si>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</si>
  <si>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</si>
  <si>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</si>
  <si>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</si>
  <si>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</si>
  <si>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</si>
  <si>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</si>
  <si>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</si>
  <si>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</si>
  <si>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</si>
  <si>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</si>
  <si>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</si>
  <si>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</si>
  <si>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</si>
  <si>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(транспорт)).</t>
    </r>
  </si>
  <si>
    <t>в сумме 2289,6 тыс. рублей на субсидии предприятиям электротранспорта с кап.ремонта дорог раздел 0400</t>
  </si>
  <si>
    <t>в сумме тыс.рублей на капитальный ремонт дорог с разделов 0100,0500</t>
  </si>
  <si>
    <t>в сумме 56,5 тыс.рублей на выполнение наказов избирателей  с аналогичных расходов с раздела 0500</t>
  </si>
  <si>
    <t>в сумме 5384,3 тыс. рублей с расходов по объектам строительства, экономии расходов по приобретению имущества, субсидии малому и среднему предпринимательству на  раздел 0500</t>
  </si>
  <si>
    <t>в сумме 1439,9 тыс. рублей с расходов по разработке транспортной схемы на раздел 0500</t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</si>
  <si>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</si>
  <si>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</si>
  <si>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</si>
  <si>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в сумме 3150,0 тыс. рублей с объектов строительства, энергосервисного контракта  НДС, разделы 0100, 0500,0800</t>
  </si>
  <si>
    <t>в сумме 254,2 тыс. рублей на приобретение оборудования с раздела 0100 (трубы для системы отопления)</t>
  </si>
  <si>
    <t>в сумме 2500,0 тыс. рублей на устройство зимних городков с расходов по содержанию имущества с раздела 0100</t>
  </si>
  <si>
    <t xml:space="preserve">в сумме 7957,6 тыс. рублей для МУП «Городское хозяйство» в целях финансового обеспечения затрат в рамках мер по предупреждению банкротства  и восстановления платежеспособности (в соответствии с заключенным соглашением) с расходов по разделам 0100,0400,0500 </t>
  </si>
  <si>
    <t>в сумме 1331,5 тыс. рублей на газоснабжение жилых домов с.Устиново с раздела 0400</t>
  </si>
  <si>
    <t>в сумме 2542,8 тыс.рублей на приобретение труб отопления с раздела 0400</t>
  </si>
  <si>
    <t>в сумме 1439,9 тыс.рублей на работы по благоустройству с раздела 0400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</si>
  <si>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</si>
  <si>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</si>
  <si>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"УЭП", МКУ "Комитет по строительству")</t>
    </r>
  </si>
  <si>
    <t>в сумме 12,3 тыс. рублей перераспределение  между разделами, в соответствии с  бюджетной классификацией,  расходов по повышению квалификации на раздел 0700</t>
  </si>
  <si>
    <t>0700</t>
  </si>
  <si>
    <t>Образование, в том числе</t>
  </si>
  <si>
    <t>Управление образования Администрации МГО</t>
  </si>
  <si>
    <t xml:space="preserve">в сумме 20,6 тыс. рублей, перераспределение ассигнований между ГРБС на  трудовую занятость подростков 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</si>
  <si>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</si>
  <si>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t xml:space="preserve">Уменьшение ассигнований в сумме 11,3 тыс. рублей, перераспределение ассигнований между ГРБС на  трудовую занятость подростков </t>
  </si>
  <si>
    <t>Управление социальной защиты населения Администрации МГО</t>
  </si>
  <si>
    <t>Уменьшение ассигнований (перемещение) в сумме 1188,6 тыс. рублей с проекта по объекту "Общеобр.орг-я в мкр. Динамо г. Миасс Челябинской области" на  разделы 0500,1100</t>
  </si>
  <si>
    <t>Управление ФКиС АМГО</t>
  </si>
  <si>
    <t xml:space="preserve">Уменьшение ассигнований в сумме 8,5 тыс. рублей, перераспределение ассигнований между ГРБС на  трудовую занятость подростков </t>
  </si>
  <si>
    <t>0800</t>
  </si>
  <si>
    <t>Культура,  в том числе</t>
  </si>
  <si>
    <t>Управление культуры Администрации МГО</t>
  </si>
  <si>
    <t>в сумме 7,2 тыс. рублей на выполнение наказов избирателей с аналогичных расходов с раздела 0400</t>
  </si>
  <si>
    <t>в сумме 1400,0 тыс. рублей на создание модельных муниципальных библиотек с раздела 0500</t>
  </si>
  <si>
    <t>Уменьшение (перемещение) ассигнований в сумме 112,9 тыс. рублей, перераспределение  между учреждениями Управления Культуры Администрации МГО на раздел 0700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</si>
  <si>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</si>
  <si>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</si>
  <si>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т.д.)</t>
    </r>
  </si>
  <si>
    <t>Уменьшение  ассигнований (перемещение) в сумме  1,7 тыс. рублей на софинансирование расходов на реализацию муниципальных программ поддержки социально ориентированных некоммерческих организаций (перемещение на Администрацию МГО)</t>
  </si>
  <si>
    <t>в сумме 6,0 тыс. рублей на осуществление мер социальной поддержки граждан, работающих и проживающих в сельских населенных пунктах (перемещение на Управление культуры Адм МГО)</t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</si>
  <si>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</si>
  <si>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</si>
  <si>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</si>
  <si>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</si>
  <si>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Уменьшение (перемещение) ассигнований в сумме 222,9 тыс. рублей с объекта ФОК на стадионе в Южной части на раздел 0500</t>
  </si>
  <si>
    <t xml:space="preserve">Увеличение ассигнований в сумме 280,0 тыс. рублей на Физкультурно-спортивный комплекс «Центр скалолазания» за счет перемещений между объектами МКУ "Комитет по строительству" с разделов 0500,0700 </t>
  </si>
  <si>
    <t>ВСЕГО</t>
  </si>
  <si>
    <t>в сумме 3074,5 тыс. рублей на выкуп линий наружного освещения, с разделов 0100,0500,0300,0600</t>
  </si>
  <si>
    <t>в сумме 45,0 тыс. рублей перераспределение  между разделами, в соответствии с  бюджетной классификацией,  расходов по повышению квалификации на раздел 0700</t>
  </si>
  <si>
    <t>Уменьшение ассигнований (перемещение) в сумме 617,4 тыс. рублей - экономия по смете расходов на разделы 0400, 0500</t>
  </si>
  <si>
    <t xml:space="preserve">Уменьшение ассигнований, перемещение  экономии по смете расходов в сумме 831,1 тыс. рублей на разделы 0700, 0800 </t>
  </si>
  <si>
    <t>в сумме 84,8 тыс. рублей с расходов на выполнение наказов избирателей  на аналогичные расходы раздел 0700,0800,1100</t>
  </si>
  <si>
    <t>в сумме 300,0 тыс. рублей на восстановление расходов по туризму с раздела 0100</t>
  </si>
  <si>
    <t xml:space="preserve">в сумме 1997,9 тыс. рублей  - экономия, полученная в результате конкурсов и котировок на разделы 0100, 0700, 0800 </t>
  </si>
  <si>
    <t>в сумме 348,2 тыс. рублей с расходов на выполнение наказов избирателей  на аналогичные расходы разделы 0400, 0700</t>
  </si>
  <si>
    <t>в сумме 841,6 тыс. рублей экономия по  отраслевым мероприятиям (благоустройство, прочие, обслуживание объектов) на разделы 0100, 0400, 0700, 0800</t>
  </si>
  <si>
    <t>Уменьшение ассигнований в сумме 1203,0 тыс. рублей, в том числе:</t>
  </si>
  <si>
    <t>Уменьшение ассигнований, перемещение в сумме 20 тыс. рублей - экономия по  повышению квалификации на раздел 0700</t>
  </si>
  <si>
    <t>в сумме 856,1 тыс. рублей на выполнение наказов избирателей с аналогичных расходов с разделов 0400, 0500</t>
  </si>
  <si>
    <t>в сумме 3840,9 тыс.рублей с экономии бюджетных средств, полученной в результате проведения конкурсных процедур на разделы 0400, 0500, 0700, 0800,1100</t>
  </si>
  <si>
    <t>Увеличение ассигнований (перераспределение)  в сумме 57,3 тыс. рублей между разделами, в соответствии с  бюджетной классификацией,  расходов по повышению квалификации  с разделов 0100, 0600</t>
  </si>
  <si>
    <t>Уменьшение ассигнований, перемещение в сумме 83 тыс. рублей - экономия по  повышению квалификации на раздел 0800</t>
  </si>
  <si>
    <t>в сумме 110,8 тыс. рублей на выполнение наказов избирателей с аналогичных расходов с разделов 0400, 0500</t>
  </si>
  <si>
    <t>Уменьшение (перемещение) ассигнований по обращениям с зарезервированных средств на разделы 0700, 1000, 1100 в сумме 1203,9 тыс. рублей</t>
  </si>
  <si>
    <t>Уменьшение ассигнований в сумме 3885,9 тыс. рублей, в том числе:</t>
  </si>
  <si>
    <t>Уменьшение (перемещение) ассигнований  в 10397,9 сумме  тыс. рублей, в том числе:</t>
  </si>
  <si>
    <t>Увеличение (перемещение) ассигнований  в сумме 3407,2 тыс. рублей, в том числе:</t>
  </si>
  <si>
    <t>Уменьшение (перемещение) ассигнований  в сумме 7134,3 тыс. рублей, в том числе:</t>
  </si>
  <si>
    <t>Увеличение ассигнований в сумме 19100,5 тыс. рублей, в том числе:</t>
  </si>
  <si>
    <t xml:space="preserve">Уменьшение ассигнований, перемещение  экономии по смете расходов в сумме 1383,7 тыс. рублей на разделы 0700, 0800 </t>
  </si>
  <si>
    <t>в сумме 489,7 тыс. рублей на восстановление фонда оплаты труда с разделов 0100,0500</t>
  </si>
  <si>
    <t>в сумме 112,9 тыс. рублей перераспределение  между учреждениями Управления Культуры Администрации МГО с раздела 0800</t>
  </si>
  <si>
    <t xml:space="preserve">Уменьшение ассигнований в сумме 0,7 тыс. рублей, перераспределение ассигнований между ГРБС на  трудовую занятость подростков </t>
  </si>
  <si>
    <t>в сумме 10,2 тыс. рублей на выполнение наказов избирателей с аналогичных расходов с разделов 0400,0500</t>
  </si>
  <si>
    <t>Увеличение ассигнований в сумме  337,7 тыс. рублей в том числе:</t>
  </si>
  <si>
    <t>в сумме 556,0 тыс. рублей на приобретение оборудования, сувенирной продукции, монтаж системы экстренного оповещения с раздела 0100</t>
  </si>
  <si>
    <t>Увеличение ассигнований (перемещение) в сумме 2845,9 тыс. рублей , в том числе:</t>
  </si>
  <si>
    <t>в сумме 882,6 тыс. рублей на восстановление фонда оплаты труда, замену аварийного участка труб,  монтаж системы экстренного оповещения, аварийные работы сантехнического оборудования, с разделов 0100,0400,1000</t>
  </si>
  <si>
    <t>Увеличение ассигнований в сумме 6,0 тыс. рублей на осуществление мер социальной поддержки граждан, работающих и проживающих в сельских населенных пунктах (перемещение с УСЗН)</t>
  </si>
  <si>
    <t>в сумме 1703,1 тыс. рублей на реализацию муниципальных программ поддержки социально ориентированных некоммерческих организаций (перемещение на Администрацию МГО)</t>
  </si>
  <si>
    <t>Увеличение ассигнований (перемещение с УСЗН) в сумме 1703,1 тыс. рублей, на реализацию муниципальных программ поддержки социально ориентированных некоммерческих организаций</t>
  </si>
  <si>
    <t>в сумме 5,3 тыс. рублей за счет дополнительных поступлений по платным услугам</t>
  </si>
  <si>
    <t>в сумме 169,7 тыс. рублей перемещение эономии по расходам на раздел  0800</t>
  </si>
  <si>
    <t>Увеличение ассигнований в сумме 502, тыс. рублей счет зарезервированных средств на соц.пособия малоимущим и пострадавшим от пожара</t>
  </si>
  <si>
    <t>Уменьшение  ассигнований в сумме 1878,8  тыс. рублей , в том числе:</t>
  </si>
  <si>
    <t>в сумме  1190,7  тыс. рублей в связи с экономией по мероприятиям программы  на раздел 0100, 0500</t>
  </si>
  <si>
    <t>Увеличение ассигнований в сумме 713,4 тыс. рублей в том числе:</t>
  </si>
  <si>
    <t>в сумме 282,2 тыс. рублей за счет зарезервированных средств для МБУ СШОР "Старт" (на горюче-смазочные материалы для лёдозаливочной машины, обеспечивающей полноценную работу хоккейного модуля с круглогодичным льдом )</t>
  </si>
  <si>
    <t>в сумме 40,0 тыс. рублей на проведение кадастровых работ по разграничению площадей по адресу ул.Вернадского 1а. С аналогичных расходов с раздела 0400</t>
  </si>
  <si>
    <t>Приложение 4 к реестру</t>
  </si>
  <si>
    <t xml:space="preserve"> Изменение сводной бюджетной росписи (перемещения), проведенные в рамках полномочий Финансового управления Администрации МГО и главных распорядителей бюджетных средств  (после принятия решения Собранием депутатов МГО от 27.08.2021г. № 3 по состоянию на 20.12.2021 года)</t>
  </si>
  <si>
    <t>в сумме 1491 тыс. рублей с объектов (строительство дорог, ливневая канализация) МКУ "Комитет по строительству" на раздел 0500</t>
  </si>
  <si>
    <t>Увеличение ассигнований в сумме 1232,5 тыс. рублей, в том числе:</t>
  </si>
  <si>
    <t>в сумме 355,8 тыс.рублей на восстановление фонда оплаты труда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</si>
</sst>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</cellStyleXfs>
  <cellXfs count="93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3" fillId="0" borderId="0" xfId="0" applyFont="1"/>
    <xf numFmtId="49" fontId="7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justify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0" fillId="0" borderId="0" xfId="0" applyFont="1" applyFill="1"/>
    <xf numFmtId="4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justify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/>
    <xf numFmtId="0" fontId="3" fillId="0" borderId="2" xfId="0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5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Финансовый 2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I36" sqref="I36"/>
    </sheetView>
  </sheetViews>
  <sheetFormatPr defaultColWidth="14.42578125" defaultRowHeight="15.75"/>
  <cols>
    <col min="1" max="1" width="5.5703125" style="1" customWidth="1"/>
    <col min="2" max="2" width="46.7109375" style="2" customWidth="1"/>
    <col min="3" max="3" width="13.28515625" style="3" customWidth="1"/>
    <col min="4" max="4" width="14.5703125" style="4" customWidth="1"/>
    <col min="5" max="5" width="10" style="3" customWidth="1"/>
    <col min="6" max="6" width="11.7109375" style="5" hidden="1" customWidth="1"/>
    <col min="7" max="7" width="67" style="48" customWidth="1"/>
    <col min="8" max="8" width="9.140625" style="7" customWidth="1"/>
    <col min="9" max="9" width="15.7109375" style="52" customWidth="1"/>
    <col min="10" max="10" width="22.5703125" style="55" customWidth="1"/>
    <col min="11" max="11" width="9.140625" style="7" customWidth="1"/>
    <col min="12" max="12" width="14.42578125" style="7" customWidth="1"/>
    <col min="13" max="182" width="9.140625" style="7" customWidth="1"/>
    <col min="183" max="183" width="60.42578125" style="7" customWidth="1"/>
    <col min="184" max="184" width="0" style="7" hidden="1" customWidth="1"/>
    <col min="185" max="185" width="14.7109375" style="7" customWidth="1"/>
    <col min="186" max="186" width="14.5703125" style="7" customWidth="1"/>
    <col min="187" max="187" width="0" style="7" hidden="1" customWidth="1"/>
    <col min="188" max="188" width="14.5703125" style="7" customWidth="1"/>
    <col min="189" max="189" width="15" style="7" customWidth="1"/>
    <col min="190" max="191" width="14.5703125" style="7" customWidth="1"/>
    <col min="192" max="16384" width="14.42578125" style="7"/>
  </cols>
  <sheetData>
    <row r="1" spans="1:13">
      <c r="G1" s="6" t="s">
        <v>112</v>
      </c>
    </row>
    <row r="2" spans="1:13" ht="34.5" customHeight="1">
      <c r="A2" s="91" t="s">
        <v>113</v>
      </c>
      <c r="B2" s="91"/>
      <c r="C2" s="91"/>
      <c r="D2" s="91"/>
      <c r="E2" s="91"/>
      <c r="F2" s="91"/>
      <c r="G2" s="92"/>
    </row>
    <row r="3" spans="1:13">
      <c r="A3" s="8"/>
      <c r="G3" s="9" t="s">
        <v>0</v>
      </c>
    </row>
    <row r="4" spans="1:13" s="16" customFormat="1" ht="47.25">
      <c r="A4" s="10" t="s">
        <v>1</v>
      </c>
      <c r="B4" s="11" t="s">
        <v>2</v>
      </c>
      <c r="C4" s="12" t="s">
        <v>3</v>
      </c>
      <c r="D4" s="13" t="s">
        <v>4</v>
      </c>
      <c r="E4" s="12" t="s">
        <v>5</v>
      </c>
      <c r="F4" s="14" t="s">
        <v>6</v>
      </c>
      <c r="G4" s="15" t="s">
        <v>7</v>
      </c>
      <c r="I4" s="53"/>
      <c r="J4" s="56"/>
    </row>
    <row r="5" spans="1:13" s="21" customFormat="1">
      <c r="A5" s="58" t="s">
        <v>8</v>
      </c>
      <c r="B5" s="17">
        <v>2</v>
      </c>
      <c r="C5" s="18">
        <v>3</v>
      </c>
      <c r="D5" s="19">
        <v>4</v>
      </c>
      <c r="E5" s="18">
        <v>5</v>
      </c>
      <c r="F5" s="20"/>
      <c r="G5" s="15">
        <v>6</v>
      </c>
      <c r="I5" s="53"/>
      <c r="J5" s="56"/>
    </row>
    <row r="6" spans="1:13" s="21" customFormat="1" ht="31.5">
      <c r="A6" s="62" t="s">
        <v>9</v>
      </c>
      <c r="B6" s="22" t="s">
        <v>10</v>
      </c>
      <c r="C6" s="23">
        <f>SUM(C7:C13)-C13</f>
        <v>267598.8</v>
      </c>
      <c r="D6" s="24">
        <f>SUM(D7:D13)-D13</f>
        <v>261498.1</v>
      </c>
      <c r="E6" s="24">
        <f>D6-C6</f>
        <v>-6100.6999999999825</v>
      </c>
      <c r="F6" s="25">
        <f>SUM(F7:F13)</f>
        <v>-6100.7</v>
      </c>
      <c r="G6" s="26"/>
      <c r="I6" s="53"/>
      <c r="J6" s="56"/>
      <c r="M6" s="64"/>
    </row>
    <row r="7" spans="1:13" s="21" customFormat="1">
      <c r="A7" s="70"/>
      <c r="B7" s="75" t="s">
        <v>11</v>
      </c>
      <c r="C7" s="76">
        <v>198741.7</v>
      </c>
      <c r="D7" s="76">
        <f>198275.7-3419.9</f>
        <v>194855.80000000002</v>
      </c>
      <c r="E7" s="76">
        <f>SUM(D7-C7)</f>
        <v>-3885.8999999999942</v>
      </c>
      <c r="F7" s="27"/>
      <c r="G7" s="28" t="s">
        <v>87</v>
      </c>
      <c r="I7" s="53"/>
      <c r="J7" s="56"/>
    </row>
    <row r="8" spans="1:13" s="21" customFormat="1" ht="45">
      <c r="A8" s="70"/>
      <c r="B8" s="75"/>
      <c r="C8" s="76"/>
      <c r="D8" s="76"/>
      <c r="E8" s="76"/>
      <c r="F8" s="27">
        <f>-254.2-83.8-76.5-40-5202.3+894+921.9</f>
        <v>-3840.9</v>
      </c>
      <c r="G8" s="29" t="s">
        <v>82</v>
      </c>
      <c r="I8" s="53"/>
      <c r="J8" s="56"/>
    </row>
    <row r="9" spans="1:13" s="21" customFormat="1" ht="45">
      <c r="A9" s="70"/>
      <c r="B9" s="75"/>
      <c r="C9" s="76"/>
      <c r="D9" s="76"/>
      <c r="E9" s="76"/>
      <c r="F9" s="27">
        <f>-15-30</f>
        <v>-45</v>
      </c>
      <c r="G9" s="29" t="s">
        <v>71</v>
      </c>
      <c r="I9" s="53"/>
      <c r="J9" s="56"/>
    </row>
    <row r="10" spans="1:13" s="21" customFormat="1" ht="30">
      <c r="A10" s="70"/>
      <c r="B10" s="59" t="s">
        <v>12</v>
      </c>
      <c r="C10" s="12">
        <v>24089.5</v>
      </c>
      <c r="D10" s="13">
        <v>23258.400000000001</v>
      </c>
      <c r="E10" s="60">
        <f t="shared" ref="E10:E15" si="0">SUM(D10-C10)</f>
        <v>-831.09999999999854</v>
      </c>
      <c r="F10" s="30">
        <f>-808.1-23</f>
        <v>-831.1</v>
      </c>
      <c r="G10" s="29" t="s">
        <v>73</v>
      </c>
      <c r="I10" s="53"/>
      <c r="J10" s="56"/>
    </row>
    <row r="11" spans="1:13" s="21" customFormat="1">
      <c r="A11" s="70"/>
      <c r="B11" s="59" t="s">
        <v>13</v>
      </c>
      <c r="C11" s="12">
        <v>8489.9</v>
      </c>
      <c r="D11" s="13">
        <f>8819.2-329.3</f>
        <v>8489.9000000000015</v>
      </c>
      <c r="E11" s="60">
        <f t="shared" si="0"/>
        <v>1.8189894035458565E-12</v>
      </c>
      <c r="F11" s="30"/>
      <c r="G11" s="63"/>
      <c r="I11" s="53"/>
      <c r="J11" s="56"/>
    </row>
    <row r="12" spans="1:13" s="31" customFormat="1" ht="31.5">
      <c r="A12" s="70"/>
      <c r="B12" s="59" t="s">
        <v>14</v>
      </c>
      <c r="C12" s="61">
        <v>36277.699999999997</v>
      </c>
      <c r="D12" s="60">
        <f>34984.8-90.8</f>
        <v>34894</v>
      </c>
      <c r="E12" s="60">
        <f t="shared" si="0"/>
        <v>-1383.6999999999971</v>
      </c>
      <c r="F12" s="30">
        <v>-1383.7</v>
      </c>
      <c r="G12" s="29" t="s">
        <v>92</v>
      </c>
      <c r="I12" s="53"/>
      <c r="J12" s="56"/>
    </row>
    <row r="13" spans="1:13" s="16" customFormat="1" ht="31.5">
      <c r="A13" s="32" t="s">
        <v>15</v>
      </c>
      <c r="B13" s="33" t="s">
        <v>16</v>
      </c>
      <c r="C13" s="27">
        <v>500</v>
      </c>
      <c r="D13" s="27">
        <v>500</v>
      </c>
      <c r="E13" s="60">
        <f t="shared" si="0"/>
        <v>0</v>
      </c>
      <c r="F13" s="34"/>
      <c r="G13" s="35"/>
      <c r="I13" s="53"/>
      <c r="J13" s="56"/>
    </row>
    <row r="14" spans="1:13" s="16" customFormat="1" ht="47.25">
      <c r="A14" s="62" t="s">
        <v>17</v>
      </c>
      <c r="B14" s="22" t="s">
        <v>18</v>
      </c>
      <c r="C14" s="23">
        <f>SUM(C15:C15)</f>
        <v>30048.6</v>
      </c>
      <c r="D14" s="24">
        <f>SUM(D15:D15)</f>
        <v>29431.200000000001</v>
      </c>
      <c r="E14" s="23">
        <f t="shared" ref="E14:E67" si="1">D14-C14</f>
        <v>-617.39999999999782</v>
      </c>
      <c r="F14" s="36">
        <f>SUM(F15)</f>
        <v>-617.4</v>
      </c>
      <c r="G14" s="37"/>
      <c r="I14" s="53"/>
      <c r="J14" s="56"/>
    </row>
    <row r="15" spans="1:13" s="16" customFormat="1" ht="31.5">
      <c r="A15" s="62"/>
      <c r="B15" s="59" t="s">
        <v>19</v>
      </c>
      <c r="C15" s="61">
        <v>30048.6</v>
      </c>
      <c r="D15" s="60">
        <v>29431.200000000001</v>
      </c>
      <c r="E15" s="60">
        <f t="shared" si="0"/>
        <v>-617.39999999999782</v>
      </c>
      <c r="F15" s="30">
        <f>-393.9-223.5</f>
        <v>-617.4</v>
      </c>
      <c r="G15" s="29" t="s">
        <v>72</v>
      </c>
      <c r="I15" s="53"/>
      <c r="J15" s="56"/>
    </row>
    <row r="16" spans="1:13" s="16" customFormat="1">
      <c r="A16" s="62" t="s">
        <v>20</v>
      </c>
      <c r="B16" s="22" t="s">
        <v>21</v>
      </c>
      <c r="C16" s="23">
        <f>SUM(C17)</f>
        <v>515172.3</v>
      </c>
      <c r="D16" s="24">
        <f>SUM(D17)</f>
        <v>508181.60000000003</v>
      </c>
      <c r="E16" s="23">
        <f t="shared" si="1"/>
        <v>-6990.6999999999534</v>
      </c>
      <c r="F16" s="25">
        <f>SUM(F17:F27)</f>
        <v>-6990.7000000000007</v>
      </c>
      <c r="G16" s="38"/>
      <c r="I16" s="53"/>
      <c r="J16" s="56"/>
    </row>
    <row r="17" spans="1:10" s="16" customFormat="1" ht="30">
      <c r="A17" s="78"/>
      <c r="B17" s="86" t="s">
        <v>22</v>
      </c>
      <c r="C17" s="80">
        <v>515172.3</v>
      </c>
      <c r="D17" s="76">
        <f>522806.4-19947+5322.2</f>
        <v>508181.60000000003</v>
      </c>
      <c r="E17" s="80">
        <f>SUM(D17-C17)</f>
        <v>-6990.6999999999534</v>
      </c>
      <c r="F17" s="30"/>
      <c r="G17" s="28" t="s">
        <v>89</v>
      </c>
      <c r="I17" s="53"/>
      <c r="J17" s="56"/>
    </row>
    <row r="18" spans="1:10" s="16" customFormat="1" ht="30">
      <c r="A18" s="78"/>
      <c r="B18" s="87"/>
      <c r="C18" s="80"/>
      <c r="D18" s="76"/>
      <c r="E18" s="80"/>
      <c r="F18" s="30">
        <v>300</v>
      </c>
      <c r="G18" s="28" t="s">
        <v>75</v>
      </c>
      <c r="I18" s="53"/>
      <c r="J18" s="56"/>
    </row>
    <row r="19" spans="1:10" s="16" customFormat="1" ht="30">
      <c r="A19" s="78"/>
      <c r="B19" s="87"/>
      <c r="C19" s="80"/>
      <c r="D19" s="76"/>
      <c r="E19" s="80"/>
      <c r="F19" s="30">
        <v>2289.6</v>
      </c>
      <c r="G19" s="29" t="s">
        <v>23</v>
      </c>
      <c r="I19" s="53"/>
      <c r="J19" s="56"/>
    </row>
    <row r="20" spans="1:10" s="16" customFormat="1" ht="30">
      <c r="A20" s="78"/>
      <c r="B20" s="87"/>
      <c r="C20" s="80"/>
      <c r="D20" s="76"/>
      <c r="E20" s="80"/>
      <c r="F20" s="30">
        <v>761.1</v>
      </c>
      <c r="G20" s="29" t="s">
        <v>24</v>
      </c>
      <c r="I20" s="53"/>
      <c r="J20" s="56"/>
    </row>
    <row r="21" spans="1:10" s="16" customFormat="1" ht="30">
      <c r="A21" s="78"/>
      <c r="B21" s="87"/>
      <c r="C21" s="80"/>
      <c r="D21" s="76"/>
      <c r="E21" s="80"/>
      <c r="F21" s="30">
        <v>56.5</v>
      </c>
      <c r="G21" s="29" t="s">
        <v>25</v>
      </c>
      <c r="I21" s="53"/>
      <c r="J21" s="56"/>
    </row>
    <row r="22" spans="1:10" s="16" customFormat="1" ht="30">
      <c r="A22" s="78"/>
      <c r="B22" s="87"/>
      <c r="C22" s="80"/>
      <c r="D22" s="76"/>
      <c r="E22" s="80"/>
      <c r="F22" s="34"/>
      <c r="G22" s="28" t="s">
        <v>88</v>
      </c>
      <c r="I22" s="53"/>
      <c r="J22" s="56"/>
    </row>
    <row r="23" spans="1:10" s="16" customFormat="1" ht="45">
      <c r="A23" s="78"/>
      <c r="B23" s="87"/>
      <c r="C23" s="80"/>
      <c r="D23" s="76"/>
      <c r="E23" s="80"/>
      <c r="F23" s="30">
        <f>-2642.2-2560.5-181.6</f>
        <v>-5384.3</v>
      </c>
      <c r="G23" s="29" t="s">
        <v>26</v>
      </c>
      <c r="I23" s="53"/>
      <c r="J23" s="56"/>
    </row>
    <row r="24" spans="1:10" s="16" customFormat="1" ht="30">
      <c r="A24" s="78"/>
      <c r="B24" s="87"/>
      <c r="C24" s="80"/>
      <c r="D24" s="76"/>
      <c r="E24" s="80"/>
      <c r="F24" s="30">
        <f>-440-929-414.4-214.5</f>
        <v>-1997.9</v>
      </c>
      <c r="G24" s="39" t="s">
        <v>76</v>
      </c>
      <c r="I24" s="53"/>
      <c r="J24" s="56"/>
    </row>
    <row r="25" spans="1:10" s="16" customFormat="1" ht="30">
      <c r="A25" s="78"/>
      <c r="B25" s="87"/>
      <c r="C25" s="80"/>
      <c r="D25" s="76"/>
      <c r="E25" s="80"/>
      <c r="F25" s="30">
        <f>-72.2-12.6</f>
        <v>-84.8</v>
      </c>
      <c r="G25" s="29" t="s">
        <v>74</v>
      </c>
      <c r="I25" s="53"/>
      <c r="J25" s="56"/>
    </row>
    <row r="26" spans="1:10" s="16" customFormat="1" ht="30">
      <c r="A26" s="78"/>
      <c r="B26" s="87"/>
      <c r="C26" s="80"/>
      <c r="D26" s="76"/>
      <c r="E26" s="80"/>
      <c r="F26" s="30">
        <v>-1491</v>
      </c>
      <c r="G26" s="29" t="s">
        <v>114</v>
      </c>
      <c r="I26" s="53"/>
      <c r="J26" s="56"/>
    </row>
    <row r="27" spans="1:10" s="16" customFormat="1" ht="30">
      <c r="A27" s="78"/>
      <c r="B27" s="88"/>
      <c r="C27" s="80"/>
      <c r="D27" s="76"/>
      <c r="E27" s="80"/>
      <c r="F27" s="30">
        <f>-1383.4-56.5</f>
        <v>-1439.9</v>
      </c>
      <c r="G27" s="29" t="s">
        <v>27</v>
      </c>
      <c r="I27" s="53"/>
      <c r="J27" s="56"/>
    </row>
    <row r="28" spans="1:10" s="21" customFormat="1" ht="31.5">
      <c r="A28" s="62" t="s">
        <v>28</v>
      </c>
      <c r="B28" s="22" t="s">
        <v>29</v>
      </c>
      <c r="C28" s="24">
        <f t="shared" ref="C28:D28" si="2">SUM(C29)</f>
        <v>469394.7</v>
      </c>
      <c r="D28" s="24">
        <f t="shared" si="2"/>
        <v>481360.89999999997</v>
      </c>
      <c r="E28" s="23">
        <f t="shared" si="1"/>
        <v>11966.199999999953</v>
      </c>
      <c r="F28" s="36">
        <f>SUM(F29:F40)</f>
        <v>11966.199999999999</v>
      </c>
      <c r="G28" s="38"/>
      <c r="I28" s="53"/>
      <c r="J28" s="56"/>
    </row>
    <row r="29" spans="1:10" s="16" customFormat="1" ht="30">
      <c r="A29" s="89"/>
      <c r="B29" s="90" t="s">
        <v>30</v>
      </c>
      <c r="C29" s="76">
        <v>469394.7</v>
      </c>
      <c r="D29" s="76">
        <f>577352.6+422.5+1.4-85689.9-10725.7</f>
        <v>481360.89999999997</v>
      </c>
      <c r="E29" s="80">
        <f>SUM(D29-C29)</f>
        <v>11966.199999999953</v>
      </c>
      <c r="F29" s="34"/>
      <c r="G29" s="28" t="s">
        <v>90</v>
      </c>
      <c r="I29" s="53"/>
      <c r="J29" s="56"/>
    </row>
    <row r="30" spans="1:10" s="16" customFormat="1" ht="30">
      <c r="A30" s="89"/>
      <c r="B30" s="90"/>
      <c r="C30" s="76"/>
      <c r="D30" s="76"/>
      <c r="E30" s="80"/>
      <c r="F30" s="30">
        <f>-56.5-177.2-114.5</f>
        <v>-348.2</v>
      </c>
      <c r="G30" s="29" t="s">
        <v>77</v>
      </c>
      <c r="I30" s="53"/>
      <c r="J30" s="56"/>
    </row>
    <row r="31" spans="1:10" s="16" customFormat="1" ht="45">
      <c r="A31" s="89"/>
      <c r="B31" s="90"/>
      <c r="C31" s="76"/>
      <c r="D31" s="76"/>
      <c r="E31" s="80"/>
      <c r="F31" s="30">
        <f>-841.6-2661.8-256.5</f>
        <v>-3759.9</v>
      </c>
      <c r="G31" s="29" t="s">
        <v>78</v>
      </c>
      <c r="I31" s="53"/>
      <c r="J31" s="56"/>
    </row>
    <row r="32" spans="1:10" s="16" customFormat="1" ht="30">
      <c r="A32" s="89"/>
      <c r="B32" s="90"/>
      <c r="C32" s="76"/>
      <c r="D32" s="76"/>
      <c r="E32" s="80"/>
      <c r="F32" s="30">
        <f>-1700-1450+123.8</f>
        <v>-3026.2</v>
      </c>
      <c r="G32" s="29" t="s">
        <v>31</v>
      </c>
      <c r="I32" s="53"/>
      <c r="J32" s="56"/>
    </row>
    <row r="33" spans="1:10" s="16" customFormat="1">
      <c r="A33" s="89"/>
      <c r="B33" s="90"/>
      <c r="C33" s="76"/>
      <c r="D33" s="76"/>
      <c r="E33" s="80"/>
      <c r="F33" s="30"/>
      <c r="G33" s="28" t="s">
        <v>91</v>
      </c>
      <c r="I33" s="53"/>
      <c r="J33" s="56"/>
    </row>
    <row r="34" spans="1:10" s="16" customFormat="1" ht="40.5" customHeight="1">
      <c r="A34" s="89"/>
      <c r="B34" s="90"/>
      <c r="C34" s="76"/>
      <c r="D34" s="76"/>
      <c r="E34" s="80"/>
      <c r="F34" s="30">
        <v>254.2</v>
      </c>
      <c r="G34" s="28" t="s">
        <v>32</v>
      </c>
      <c r="I34" s="53"/>
      <c r="J34" s="56"/>
    </row>
    <row r="35" spans="1:10" s="16" customFormat="1" ht="30">
      <c r="A35" s="89"/>
      <c r="B35" s="90"/>
      <c r="C35" s="76"/>
      <c r="D35" s="76"/>
      <c r="E35" s="80"/>
      <c r="F35" s="30">
        <v>2500</v>
      </c>
      <c r="G35" s="28" t="s">
        <v>33</v>
      </c>
      <c r="I35" s="53"/>
      <c r="J35" s="56"/>
    </row>
    <row r="36" spans="1:10" s="16" customFormat="1" ht="30">
      <c r="A36" s="89"/>
      <c r="B36" s="90"/>
      <c r="C36" s="76"/>
      <c r="D36" s="76"/>
      <c r="E36" s="80"/>
      <c r="F36" s="30">
        <f>3294.8-220.3</f>
        <v>3074.5</v>
      </c>
      <c r="G36" s="29" t="s">
        <v>70</v>
      </c>
      <c r="I36" s="53"/>
      <c r="J36" s="56"/>
    </row>
    <row r="37" spans="1:10" s="16" customFormat="1" ht="60">
      <c r="A37" s="89"/>
      <c r="B37" s="90"/>
      <c r="C37" s="76"/>
      <c r="D37" s="76"/>
      <c r="E37" s="80"/>
      <c r="F37" s="30">
        <v>7957.6</v>
      </c>
      <c r="G37" s="28" t="s">
        <v>34</v>
      </c>
      <c r="I37" s="53"/>
      <c r="J37" s="56"/>
    </row>
    <row r="38" spans="1:10" s="16" customFormat="1" ht="30">
      <c r="A38" s="89"/>
      <c r="B38" s="90"/>
      <c r="C38" s="76"/>
      <c r="D38" s="76"/>
      <c r="E38" s="80"/>
      <c r="F38" s="30">
        <v>1331.5</v>
      </c>
      <c r="G38" s="28" t="s">
        <v>35</v>
      </c>
      <c r="I38" s="53"/>
      <c r="J38" s="56"/>
    </row>
    <row r="39" spans="1:10" s="16" customFormat="1" ht="30">
      <c r="A39" s="89"/>
      <c r="B39" s="90"/>
      <c r="C39" s="76"/>
      <c r="D39" s="76"/>
      <c r="E39" s="80"/>
      <c r="F39" s="30">
        <v>2542.8000000000002</v>
      </c>
      <c r="G39" s="28" t="s">
        <v>36</v>
      </c>
      <c r="I39" s="53"/>
      <c r="J39" s="56"/>
    </row>
    <row r="40" spans="1:10" s="16" customFormat="1" ht="33.75" customHeight="1">
      <c r="A40" s="89"/>
      <c r="B40" s="90"/>
      <c r="C40" s="76"/>
      <c r="D40" s="76"/>
      <c r="E40" s="80"/>
      <c r="F40" s="30">
        <v>1439.9</v>
      </c>
      <c r="G40" s="29" t="s">
        <v>37</v>
      </c>
      <c r="I40" s="53"/>
      <c r="J40" s="56"/>
    </row>
    <row r="41" spans="1:10" s="21" customFormat="1">
      <c r="A41" s="62" t="s">
        <v>38</v>
      </c>
      <c r="B41" s="22" t="s">
        <v>39</v>
      </c>
      <c r="C41" s="23">
        <f t="shared" ref="C41:D41" si="3">SUM(C42)</f>
        <v>17771.400000000001</v>
      </c>
      <c r="D41" s="24">
        <f t="shared" si="3"/>
        <v>16568.400000000001</v>
      </c>
      <c r="E41" s="23">
        <f t="shared" si="1"/>
        <v>-1203</v>
      </c>
      <c r="F41" s="36">
        <f>SUM(F42:F43)</f>
        <v>-1203</v>
      </c>
      <c r="G41" s="28" t="s">
        <v>79</v>
      </c>
      <c r="I41" s="53"/>
      <c r="J41" s="56"/>
    </row>
    <row r="42" spans="1:10" s="16" customFormat="1" ht="45">
      <c r="A42" s="58"/>
      <c r="B42" s="75" t="s">
        <v>40</v>
      </c>
      <c r="C42" s="80">
        <v>17771.400000000001</v>
      </c>
      <c r="D42" s="76">
        <f>10070.4+6498</f>
        <v>16568.400000000001</v>
      </c>
      <c r="E42" s="80">
        <f>SUM(D42-C42)</f>
        <v>-1203</v>
      </c>
      <c r="F42" s="40">
        <v>-12.3</v>
      </c>
      <c r="G42" s="28" t="s">
        <v>41</v>
      </c>
      <c r="I42" s="53"/>
      <c r="J42" s="56"/>
    </row>
    <row r="43" spans="1:10" s="16" customFormat="1" ht="30">
      <c r="A43" s="58"/>
      <c r="B43" s="75"/>
      <c r="C43" s="80"/>
      <c r="D43" s="76"/>
      <c r="E43" s="80"/>
      <c r="F43" s="40">
        <f>-651.4-470.6-32.3-36.4</f>
        <v>-1190.7</v>
      </c>
      <c r="G43" s="28" t="s">
        <v>108</v>
      </c>
      <c r="I43" s="53"/>
      <c r="J43" s="56"/>
    </row>
    <row r="44" spans="1:10" s="21" customFormat="1">
      <c r="A44" s="62" t="s">
        <v>42</v>
      </c>
      <c r="B44" s="22" t="s">
        <v>43</v>
      </c>
      <c r="C44" s="23">
        <f>SUM(C45:C59)</f>
        <v>2694793.2</v>
      </c>
      <c r="D44" s="24">
        <f>SUM(D45:D59)</f>
        <v>2695484.3</v>
      </c>
      <c r="E44" s="23">
        <f t="shared" si="1"/>
        <v>691.09999999962747</v>
      </c>
      <c r="F44" s="25">
        <f>SUM(F45:F59)</f>
        <v>691.10000000000014</v>
      </c>
      <c r="G44" s="28"/>
      <c r="I44" s="53"/>
      <c r="J44" s="56"/>
    </row>
    <row r="45" spans="1:10" s="21" customFormat="1">
      <c r="A45" s="82"/>
      <c r="B45" s="83" t="s">
        <v>44</v>
      </c>
      <c r="C45" s="76">
        <v>2571206.2000000002</v>
      </c>
      <c r="D45" s="76">
        <f>2687934.8-115513.3+17.2</f>
        <v>2572438.7000000002</v>
      </c>
      <c r="E45" s="76">
        <f>SUM(D45-C45)</f>
        <v>1232.5</v>
      </c>
      <c r="F45" s="30"/>
      <c r="G45" s="28" t="s">
        <v>115</v>
      </c>
      <c r="H45" s="42"/>
      <c r="I45" s="53"/>
      <c r="J45" s="56"/>
    </row>
    <row r="46" spans="1:10" s="21" customFormat="1" ht="30">
      <c r="A46" s="82"/>
      <c r="B46" s="83"/>
      <c r="C46" s="76"/>
      <c r="D46" s="76"/>
      <c r="E46" s="76"/>
      <c r="F46" s="30">
        <f>600.6+249.4+6.1</f>
        <v>856.1</v>
      </c>
      <c r="G46" s="28" t="s">
        <v>81</v>
      </c>
      <c r="H46" s="42"/>
      <c r="I46" s="53"/>
      <c r="J46" s="56"/>
    </row>
    <row r="47" spans="1:10" s="21" customFormat="1" ht="30">
      <c r="A47" s="82"/>
      <c r="B47" s="83"/>
      <c r="C47" s="76"/>
      <c r="D47" s="76"/>
      <c r="E47" s="76"/>
      <c r="F47" s="30">
        <f>0.8+8.5+11.3</f>
        <v>20.6</v>
      </c>
      <c r="G47" s="28" t="s">
        <v>45</v>
      </c>
      <c r="H47" s="42"/>
      <c r="I47" s="53"/>
      <c r="J47" s="56"/>
    </row>
    <row r="48" spans="1:10" s="21" customFormat="1">
      <c r="A48" s="82"/>
      <c r="B48" s="83"/>
      <c r="C48" s="76"/>
      <c r="D48" s="76"/>
      <c r="E48" s="76"/>
      <c r="F48" s="30">
        <f>338.6+17.2</f>
        <v>355.8</v>
      </c>
      <c r="G48" s="28" t="s">
        <v>116</v>
      </c>
      <c r="H48" s="42"/>
      <c r="I48" s="53"/>
      <c r="J48" s="56"/>
    </row>
    <row r="49" spans="1:10" s="21" customFormat="1">
      <c r="A49" s="82"/>
      <c r="B49" s="71" t="s">
        <v>46</v>
      </c>
      <c r="C49" s="73">
        <v>120309</v>
      </c>
      <c r="D49" s="73">
        <v>121011.1</v>
      </c>
      <c r="E49" s="73">
        <f t="shared" ref="E49:E59" si="4">SUM(D49-C49)</f>
        <v>702.10000000000582</v>
      </c>
      <c r="F49" s="27"/>
      <c r="G49" s="28" t="s">
        <v>109</v>
      </c>
      <c r="H49" s="42"/>
      <c r="I49" s="53"/>
      <c r="J49" s="56"/>
    </row>
    <row r="50" spans="1:10" s="21" customFormat="1" ht="30">
      <c r="A50" s="82"/>
      <c r="B50" s="84"/>
      <c r="C50" s="85"/>
      <c r="D50" s="85"/>
      <c r="E50" s="85"/>
      <c r="F50" s="27">
        <f>64.8+48.1</f>
        <v>112.9</v>
      </c>
      <c r="G50" s="29" t="s">
        <v>94</v>
      </c>
      <c r="H50" s="42"/>
      <c r="I50" s="53"/>
      <c r="J50" s="56"/>
    </row>
    <row r="51" spans="1:10" s="21" customFormat="1" ht="30">
      <c r="A51" s="82"/>
      <c r="B51" s="84"/>
      <c r="C51" s="85"/>
      <c r="D51" s="85"/>
      <c r="E51" s="85"/>
      <c r="F51" s="27">
        <v>110.8</v>
      </c>
      <c r="G51" s="29" t="s">
        <v>85</v>
      </c>
      <c r="H51" s="42"/>
      <c r="I51" s="53"/>
      <c r="J51" s="56"/>
    </row>
    <row r="52" spans="1:10" s="21" customFormat="1" ht="30">
      <c r="A52" s="82"/>
      <c r="B52" s="84"/>
      <c r="C52" s="85"/>
      <c r="D52" s="85"/>
      <c r="E52" s="85"/>
      <c r="F52" s="30">
        <v>489.7</v>
      </c>
      <c r="G52" s="28" t="s">
        <v>93</v>
      </c>
      <c r="H52" s="42"/>
      <c r="I52" s="53"/>
      <c r="J52" s="56"/>
    </row>
    <row r="53" spans="1:10" s="21" customFormat="1" ht="45">
      <c r="A53" s="82"/>
      <c r="B53" s="84"/>
      <c r="C53" s="85"/>
      <c r="D53" s="85"/>
      <c r="E53" s="85"/>
      <c r="F53" s="27">
        <v>-11.3</v>
      </c>
      <c r="G53" s="29" t="s">
        <v>47</v>
      </c>
      <c r="H53" s="42"/>
      <c r="I53" s="53"/>
      <c r="J53" s="56"/>
    </row>
    <row r="54" spans="1:10" s="21" customFormat="1" ht="97.5" customHeight="1">
      <c r="A54" s="82"/>
      <c r="B54" s="65" t="s">
        <v>48</v>
      </c>
      <c r="C54" s="66">
        <v>367.6</v>
      </c>
      <c r="D54" s="66">
        <f>384.1-17.2</f>
        <v>366.90000000000003</v>
      </c>
      <c r="E54" s="66">
        <f t="shared" si="4"/>
        <v>-0.69999999999998863</v>
      </c>
      <c r="F54" s="30">
        <v>-0.7</v>
      </c>
      <c r="G54" s="29" t="s">
        <v>95</v>
      </c>
      <c r="H54" s="42"/>
      <c r="I54" s="53"/>
      <c r="J54" s="56"/>
    </row>
    <row r="55" spans="1:10" s="16" customFormat="1" ht="60">
      <c r="A55" s="82"/>
      <c r="B55" s="75" t="s">
        <v>11</v>
      </c>
      <c r="C55" s="76">
        <v>2471.6</v>
      </c>
      <c r="D55" s="76">
        <v>1340.3</v>
      </c>
      <c r="E55" s="80">
        <f t="shared" si="4"/>
        <v>-1131.3</v>
      </c>
      <c r="F55" s="27">
        <f>27.3+30</f>
        <v>57.3</v>
      </c>
      <c r="G55" s="29" t="s">
        <v>83</v>
      </c>
      <c r="I55" s="53"/>
      <c r="J55" s="56"/>
    </row>
    <row r="56" spans="1:10" s="16" customFormat="1" ht="45">
      <c r="A56" s="82"/>
      <c r="B56" s="77"/>
      <c r="C56" s="78"/>
      <c r="D56" s="79"/>
      <c r="E56" s="81"/>
      <c r="F56" s="27">
        <f>-1084.8-103.8</f>
        <v>-1188.5999999999999</v>
      </c>
      <c r="G56" s="28" t="s">
        <v>49</v>
      </c>
      <c r="I56" s="53"/>
      <c r="J56" s="56"/>
    </row>
    <row r="57" spans="1:10" s="16" customFormat="1" ht="30">
      <c r="A57" s="82"/>
      <c r="B57" s="59" t="s">
        <v>12</v>
      </c>
      <c r="C57" s="60">
        <v>50</v>
      </c>
      <c r="D57" s="60">
        <v>30</v>
      </c>
      <c r="E57" s="60">
        <f t="shared" si="4"/>
        <v>-20</v>
      </c>
      <c r="F57" s="30">
        <v>-20</v>
      </c>
      <c r="G57" s="29" t="s">
        <v>80</v>
      </c>
      <c r="I57" s="53"/>
      <c r="J57" s="56"/>
    </row>
    <row r="58" spans="1:10" s="16" customFormat="1" ht="31.5">
      <c r="A58" s="82"/>
      <c r="B58" s="59" t="s">
        <v>14</v>
      </c>
      <c r="C58" s="60">
        <v>163.80000000000001</v>
      </c>
      <c r="D58" s="60">
        <v>80.8</v>
      </c>
      <c r="E58" s="60">
        <f t="shared" si="4"/>
        <v>-83.000000000000014</v>
      </c>
      <c r="F58" s="27">
        <v>-83</v>
      </c>
      <c r="G58" s="29" t="s">
        <v>84</v>
      </c>
      <c r="I58" s="53"/>
      <c r="J58" s="56"/>
    </row>
    <row r="59" spans="1:10" s="16" customFormat="1" ht="45">
      <c r="A59" s="82"/>
      <c r="B59" s="59" t="s">
        <v>50</v>
      </c>
      <c r="C59" s="60">
        <v>225</v>
      </c>
      <c r="D59" s="60">
        <v>216.5</v>
      </c>
      <c r="E59" s="60">
        <f t="shared" si="4"/>
        <v>-8.5</v>
      </c>
      <c r="F59" s="30">
        <v>-8.5</v>
      </c>
      <c r="G59" s="29" t="s">
        <v>51</v>
      </c>
      <c r="I59" s="53"/>
      <c r="J59" s="56"/>
    </row>
    <row r="60" spans="1:10" s="21" customFormat="1">
      <c r="A60" s="62" t="s">
        <v>52</v>
      </c>
      <c r="B60" s="22" t="s">
        <v>53</v>
      </c>
      <c r="C60" s="24">
        <f>SUM(C61:C61)</f>
        <v>191310.7</v>
      </c>
      <c r="D60" s="24">
        <f>SUM(D61:D61)</f>
        <v>194043.7</v>
      </c>
      <c r="E60" s="23">
        <f t="shared" si="1"/>
        <v>2733</v>
      </c>
      <c r="F60" s="25">
        <f>SUM(F61:F66)</f>
        <v>2733</v>
      </c>
      <c r="G60" s="29"/>
      <c r="I60" s="53"/>
      <c r="J60" s="56"/>
    </row>
    <row r="61" spans="1:10" s="16" customFormat="1" ht="30">
      <c r="A61" s="58"/>
      <c r="B61" s="75" t="s">
        <v>54</v>
      </c>
      <c r="C61" s="76">
        <v>191310.7</v>
      </c>
      <c r="D61" s="76">
        <f>202495.7-8452</f>
        <v>194043.7</v>
      </c>
      <c r="E61" s="76">
        <f>SUM(D61-C61)</f>
        <v>2733</v>
      </c>
      <c r="F61" s="27"/>
      <c r="G61" s="28" t="s">
        <v>99</v>
      </c>
      <c r="I61" s="53"/>
      <c r="J61" s="56"/>
    </row>
    <row r="62" spans="1:10" s="16" customFormat="1" ht="30">
      <c r="A62" s="58"/>
      <c r="B62" s="75"/>
      <c r="C62" s="76"/>
      <c r="D62" s="76"/>
      <c r="E62" s="76"/>
      <c r="F62" s="27">
        <v>7.2</v>
      </c>
      <c r="G62" s="29" t="s">
        <v>55</v>
      </c>
      <c r="I62" s="53"/>
      <c r="J62" s="56"/>
    </row>
    <row r="63" spans="1:10" s="16" customFormat="1" ht="60">
      <c r="A63" s="58"/>
      <c r="B63" s="75"/>
      <c r="C63" s="76"/>
      <c r="D63" s="76"/>
      <c r="E63" s="76"/>
      <c r="F63" s="30">
        <f>687.2+516.6-112.2-208.9</f>
        <v>882.70000000000016</v>
      </c>
      <c r="G63" s="29" t="s">
        <v>100</v>
      </c>
      <c r="I63" s="53"/>
      <c r="J63" s="56"/>
    </row>
    <row r="64" spans="1:10" s="16" customFormat="1" ht="30">
      <c r="A64" s="58"/>
      <c r="B64" s="75"/>
      <c r="C64" s="76"/>
      <c r="D64" s="76"/>
      <c r="E64" s="76"/>
      <c r="F64" s="27">
        <v>556</v>
      </c>
      <c r="G64" s="29" t="s">
        <v>98</v>
      </c>
      <c r="I64" s="53"/>
      <c r="J64" s="56"/>
    </row>
    <row r="65" spans="1:10" s="16" customFormat="1" ht="30">
      <c r="A65" s="58"/>
      <c r="B65" s="75"/>
      <c r="C65" s="76"/>
      <c r="D65" s="76"/>
      <c r="E65" s="76"/>
      <c r="F65" s="27">
        <v>1400</v>
      </c>
      <c r="G65" s="28" t="s">
        <v>56</v>
      </c>
      <c r="I65" s="53"/>
      <c r="J65" s="56"/>
    </row>
    <row r="66" spans="1:10" s="16" customFormat="1" ht="45">
      <c r="A66" s="58"/>
      <c r="B66" s="75"/>
      <c r="C66" s="76"/>
      <c r="D66" s="76"/>
      <c r="E66" s="76"/>
      <c r="F66" s="27">
        <v>-112.9</v>
      </c>
      <c r="G66" s="28" t="s">
        <v>57</v>
      </c>
      <c r="I66" s="53"/>
      <c r="J66" s="56"/>
    </row>
    <row r="67" spans="1:10" s="21" customFormat="1">
      <c r="A67" s="62" t="s">
        <v>58</v>
      </c>
      <c r="B67" s="22" t="s">
        <v>59</v>
      </c>
      <c r="C67" s="24">
        <f>SUM(C68:C78)</f>
        <v>1349908.7</v>
      </c>
      <c r="D67" s="24">
        <f>SUM(D68:D78)</f>
        <v>1349035.4000000001</v>
      </c>
      <c r="E67" s="23">
        <f t="shared" si="1"/>
        <v>-873.29999999981374</v>
      </c>
      <c r="F67" s="36">
        <f>SUM(F68:F78)</f>
        <v>-873.30000000000018</v>
      </c>
      <c r="G67" s="28"/>
      <c r="I67" s="53"/>
      <c r="J67" s="56"/>
    </row>
    <row r="68" spans="1:10" s="21" customFormat="1" ht="45">
      <c r="A68" s="70"/>
      <c r="B68" s="75" t="s">
        <v>60</v>
      </c>
      <c r="C68" s="76">
        <v>1193655</v>
      </c>
      <c r="D68" s="76">
        <f>1208111.1-15834.1-0.5</f>
        <v>1192276.5</v>
      </c>
      <c r="E68" s="76">
        <f t="shared" ref="E68:E83" si="5">SUM(D68-C68)</f>
        <v>-1378.5</v>
      </c>
      <c r="F68" s="30">
        <v>502</v>
      </c>
      <c r="G68" s="28" t="s">
        <v>106</v>
      </c>
      <c r="I68" s="53"/>
      <c r="J68" s="56"/>
    </row>
    <row r="69" spans="1:10" s="21" customFormat="1" ht="60">
      <c r="A69" s="70"/>
      <c r="B69" s="75"/>
      <c r="C69" s="76"/>
      <c r="D69" s="76"/>
      <c r="E69" s="76"/>
      <c r="F69" s="27">
        <v>-1.7</v>
      </c>
      <c r="G69" s="28" t="s">
        <v>61</v>
      </c>
      <c r="H69" s="42"/>
      <c r="I69" s="53"/>
      <c r="J69" s="56"/>
    </row>
    <row r="70" spans="1:10" s="21" customFormat="1">
      <c r="A70" s="70"/>
      <c r="B70" s="75"/>
      <c r="C70" s="76"/>
      <c r="D70" s="76"/>
      <c r="E70" s="76"/>
      <c r="F70" s="41"/>
      <c r="G70" s="28" t="s">
        <v>107</v>
      </c>
      <c r="H70" s="42"/>
      <c r="I70" s="53"/>
      <c r="J70" s="56"/>
    </row>
    <row r="71" spans="1:10" s="21" customFormat="1" ht="45">
      <c r="A71" s="70"/>
      <c r="B71" s="75"/>
      <c r="C71" s="76"/>
      <c r="D71" s="76"/>
      <c r="E71" s="76"/>
      <c r="F71" s="27">
        <v>-1703.1</v>
      </c>
      <c r="G71" s="29" t="s">
        <v>102</v>
      </c>
      <c r="H71" s="42"/>
      <c r="I71" s="53"/>
      <c r="J71" s="56"/>
    </row>
    <row r="72" spans="1:10" s="21" customFormat="1" ht="45">
      <c r="A72" s="70"/>
      <c r="B72" s="75"/>
      <c r="C72" s="76"/>
      <c r="D72" s="76"/>
      <c r="E72" s="76"/>
      <c r="F72" s="27">
        <v>-6</v>
      </c>
      <c r="G72" s="29" t="s">
        <v>62</v>
      </c>
      <c r="H72" s="42"/>
      <c r="I72" s="53"/>
      <c r="J72" s="56"/>
    </row>
    <row r="73" spans="1:10" s="21" customFormat="1" ht="30">
      <c r="A73" s="70"/>
      <c r="B73" s="77"/>
      <c r="C73" s="78"/>
      <c r="D73" s="79"/>
      <c r="E73" s="78"/>
      <c r="F73" s="30">
        <f>-153.6-16.1</f>
        <v>-169.7</v>
      </c>
      <c r="G73" s="29" t="s">
        <v>105</v>
      </c>
      <c r="H73" s="42"/>
      <c r="I73" s="53"/>
      <c r="J73" s="56"/>
    </row>
    <row r="74" spans="1:10" s="21" customFormat="1" ht="15.75" customHeight="1">
      <c r="A74" s="70"/>
      <c r="B74" s="68" t="s">
        <v>44</v>
      </c>
      <c r="C74" s="67">
        <v>86121.2</v>
      </c>
      <c r="D74" s="67">
        <f>78911.4+7209.8</f>
        <v>86121.2</v>
      </c>
      <c r="E74" s="67">
        <f t="shared" si="5"/>
        <v>0</v>
      </c>
      <c r="F74" s="30"/>
      <c r="G74" s="28"/>
      <c r="I74" s="53"/>
      <c r="J74" s="56"/>
    </row>
    <row r="75" spans="1:10" s="21" customFormat="1" ht="45">
      <c r="A75" s="70"/>
      <c r="B75" s="59" t="s">
        <v>11</v>
      </c>
      <c r="C75" s="60">
        <v>68156.5</v>
      </c>
      <c r="D75" s="60">
        <f>69859.6</f>
        <v>69859.600000000006</v>
      </c>
      <c r="E75" s="60">
        <f t="shared" si="5"/>
        <v>1703.1000000000058</v>
      </c>
      <c r="F75" s="30">
        <v>1703.1</v>
      </c>
      <c r="G75" s="39" t="s">
        <v>103</v>
      </c>
      <c r="I75" s="53"/>
      <c r="J75" s="56"/>
    </row>
    <row r="76" spans="1:10" s="21" customFormat="1" ht="45">
      <c r="A76" s="70"/>
      <c r="B76" s="59" t="s">
        <v>54</v>
      </c>
      <c r="C76" s="60">
        <v>472.1</v>
      </c>
      <c r="D76" s="60">
        <f>478.1</f>
        <v>478.1</v>
      </c>
      <c r="E76" s="60">
        <f t="shared" si="5"/>
        <v>6</v>
      </c>
      <c r="F76" s="30">
        <v>6</v>
      </c>
      <c r="G76" s="29" t="s">
        <v>101</v>
      </c>
      <c r="I76" s="53"/>
      <c r="J76" s="56"/>
    </row>
    <row r="77" spans="1:10" s="43" customFormat="1" ht="45" customHeight="1">
      <c r="A77" s="70"/>
      <c r="B77" s="59" t="s">
        <v>63</v>
      </c>
      <c r="C77" s="60">
        <v>1203.9000000000001</v>
      </c>
      <c r="D77" s="60">
        <v>0</v>
      </c>
      <c r="E77" s="60">
        <f t="shared" si="5"/>
        <v>-1203.9000000000001</v>
      </c>
      <c r="F77" s="30">
        <v>-1203.9000000000001</v>
      </c>
      <c r="G77" s="39" t="s">
        <v>86</v>
      </c>
      <c r="I77" s="54"/>
      <c r="J77" s="57"/>
    </row>
    <row r="78" spans="1:10" s="43" customFormat="1">
      <c r="A78" s="70"/>
      <c r="B78" s="59" t="s">
        <v>50</v>
      </c>
      <c r="C78" s="60">
        <v>300</v>
      </c>
      <c r="D78" s="60">
        <v>300</v>
      </c>
      <c r="E78" s="60">
        <f t="shared" si="5"/>
        <v>0</v>
      </c>
      <c r="F78" s="34"/>
      <c r="G78" s="35"/>
      <c r="I78" s="54"/>
      <c r="J78" s="57"/>
    </row>
    <row r="79" spans="1:10" s="43" customFormat="1">
      <c r="A79" s="62" t="s">
        <v>64</v>
      </c>
      <c r="B79" s="22" t="s">
        <v>65</v>
      </c>
      <c r="C79" s="24">
        <f>SUM(C80:C83)</f>
        <v>198414.40000000002</v>
      </c>
      <c r="D79" s="24">
        <f>SUM(D80:D83)</f>
        <v>198809.19999999998</v>
      </c>
      <c r="E79" s="24">
        <f>SUM(E80:E83)</f>
        <v>394.79999999998245</v>
      </c>
      <c r="F79" s="25">
        <f>SUM(F80:F87)</f>
        <v>394.79999999999995</v>
      </c>
      <c r="G79" s="38"/>
      <c r="I79" s="53"/>
      <c r="J79" s="57"/>
    </row>
    <row r="80" spans="1:10" s="21" customFormat="1" ht="30">
      <c r="A80" s="70"/>
      <c r="B80" s="71" t="s">
        <v>66</v>
      </c>
      <c r="C80" s="73">
        <v>1400</v>
      </c>
      <c r="D80" s="73">
        <v>1457.1</v>
      </c>
      <c r="E80" s="73">
        <f t="shared" si="5"/>
        <v>57.099999999999909</v>
      </c>
      <c r="F80" s="30">
        <v>-222.9</v>
      </c>
      <c r="G80" s="29" t="s">
        <v>67</v>
      </c>
      <c r="I80" s="53"/>
      <c r="J80" s="56"/>
    </row>
    <row r="81" spans="1:10" s="21" customFormat="1" ht="60">
      <c r="A81" s="70"/>
      <c r="B81" s="72"/>
      <c r="C81" s="74"/>
      <c r="D81" s="74"/>
      <c r="E81" s="74"/>
      <c r="F81" s="30">
        <v>280</v>
      </c>
      <c r="G81" s="29" t="s">
        <v>68</v>
      </c>
      <c r="I81" s="53"/>
      <c r="J81" s="56"/>
    </row>
    <row r="82" spans="1:10" s="16" customFormat="1" ht="31.5">
      <c r="A82" s="70"/>
      <c r="B82" s="59" t="s">
        <v>44</v>
      </c>
      <c r="C82" s="60">
        <v>2712.7</v>
      </c>
      <c r="D82" s="60">
        <f>2748-35.3</f>
        <v>2712.7</v>
      </c>
      <c r="E82" s="60">
        <f t="shared" si="5"/>
        <v>0</v>
      </c>
      <c r="F82" s="30"/>
      <c r="G82" s="28"/>
      <c r="I82" s="53"/>
      <c r="J82" s="56"/>
    </row>
    <row r="83" spans="1:10" s="16" customFormat="1">
      <c r="A83" s="70"/>
      <c r="B83" s="75" t="s">
        <v>50</v>
      </c>
      <c r="C83" s="76">
        <v>194301.7</v>
      </c>
      <c r="D83" s="76">
        <f>197521.1-2881.7</f>
        <v>194639.4</v>
      </c>
      <c r="E83" s="76">
        <f t="shared" si="5"/>
        <v>337.69999999998254</v>
      </c>
      <c r="F83" s="30"/>
      <c r="G83" s="29" t="s">
        <v>97</v>
      </c>
      <c r="I83" s="53"/>
      <c r="J83" s="56"/>
    </row>
    <row r="84" spans="1:10" s="16" customFormat="1" ht="60">
      <c r="A84" s="70"/>
      <c r="B84" s="75"/>
      <c r="C84" s="76"/>
      <c r="D84" s="76"/>
      <c r="E84" s="76"/>
      <c r="F84" s="30">
        <v>282.2</v>
      </c>
      <c r="G84" s="29" t="s">
        <v>110</v>
      </c>
      <c r="I84" s="53"/>
      <c r="J84" s="56"/>
    </row>
    <row r="85" spans="1:10" s="16" customFormat="1" ht="30">
      <c r="A85" s="70"/>
      <c r="B85" s="75"/>
      <c r="C85" s="76"/>
      <c r="D85" s="76"/>
      <c r="E85" s="76"/>
      <c r="F85" s="30">
        <v>5.3</v>
      </c>
      <c r="G85" s="29" t="s">
        <v>104</v>
      </c>
      <c r="I85" s="53"/>
      <c r="J85" s="56"/>
    </row>
    <row r="86" spans="1:10" s="16" customFormat="1" ht="45">
      <c r="A86" s="70"/>
      <c r="B86" s="75"/>
      <c r="C86" s="76"/>
      <c r="D86" s="76"/>
      <c r="E86" s="76"/>
      <c r="F86" s="30">
        <v>40</v>
      </c>
      <c r="G86" s="29" t="s">
        <v>111</v>
      </c>
      <c r="I86" s="53"/>
      <c r="J86" s="56"/>
    </row>
    <row r="87" spans="1:10" s="16" customFormat="1" ht="30">
      <c r="A87" s="70"/>
      <c r="B87" s="75"/>
      <c r="C87" s="76"/>
      <c r="D87" s="76"/>
      <c r="E87" s="76"/>
      <c r="F87" s="30">
        <v>10.199999999999999</v>
      </c>
      <c r="G87" s="29" t="s">
        <v>96</v>
      </c>
      <c r="I87" s="53"/>
      <c r="J87" s="56"/>
    </row>
    <row r="88" spans="1:10" s="21" customFormat="1">
      <c r="A88" s="44"/>
      <c r="B88" s="45" t="s">
        <v>69</v>
      </c>
      <c r="C88" s="24">
        <f>SUM(C6+C14+C16+C28+C41+C44+C60+C67+C79)</f>
        <v>5734412.8000000007</v>
      </c>
      <c r="D88" s="24">
        <f>SUM(D6+D14+D16+D28+D41+D44+D60+D67+D79)</f>
        <v>5734412.8000000007</v>
      </c>
      <c r="E88" s="23">
        <f>SUM(E6+E14+E16+E28+E41+E44+E60+E67+E79)</f>
        <v>-1.8417267710901797E-10</v>
      </c>
      <c r="F88" s="46">
        <f>SUM(F6+F14+F16+F28+F41+F44+F60+F67+F79)</f>
        <v>-2.2737367544323206E-13</v>
      </c>
      <c r="G88" s="47"/>
      <c r="I88" s="53"/>
      <c r="J88" s="56"/>
    </row>
    <row r="91" spans="1:10" s="51" customFormat="1">
      <c r="A91" s="7"/>
      <c r="B91" s="49"/>
      <c r="C91" s="7"/>
      <c r="D91" s="69"/>
      <c r="E91" s="7"/>
      <c r="F91" s="50"/>
      <c r="G91" s="48"/>
      <c r="I91" s="52"/>
      <c r="J91" s="55"/>
    </row>
  </sheetData>
  <mergeCells count="51">
    <mergeCell ref="A2:G2"/>
    <mergeCell ref="A7:A12"/>
    <mergeCell ref="B7:B9"/>
    <mergeCell ref="C7:C9"/>
    <mergeCell ref="D7:D9"/>
    <mergeCell ref="E7:E9"/>
    <mergeCell ref="A29:A40"/>
    <mergeCell ref="B29:B40"/>
    <mergeCell ref="C29:C40"/>
    <mergeCell ref="D29:D40"/>
    <mergeCell ref="E29:E40"/>
    <mergeCell ref="A17:A27"/>
    <mergeCell ref="B17:B27"/>
    <mergeCell ref="C17:C27"/>
    <mergeCell ref="D17:D27"/>
    <mergeCell ref="E17:E27"/>
    <mergeCell ref="A45:A59"/>
    <mergeCell ref="B45:B48"/>
    <mergeCell ref="C45:C48"/>
    <mergeCell ref="D45:D48"/>
    <mergeCell ref="E45:E48"/>
    <mergeCell ref="B49:B53"/>
    <mergeCell ref="C49:C53"/>
    <mergeCell ref="D49:D53"/>
    <mergeCell ref="E49:E53"/>
    <mergeCell ref="B55:B56"/>
    <mergeCell ref="C55:C56"/>
    <mergeCell ref="D55:D56"/>
    <mergeCell ref="E55:E56"/>
    <mergeCell ref="B42:B43"/>
    <mergeCell ref="C42:C43"/>
    <mergeCell ref="D42:D43"/>
    <mergeCell ref="E42:E43"/>
    <mergeCell ref="B61:B66"/>
    <mergeCell ref="C61:C66"/>
    <mergeCell ref="D61:D66"/>
    <mergeCell ref="E61:E66"/>
    <mergeCell ref="A68:A78"/>
    <mergeCell ref="B68:B73"/>
    <mergeCell ref="C68:C73"/>
    <mergeCell ref="D68:D73"/>
    <mergeCell ref="E68:E73"/>
    <mergeCell ref="A80:A87"/>
    <mergeCell ref="B80:B81"/>
    <mergeCell ref="C80:C81"/>
    <mergeCell ref="D80:D81"/>
    <mergeCell ref="E80:E81"/>
    <mergeCell ref="B83:B87"/>
    <mergeCell ref="C83:C87"/>
    <mergeCell ref="D83:D87"/>
    <mergeCell ref="E83:E87"/>
  </mergeCells>
  <pageMargins left="0.70866141732283472" right="0.19685039370078741" top="0.39370078740157483" bottom="0.15748031496062992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 перемещ</vt:lpstr>
      <vt:lpstr>'Приложение 4 перемещ'!Заголовки_для_печати</vt:lpstr>
      <vt:lpstr>'Приложение 4 перемещ'!Область_печати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Julia</cp:lastModifiedBy>
  <cp:lastPrinted>2021-12-20T06:43:44Z</cp:lastPrinted>
  <dcterms:created xsi:type="dcterms:W3CDTF">2021-12-13T03:27:56Z</dcterms:created>
  <dcterms:modified xsi:type="dcterms:W3CDTF">2021-12-20T07:21:48Z</dcterms:modified>
</cp:coreProperties>
</file>