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25" windowWidth="24675" windowHeight="1107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строительство" sheetId="4" r:id="rId4"/>
  </sheets>
  <definedNames>
    <definedName name="_xlnm.Print_Titles" localSheetId="0">'Ведомственная'!$9:$10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<sst xmlns="http://schemas.openxmlformats.org/spreadsheetml/2006/main" count="7045" uniqueCount="851">
  <si>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</si>
  <si>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</si>
  <si>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</si>
  <si>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</si>
  <si>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</si>
  <si>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</si>
  <si>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</si>
  <si>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</si>
  <si>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</si>
  <si>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</si>
  <si>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</si>
  <si>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</si>
  <si>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</si>
  <si>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</si>
  <si>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</si>
  <si>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</si>
  <si>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</si>
  <si>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</si>
  <si>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</si>
  <si>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</si>
  <si>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</si>
  <si>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</si>
  <si>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</si>
  <si>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</si>
  <si>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</si>
  <si>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</si>
  <si>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</si>
  <si>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</si>
  <si>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</si>
  <si>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</si>
  <si>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</si>
  <si>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</si>
  <si>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</si>
  <si>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</si>
  <si>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</si>
  <si>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</si>
  <si>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</si>
  <si>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</si>
  <si>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</si>
  <si>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</si>
  <si>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</si>
  <si>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</si>
  <si>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</si>
  <si>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</si>
  <si>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</si>
  <si>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</si>
  <si>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</si>
  <si>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</si>
  <si>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</si>
  <si>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</si>
  <si>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</si>
  <si>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</si>
  <si>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</si>
  <si>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</si>
  <si>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</si>
  <si>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</si>
  <si>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</si>
  <si>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</si>
  <si>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</si>
  <si>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</si>
  <si>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</si>
  <si>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</si>
  <si>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</si>
  <si>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</si>
  <si>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</si>
  <si>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</si>
  <si>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</si>
  <si>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</si>
  <si>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</si>
  <si>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</si>
  <si>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</si>
  <si>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</si>
  <si>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</si>
  <si>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</si>
  <si>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</si>
  <si>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</si>
  <si>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</si>
  <si>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</si>
  <si>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</si>
  <si>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</si>
  <si>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</si>
  <si>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</si>
  <si>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</si>
  <si>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</si>
  <si>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</si>
  <si>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</si>
  <si>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</si>
  <si>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</si>
  <si>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</si>
  <si>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</si>
  <si>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</si>
  <si>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</si>
  <si>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</si>
  <si>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</si>
  <si>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</si>
  <si>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</si>
  <si>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</si>
  <si>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</si>
  <si>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</si>
  <si>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</si>
  <si>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</si>
  <si>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</si>
  <si>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</si>
  <si>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</si>
  <si>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</si>
  <si>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</si>
  <si>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</si>
  <si>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</si>
  <si>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</si>
  <si>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</si>
  <si>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</si>
  <si>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</si>
  <si>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</si>
  <si>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</si>
  <si>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</si>
  <si>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</si>
  <si>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</si>
  <si>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</si>
  <si>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</si>
  <si>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</si>
  <si>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</si>
  <si>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</si>
  <si>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</si>
  <si>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</si>
  <si>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</si>
  <si>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</si>
  <si>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</si>
  <si>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</si>
  <si>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</si>
  <si>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</si>
  <si>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</si>
  <si>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</si>
  <si>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</si>
  <si>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</si>
  <si>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</si>
  <si>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</si>
  <si>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</si>
  <si>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</si>
  <si>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</si>
  <si>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</si>
  <si>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</si>
  <si>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</si>
  <si>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</si>
  <si>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</si>
  <si>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</si>
  <si>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</si>
  <si>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</si>
  <si>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</si>
  <si>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</si>
  <si>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</si>
  <si>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</si>
  <si>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</si>
  <si>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</si>
  <si>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</si>
  <si>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</si>
  <si>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</si>
  <si>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</si>
  <si>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</si>
  <si>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</si>
  <si>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</si>
  <si>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</si>
  <si>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</si>
  <si>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</si>
  <si>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</si>
  <si>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</si>
  <si>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</si>
  <si>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</si>
  <si>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</si>
  <si>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</si>
  <si>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</si>
  <si>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</si>
  <si>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</si>
  <si>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</si>
  <si>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</si>
  <si>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</si>
  <si>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</si>
  <si>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</si>
  <si>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</si>
  <si>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</si>
  <si>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</si>
  <si>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</si>
  <si>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</si>
  <si>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</si>
  <si>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</si>
  <si>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</si>
  <si>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</si>
  <si>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</si>
  <si>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</si>
  <si>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</si>
  <si>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</si>
  <si>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</si>
  <si>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</si>
  <si>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</si>
  <si>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</si>
  <si>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</si>
  <si>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</si>
  <si>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</si>
  <si>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</si>
  <si>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</si>
  <si>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</si>
  <si>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</si>
  <si>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</si>
  <si>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</si>
  <si>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</si>
  <si>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</si>
  <si>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</si>
  <si>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</si>
  <si>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</si>
  <si>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</si>
  <si>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</si>
  <si>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</si>
  <si>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</si>
  <si>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</si>
  <si>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</si>
  <si>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</si>
  <si>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</si>
  <si>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</si>
  <si>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</si>
  <si>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</si>
  <si>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</si>
  <si>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</si>
  <si>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</si>
  <si>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</si>
  <si>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</si>
  <si>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</si>
  <si>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</si>
  <si>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</si>
  <si>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</si>
  <si>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</si>
  <si>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</si>
  <si>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</si>
  <si>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</si>
  <si>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</si>
  <si>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</si>
  <si>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</si>
  <si>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</si>
  <si>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</si>
  <si>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</si>
  <si>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</si>
  <si>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</si>
  <si>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</si>
  <si>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</si>
  <si>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</si>
  <si>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</si>
  <si>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</si>
  <si>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</si>
  <si>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</si>
  <si>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</si>
  <si>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</si>
  <si>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</si>
  <si>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</si>
  <si>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</si>
  <si>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</si>
  <si>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</si>
  <si>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</si>
  <si>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</si>
  <si>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</si>
  <si>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</si>
  <si>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</si>
  <si>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</si>
  <si>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</si>
  <si>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</si>
  <si>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</si>
  <si>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</si>
  <si>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</si>
  <si>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</si>
  <si>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</si>
  <si>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</si>
  <si>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</si>
  <si>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</si>
  <si>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</si>
  <si>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</si>
  <si>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</si>
  <si>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</si>
  <si>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</si>
  <si>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</si>
  <si>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</si>
  <si>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</si>
  <si>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</si>
  <si>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</si>
  <si>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</si>
  <si>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</si>
  <si>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</si>
  <si>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</si>
  <si>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</si>
  <si>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</si>
  <si>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</si>
  <si>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</si>
  <si>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</si>
  <si>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</si>
  <si>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</si>
  <si>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</si>
  <si>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</si>
  <si>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</si>
  <si>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</si>
  <si>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</si>
  <si>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</si>
  <si>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</si>
  <si>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</si>
  <si>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</si>
  <si>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</si>
  <si>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</si>
  <si>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</si>
  <si>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</si>
  <si>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</si>
  <si>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</si>
  <si>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</si>
  <si>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</si>
  <si>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</si>
  <si>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</si>
  <si>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</si>
  <si>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</si>
  <si>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</si>
  <si>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</si>
  <si>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</si>
  <si>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</si>
  <si>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</si>
  <si>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</si>
  <si>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</si>
  <si>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</si>
  <si>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</si>
  <si>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</si>
  <si>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</si>
  <si>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</si>
  <si>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</si>
  <si>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</si>
  <si>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</si>
  <si>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</si>
  <si>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</si>
  <si>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</si>
  <si>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</si>
  <si>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</si>
  <si>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</si>
  <si>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</si>
  <si>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</si>
  <si>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</si>
  <si>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</si>
  <si>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</si>
  <si>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</si>
  <si>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</si>
  <si>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</si>
  <si>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</si>
  <si>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</si>
  <si>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</si>
  <si>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</si>
  <si>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</si>
  <si>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</si>
  <si>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</si>
  <si>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</si>
  <si>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</si>
  <si>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</si>
  <si>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</si>
  <si>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</si>
  <si>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</si>
  <si>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</si>
  <si>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</si>
  <si>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</si>
  <si>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</si>
  <si>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</si>
  <si>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</si>
  <si>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</si>
  <si>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</si>
  <si>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</si>
  <si>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</si>
  <si>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</si>
  <si>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</si>
  <si>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</si>
  <si>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</si>
  <si>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</si>
  <si>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</si>
  <si>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</si>
  <si>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</si>
  <si>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</si>
  <si>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</si>
  <si>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</si>
  <si>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</si>
  <si>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</si>
  <si>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</si>
  <si>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</si>
  <si>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</si>
  <si>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</si>
  <si>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</si>
  <si>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</si>
  <si>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</si>
  <si>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</si>
  <si>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</si>
  <si>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</si>
  <si>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</si>
  <si>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</si>
  <si>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</si>
  <si>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</si>
  <si>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</si>
  <si>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</si>
  <si>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</si>
  <si>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</si>
  <si>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</si>
  <si>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</si>
  <si>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</si>
  <si>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</si>
  <si>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</si>
  <si>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</si>
  <si>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</si>
  <si>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</si>
  <si>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</si>
  <si>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</si>
  <si>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</si>
  <si>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</si>
  <si>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</si>
  <si>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</si>
  <si>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</si>
  <si>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</si>
  <si>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</si>
  <si>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</si>
  <si>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</si>
  <si>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</si>
  <si>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</si>
  <si>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</si>
  <si>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</si>
  <si>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</si>
  <si>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</si>
  <si>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</si>
  <si>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</si>
  <si>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</si>
  <si>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</si>
  <si>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</si>
  <si>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</si>
  <si>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</si>
  <si>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</si>
  <si>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</si>
  <si>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</si>
  <si>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</si>
  <si>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</si>
  <si>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</si>
  <si>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</si>
  <si>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</si>
  <si>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</si>
  <si>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</si>
  <si>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</si>
  <si>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</si>
  <si>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</si>
  <si>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</si>
  <si>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</si>
  <si>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</si>
  <si>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</si>
  <si>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</si>
  <si>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</si>
  <si>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</si>
  <si>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</si>
  <si>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</si>
  <si>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</si>
  <si>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</si>
  <si>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</si>
  <si>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</si>
  <si>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</si>
  <si>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</si>
  <si>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</si>
  <si>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</si>
  <si>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</si>
  <si>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</si>
  <si>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</si>
  <si>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</si>
  <si>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</si>
  <si>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</si>
  <si>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</si>
  <si>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</si>
  <si>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</si>
  <si>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</si>
  <si>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</si>
  <si>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</si>
  <si>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</si>
  <si>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</si>
  <si>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</si>
  <si>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</si>
  <si>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</si>
  <si>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</si>
  <si>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</si>
  <si>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</si>
  <si>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</si>
  <si>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</si>
  <si>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</si>
  <si>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</si>
  <si>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</si>
  <si>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</si>
  <si>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</si>
  <si>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</si>
  <si>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</si>
  <si>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</si>
  <si>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</si>
  <si>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</si>
  <si>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</si>
  <si>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</si>
  <si>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</si>
  <si>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</si>
  <si>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</si>
  <si>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</si>
  <si>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</si>
  <si>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</si>
  <si>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</si>
  <si>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</si>
  <si>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</si>
  <si>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</si>
  <si>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</si>
  <si>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</si>
  <si>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</si>
  <si>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</si>
  <si>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</si>
  <si>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</si>
  <si>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</si>
  <si>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</si>
  <si>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</si>
  <si>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</si>
  <si>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</si>
  <si>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</si>
  <si>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</si>
  <si>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</si>
  <si>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</si>
  <si>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</si>
  <si>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</si>
  <si>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</si>
  <si>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</si>
  <si>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</si>
  <si>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</si>
  <si>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</si>
  <si>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</si>
  <si>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</si>
  <si>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Сумма на 2017 год,                 тыс. рублей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</si>
  <si>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</si>
  <si>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</si>
  <si>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</si>
  <si>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</si>
  <si>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</si>
  <si>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</si>
  <si>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</si>
  <si>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</si>
  <si>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</si>
  <si>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</si>
  <si>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</si>
  <si>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</si>
  <si>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</si>
  <si>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</si>
  <si>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</si>
  <si>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</si>
  <si>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</si>
  <si>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</si>
  <si>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</si>
  <si>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</si>
  <si>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</si>
  <si>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</si>
  <si>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</si>
  <si>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</si>
  <si>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</si>
  <si>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</si>
  <si>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</si>
  <si>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</si>
  <si>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</si>
  <si>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</si>
  <si>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</si>
  <si>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</si>
  <si>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</si>
  <si>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</si>
  <si>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</si>
  <si>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</si>
  <si>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</si>
  <si>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</si>
  <si>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</si>
  <si>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</si>
  <si>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</si>
  <si>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</si>
  <si>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</si>
  <si>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</si>
  <si>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</si>
  <si>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</si>
  <si>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</si>
  <si>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</si>
  <si>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</si>
  <si>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</si>
  <si>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</si>
  <si>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</si>
  <si>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</si>
  <si>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</si>
  <si>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</si>
  <si>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</si>
  <si>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</si>
  <si>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</si>
  <si>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</si>
  <si>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</si>
  <si>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</si>
  <si>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</si>
  <si>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</si>
  <si>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</si>
  <si>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</si>
  <si>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</si>
  <si>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</si>
  <si>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</si>
  <si>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</si>
  <si>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</si>
  <si>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</si>
  <si>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</si>
  <si>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</si>
  <si>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</si>
  <si>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</si>
  <si>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</si>
  <si>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</si>
  <si>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</si>
  <si>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</si>
  <si>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</si>
  <si>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</si>
  <si>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</si>
  <si>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</si>
  <si>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</si>
  <si>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</si>
  <si>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</si>
  <si>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</si>
  <si>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</si>
  <si>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</si>
  <si>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</si>
  <si>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</si>
  <si>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</si>
  <si>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</si>
  <si>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</si>
  <si>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</si>
  <si>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</si>
  <si>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</si>
  <si>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</si>
  <si>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</si>
  <si>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</si>
  <si>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</si>
  <si>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</si>
  <si>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</si>
  <si>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</si>
  <si>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</si>
  <si>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</si>
  <si>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</si>
  <si>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</si>
  <si>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</si>
  <si>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</si>
  <si>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</si>
  <si>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</si>
  <si>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</si>
  <si>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</si>
  <si>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</si>
  <si>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</si>
  <si>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</si>
  <si>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</si>
  <si>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</si>
  <si>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</si>
  <si>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</si>
  <si>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</si>
  <si>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</si>
  <si>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</si>
  <si>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</si>
  <si>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</si>
  <si>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</si>
  <si>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</si>
  <si>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</si>
  <si>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</si>
  <si>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</si>
  <si>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</si>
  <si>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</si>
  <si>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</si>
  <si>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</si>
  <si>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</si>
  <si>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</si>
  <si>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</si>
  <si>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</si>
  <si>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</si>
  <si>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</si>
  <si>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</si>
  <si>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</si>
  <si>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</si>
  <si>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</si>
  <si>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</si>
  <si>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</si>
  <si>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</si>
  <si>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</si>
  <si>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</si>
  <si>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</si>
  <si>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</si>
  <si>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</si>
  <si>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</si>
  <si>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</si>
  <si>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</si>
  <si>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</si>
  <si>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</si>
  <si>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S1000</t>
  </si>
  <si>
    <t>Развитие базовых олимпийских видов спорта для подготовки резерва спортивных команд Челябинской области и России"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</si>
  <si>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</si>
  <si>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</si>
  <si>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80 4 24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</si>
  <si>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</si>
  <si>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</si>
  <si>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</si>
  <si>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</si>
  <si>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</si>
  <si>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</si>
  <si>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</si>
  <si>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</si>
  <si>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</si>
  <si>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</si>
  <si>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</si>
  <si>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</si>
  <si>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</si>
  <si>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</si>
  <si>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</si>
  <si>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</si>
  <si>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</si>
  <si>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</si>
  <si>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2017-2019 годы"</t>
  </si>
  <si>
    <t>88 0 00 00000</t>
  </si>
  <si>
    <t>88 0 07 00000</t>
  </si>
  <si>
    <t>88 0 07 85050</t>
  </si>
  <si>
    <t>88 0 07 85053</t>
  </si>
  <si>
    <t>79 0 20 40000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</si>
  <si>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</si>
  <si>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</si>
  <si>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</si>
  <si>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</si>
  <si>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</si>
  <si>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</si>
  <si>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</si>
  <si>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</si>
  <si>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</si>
  <si>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</si>
  <si>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</si>
  <si>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(тыс.руб.)</t>
  </si>
  <si>
    <t>Наименование объектов</t>
  </si>
  <si>
    <t>Сумма              на 2017 год</t>
  </si>
  <si>
    <t>Сумма              на 2018 год</t>
  </si>
  <si>
    <t>Сумма              на 2019 год</t>
  </si>
  <si>
    <t>Подпрограмма: переселение граждан из аварийного жилищного фонда МГО на 2017-2019 годы</t>
  </si>
  <si>
    <t>Снос аварийного жилищного фонда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</si>
  <si>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</si>
  <si>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</si>
  <si>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</si>
  <si>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</si>
  <si>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</si>
  <si>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</si>
  <si>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</si>
  <si>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</si>
  <si>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</si>
  <si>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Реконструкция ГТС Миасского городского пруда</t>
  </si>
  <si>
    <t>Электроснабжение п.Тыелга</t>
  </si>
  <si>
    <t>Реконструкция трибун стадиона "Труд" в г. Миассе Челябинской области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</si>
  <si>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</si>
  <si>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</si>
  <si>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Автодорога в мкр.№3 от перекрестка ул. 8 Июля-бульвар Мира</t>
  </si>
  <si>
    <t>Дорога к ГБ№2</t>
  </si>
  <si>
    <t>Ливневка в районе ул. Попова</t>
  </si>
  <si>
    <t>Итого</t>
  </si>
  <si>
    <t>Челябинская обл., г. Миасс, проспект Октября, 25территория МБОУ "СОШ №18". Устройство спортивной площадки с искусственным покрытием</t>
  </si>
  <si>
    <t>Мероприятия в рамках государственной программы "Развитие физической культуры и спорта в Челябинской области на 2015-2019 годы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</si>
  <si>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</si>
  <si>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</si>
  <si>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</si>
  <si>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</si>
  <si>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</si>
  <si>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</si>
  <si>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</si>
  <si>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</si>
  <si>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</si>
  <si>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</si>
  <si>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</si>
  <si>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</si>
  <si>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</si>
  <si>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</si>
  <si>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Подпрограмма "Развитие системы подготовки спортивного резерва"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</si>
  <si>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</si>
  <si>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</si>
  <si>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</si>
  <si>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</si>
  <si>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</si>
  <si>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</si>
  <si>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</si>
  <si>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</si>
  <si>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</si>
  <si>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</si>
  <si>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</si>
  <si>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</si>
  <si>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</si>
  <si>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</si>
  <si>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</si>
  <si>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</si>
  <si>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Приобретение комплектов искусственных покрытий для футбольных полей</t>
  </si>
  <si>
    <t>20 1 01 R4951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</si>
  <si>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</si>
  <si>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</si>
  <si>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</si>
  <si>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</si>
  <si>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</si>
  <si>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</si>
  <si>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</si>
  <si>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</si>
  <si>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</si>
  <si>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</si>
  <si>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</si>
  <si>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</si>
  <si>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</si>
  <si>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</si>
  <si>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</si>
  <si>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</si>
  <si>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</si>
  <si>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</si>
  <si>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</si>
  <si>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</si>
  <si>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</si>
  <si>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</si>
  <si>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</si>
  <si>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</si>
  <si>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</si>
  <si>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</si>
  <si>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</si>
  <si>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81 1 07 80000</t>
  </si>
  <si>
    <t>81 1 07 85000</t>
  </si>
  <si>
    <t>81 1 07 85054</t>
  </si>
  <si>
    <t>Приложение   7</t>
  </si>
  <si>
    <t>80 3 20 00000</t>
  </si>
  <si>
    <t>80 3 23 00000</t>
  </si>
  <si>
    <t>80 3 23 90000</t>
  </si>
  <si>
    <t>Государственная программа Челябинской области "Развитие культуры и туризма в Челябинской области на 2015-2017г."</t>
  </si>
  <si>
    <t>Подпрограмма "Сохранение и развитие культурно-досуговой сферы на 2015-2017г."</t>
  </si>
  <si>
    <t>Комплектование книжных фондов библиотек муниципальных образований и государственных библиотек городов Москвы и Санк-Петербурга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</si>
  <si>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</si>
  <si>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</si>
  <si>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</si>
  <si>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</si>
  <si>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</si>
  <si>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</si>
  <si>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</si>
  <si>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</si>
  <si>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</si>
  <si>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</si>
  <si>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</si>
  <si>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</si>
  <si>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</si>
  <si>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</si>
  <si>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Строительство сетей теплоснабжения ж/д №1,2,3,4 на пл.Революции</t>
  </si>
  <si>
    <t xml:space="preserve">от                        № </t>
  </si>
  <si>
    <t>от                         №</t>
  </si>
  <si>
    <t xml:space="preserve">от                    №  </t>
  </si>
  <si>
    <t xml:space="preserve">от                              № 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</si>
  <si>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</si>
  <si>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</si>
  <si>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</si>
  <si>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</si>
  <si>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</si>
  <si>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</si>
  <si>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</si>
  <si>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Наружная газораспределительная сеть (правобережная) с. Сыростан Миасского городского округа Челябинской области</t>
  </si>
  <si>
    <t>Приложение  1</t>
  </si>
  <si>
    <t>Приложение 3</t>
  </si>
  <si>
    <t>Приложение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</si>
</sst>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4" fillId="0" borderId="11" xfId="0" applyNumberFormat="1" applyFont="1" applyFill="1" applyBorder="1" applyAlignment="1" applyProtection="1">
      <alignment horizontal="justify" vertical="center" wrapText="1"/>
      <protection/>
    </xf>
    <xf numFmtId="49" fontId="49" fillId="0" borderId="11" xfId="0" applyNumberFormat="1" applyFont="1" applyBorder="1" applyAlignment="1">
      <alignment horizontal="justify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172" fontId="5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justify" vertical="center" wrapText="1"/>
    </xf>
    <xf numFmtId="172" fontId="49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justify" vertical="center" wrapText="1"/>
    </xf>
    <xf numFmtId="172" fontId="51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justify" vertical="center" wrapText="1"/>
    </xf>
    <xf numFmtId="172" fontId="52" fillId="33" borderId="11" xfId="0" applyNumberFormat="1" applyFont="1" applyFill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49" fontId="53" fillId="0" borderId="11" xfId="52" applyNumberFormat="1" applyFont="1" applyBorder="1" applyAlignment="1">
      <alignment horizontal="justify" vertical="center" wrapText="1"/>
      <protection/>
    </xf>
    <xf numFmtId="49" fontId="53" fillId="0" borderId="11" xfId="52" applyNumberFormat="1" applyFont="1" applyBorder="1" applyAlignment="1">
      <alignment horizontal="center" vertical="center" wrapText="1"/>
      <protection/>
    </xf>
    <xf numFmtId="172" fontId="53" fillId="0" borderId="11" xfId="52" applyNumberFormat="1" applyFont="1" applyBorder="1" applyAlignment="1">
      <alignment horizontal="center" vertical="center"/>
      <protection/>
    </xf>
    <xf numFmtId="172" fontId="54" fillId="0" borderId="11" xfId="52" applyNumberFormat="1" applyFont="1" applyBorder="1" applyAlignment="1">
      <alignment horizontal="center" vertical="center"/>
      <protection/>
    </xf>
    <xf numFmtId="172" fontId="52" fillId="0" borderId="0" xfId="0" applyNumberFormat="1" applyFont="1" applyAlignment="1">
      <alignment/>
    </xf>
    <xf numFmtId="49" fontId="54" fillId="0" borderId="11" xfId="52" applyNumberFormat="1" applyFont="1" applyBorder="1" applyAlignment="1">
      <alignment horizontal="justify" vertical="center" wrapText="1"/>
      <protection/>
    </xf>
    <xf numFmtId="49" fontId="54" fillId="0" borderId="11" xfId="52" applyNumberFormat="1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vertical="center"/>
    </xf>
    <xf numFmtId="172" fontId="55" fillId="0" borderId="11" xfId="0" applyNumberFormat="1" applyFont="1" applyBorder="1" applyAlignment="1">
      <alignment horizontal="center" vertical="center"/>
    </xf>
    <xf numFmtId="172" fontId="52" fillId="0" borderId="11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justify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justify" vertical="center" wrapText="1"/>
    </xf>
    <xf numFmtId="0" fontId="52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49" fontId="51" fillId="0" borderId="11" xfId="0" applyNumberFormat="1" applyFont="1" applyBorder="1" applyAlignment="1">
      <alignment horizontal="center" vertical="center"/>
    </xf>
    <xf numFmtId="172" fontId="51" fillId="0" borderId="11" xfId="0" applyNumberFormat="1" applyFont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172" fontId="51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4" fillId="33" borderId="11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wrapText="1"/>
    </xf>
    <xf numFmtId="49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justify"/>
    </xf>
    <xf numFmtId="0" fontId="52" fillId="33" borderId="0" xfId="0" applyFont="1" applyFill="1" applyAlignment="1">
      <alignment horizontal="justify" vertical="center" wrapText="1"/>
    </xf>
    <xf numFmtId="0" fontId="51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8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/>
    </xf>
    <xf numFmtId="172" fontId="6" fillId="33" borderId="11" xfId="61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/>
    </xf>
    <xf numFmtId="0" fontId="54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/>
    </xf>
    <xf numFmtId="0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 horizontal="justify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2" fontId="49" fillId="33" borderId="11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72" fontId="52" fillId="0" borderId="0" xfId="0" applyNumberFormat="1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172" fontId="55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172" fontId="52" fillId="34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justify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justify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4"/>
  <sheetViews>
    <sheetView zoomScalePageLayoutView="0" workbookViewId="0" topLeftCell="B1077">
      <selection activeCell="G1093" sqref="G1093"/>
    </sheetView>
  </sheetViews>
  <sheetFormatPr defaultColWidth="9.140625" defaultRowHeight="15"/>
  <cols>
    <col min="1" max="1" width="81.7109375" style="106" customWidth="1"/>
    <col min="2" max="2" width="9.140625" style="103" customWidth="1"/>
    <col min="3" max="3" width="9.00390625" style="104" customWidth="1"/>
    <col min="4" max="4" width="8.421875" style="104" customWidth="1"/>
    <col min="5" max="5" width="19.140625" style="104" customWidth="1"/>
    <col min="6" max="6" width="12.00390625" style="104" customWidth="1"/>
    <col min="7" max="7" width="20.7109375" style="139" customWidth="1"/>
    <col min="8" max="16384" width="9.140625" style="104" customWidth="1"/>
  </cols>
  <sheetData>
    <row r="1" spans="1:6" ht="15.75">
      <c r="A1" s="102"/>
      <c r="F1" s="43" t="s">
        <v>849</v>
      </c>
    </row>
    <row r="2" spans="1:6" ht="15.75">
      <c r="A2" s="105"/>
      <c r="F2" s="44" t="s">
        <v>0</v>
      </c>
    </row>
    <row r="3" ht="15.75">
      <c r="F3" s="44" t="s">
        <v>1</v>
      </c>
    </row>
    <row r="4" ht="15.75">
      <c r="F4" s="44" t="s">
        <v>2</v>
      </c>
    </row>
    <row r="5" spans="1:6" ht="15.75">
      <c r="A5" s="107"/>
      <c r="B5" s="108" t="s">
        <v>3</v>
      </c>
      <c r="C5" s="109"/>
      <c r="D5" s="109"/>
      <c r="E5" s="109"/>
      <c r="F5" s="45" t="s">
        <v>836</v>
      </c>
    </row>
    <row r="6" spans="1:7" ht="15.75">
      <c r="A6" s="107"/>
      <c r="B6" s="108" t="s">
        <v>4</v>
      </c>
      <c r="C6" s="109"/>
      <c r="D6" s="109"/>
      <c r="E6" s="109"/>
      <c r="F6" s="109"/>
      <c r="G6" s="109"/>
    </row>
    <row r="7" spans="1:7" ht="15.75">
      <c r="A7" s="107"/>
      <c r="B7" s="108" t="s">
        <v>5</v>
      </c>
      <c r="C7" s="109"/>
      <c r="D7" s="109"/>
      <c r="E7" s="109"/>
      <c r="F7" s="109"/>
      <c r="G7" s="109"/>
    </row>
    <row r="8" spans="1:7" ht="15.75">
      <c r="A8" s="107"/>
      <c r="B8" s="110"/>
      <c r="C8" s="111"/>
      <c r="D8" s="111"/>
      <c r="E8" s="111"/>
      <c r="F8" s="111"/>
      <c r="G8" s="109"/>
    </row>
    <row r="9" spans="1:7" ht="15.75">
      <c r="A9" s="188" t="s">
        <v>6</v>
      </c>
      <c r="B9" s="189" t="s">
        <v>7</v>
      </c>
      <c r="C9" s="189"/>
      <c r="D9" s="189"/>
      <c r="E9" s="189"/>
      <c r="F9" s="189"/>
      <c r="G9" s="49" t="s">
        <v>8</v>
      </c>
    </row>
    <row r="10" spans="1:7" ht="47.25">
      <c r="A10" s="188"/>
      <c r="B10" s="77" t="s">
        <v>9</v>
      </c>
      <c r="C10" s="83" t="s">
        <v>10</v>
      </c>
      <c r="D10" s="83" t="s">
        <v>11</v>
      </c>
      <c r="E10" s="83" t="s">
        <v>12</v>
      </c>
      <c r="F10" s="83" t="s">
        <v>179</v>
      </c>
      <c r="G10" s="83" t="s">
        <v>13</v>
      </c>
    </row>
    <row r="11" spans="1:7" s="117" customFormat="1" ht="15.75">
      <c r="A11" s="114" t="s">
        <v>95</v>
      </c>
      <c r="B11" s="93" t="s">
        <v>96</v>
      </c>
      <c r="C11" s="115"/>
      <c r="D11" s="115"/>
      <c r="E11" s="115"/>
      <c r="F11" s="115"/>
      <c r="G11" s="116">
        <f>SUM(G12)+G32</f>
        <v>22541.7</v>
      </c>
    </row>
    <row r="12" spans="1:7" ht="15.75">
      <c r="A12" s="48" t="s">
        <v>97</v>
      </c>
      <c r="B12" s="77"/>
      <c r="C12" s="77" t="s">
        <v>38</v>
      </c>
      <c r="D12" s="77"/>
      <c r="E12" s="77"/>
      <c r="F12" s="77"/>
      <c r="G12" s="61">
        <f>SUM(G13+G21)</f>
        <v>22511.7</v>
      </c>
    </row>
    <row r="13" spans="1:7" ht="31.5">
      <c r="A13" s="48" t="s">
        <v>98</v>
      </c>
      <c r="B13" s="77"/>
      <c r="C13" s="77" t="s">
        <v>38</v>
      </c>
      <c r="D13" s="77" t="s">
        <v>58</v>
      </c>
      <c r="E13" s="77"/>
      <c r="F13" s="77"/>
      <c r="G13" s="61">
        <f>SUM(G15)</f>
        <v>16292.1</v>
      </c>
    </row>
    <row r="14" spans="1:7" ht="15.75">
      <c r="A14" s="118" t="s">
        <v>216</v>
      </c>
      <c r="B14" s="77"/>
      <c r="C14" s="77" t="s">
        <v>38</v>
      </c>
      <c r="D14" s="77" t="s">
        <v>58</v>
      </c>
      <c r="E14" s="77" t="s">
        <v>217</v>
      </c>
      <c r="F14" s="77"/>
      <c r="G14" s="61">
        <f>SUM(G15)</f>
        <v>16292.1</v>
      </c>
    </row>
    <row r="15" spans="1:7" ht="31.5">
      <c r="A15" s="48" t="s">
        <v>84</v>
      </c>
      <c r="B15" s="77"/>
      <c r="C15" s="77" t="s">
        <v>38</v>
      </c>
      <c r="D15" s="77" t="s">
        <v>58</v>
      </c>
      <c r="E15" s="77" t="s">
        <v>114</v>
      </c>
      <c r="F15" s="77"/>
      <c r="G15" s="61">
        <f>SUM(G16+G19)</f>
        <v>16292.1</v>
      </c>
    </row>
    <row r="16" spans="1:7" ht="15.75">
      <c r="A16" s="48" t="s">
        <v>86</v>
      </c>
      <c r="B16" s="77"/>
      <c r="C16" s="77" t="s">
        <v>38</v>
      </c>
      <c r="D16" s="77" t="s">
        <v>58</v>
      </c>
      <c r="E16" s="77" t="s">
        <v>115</v>
      </c>
      <c r="F16" s="77"/>
      <c r="G16" s="61">
        <f>SUM(G17+G18)</f>
        <v>14720.2</v>
      </c>
    </row>
    <row r="17" spans="1:7" ht="47.25">
      <c r="A17" s="67" t="s">
        <v>55</v>
      </c>
      <c r="B17" s="77"/>
      <c r="C17" s="77" t="s">
        <v>38</v>
      </c>
      <c r="D17" s="77" t="s">
        <v>58</v>
      </c>
      <c r="E17" s="77" t="s">
        <v>115</v>
      </c>
      <c r="F17" s="77" t="s">
        <v>99</v>
      </c>
      <c r="G17" s="61">
        <f>12301+1560+904.2-55</f>
        <v>14710.2</v>
      </c>
    </row>
    <row r="18" spans="1:7" ht="31.5">
      <c r="A18" s="48" t="s">
        <v>56</v>
      </c>
      <c r="B18" s="77"/>
      <c r="C18" s="77" t="s">
        <v>38</v>
      </c>
      <c r="D18" s="77" t="s">
        <v>58</v>
      </c>
      <c r="E18" s="77" t="s">
        <v>115</v>
      </c>
      <c r="F18" s="77" t="s">
        <v>101</v>
      </c>
      <c r="G18" s="51">
        <v>10</v>
      </c>
    </row>
    <row r="19" spans="1:7" ht="15.75">
      <c r="A19" s="48" t="s">
        <v>102</v>
      </c>
      <c r="B19" s="77"/>
      <c r="C19" s="77" t="s">
        <v>38</v>
      </c>
      <c r="D19" s="77" t="s">
        <v>58</v>
      </c>
      <c r="E19" s="77" t="s">
        <v>116</v>
      </c>
      <c r="F19" s="77"/>
      <c r="G19" s="61">
        <f>SUM(G20)</f>
        <v>1571.9</v>
      </c>
    </row>
    <row r="20" spans="1:7" ht="47.25">
      <c r="A20" s="67" t="s">
        <v>55</v>
      </c>
      <c r="B20" s="77"/>
      <c r="C20" s="77" t="s">
        <v>38</v>
      </c>
      <c r="D20" s="77" t="s">
        <v>58</v>
      </c>
      <c r="E20" s="77" t="s">
        <v>116</v>
      </c>
      <c r="F20" s="77" t="s">
        <v>99</v>
      </c>
      <c r="G20" s="61">
        <f>1429+142.9</f>
        <v>1571.9</v>
      </c>
    </row>
    <row r="21" spans="1:7" ht="15.75">
      <c r="A21" s="48" t="s">
        <v>103</v>
      </c>
      <c r="B21" s="77"/>
      <c r="C21" s="77" t="s">
        <v>38</v>
      </c>
      <c r="D21" s="77" t="s">
        <v>104</v>
      </c>
      <c r="E21" s="77"/>
      <c r="F21" s="77"/>
      <c r="G21" s="61">
        <f>SUM(G22)</f>
        <v>6219.6</v>
      </c>
    </row>
    <row r="22" spans="1:7" ht="31.5">
      <c r="A22" s="48" t="s">
        <v>84</v>
      </c>
      <c r="B22" s="77"/>
      <c r="C22" s="77" t="s">
        <v>38</v>
      </c>
      <c r="D22" s="77" t="s">
        <v>104</v>
      </c>
      <c r="E22" s="77" t="s">
        <v>114</v>
      </c>
      <c r="F22" s="77"/>
      <c r="G22" s="61">
        <f>SUM(G23+G26+G28)</f>
        <v>6219.6</v>
      </c>
    </row>
    <row r="23" spans="1:7" ht="15.75">
      <c r="A23" s="48" t="s">
        <v>105</v>
      </c>
      <c r="B23" s="77"/>
      <c r="C23" s="77" t="s">
        <v>38</v>
      </c>
      <c r="D23" s="77" t="s">
        <v>104</v>
      </c>
      <c r="E23" s="77" t="s">
        <v>117</v>
      </c>
      <c r="F23" s="77"/>
      <c r="G23" s="51">
        <f>SUM(G24:G25)</f>
        <v>565.4</v>
      </c>
    </row>
    <row r="24" spans="1:7" ht="31.5">
      <c r="A24" s="48" t="s">
        <v>56</v>
      </c>
      <c r="B24" s="77"/>
      <c r="C24" s="77" t="s">
        <v>38</v>
      </c>
      <c r="D24" s="77" t="s">
        <v>104</v>
      </c>
      <c r="E24" s="77" t="s">
        <v>117</v>
      </c>
      <c r="F24" s="77" t="s">
        <v>101</v>
      </c>
      <c r="G24" s="51">
        <f>571.2-27.6-22.2</f>
        <v>521.4</v>
      </c>
    </row>
    <row r="25" spans="1:7" ht="15.75">
      <c r="A25" s="48" t="s">
        <v>26</v>
      </c>
      <c r="B25" s="77"/>
      <c r="C25" s="77" t="s">
        <v>38</v>
      </c>
      <c r="D25" s="77" t="s">
        <v>104</v>
      </c>
      <c r="E25" s="77" t="s">
        <v>117</v>
      </c>
      <c r="F25" s="77" t="s">
        <v>106</v>
      </c>
      <c r="G25" s="51">
        <v>44</v>
      </c>
    </row>
    <row r="26" spans="1:7" ht="31.5">
      <c r="A26" s="48" t="s">
        <v>107</v>
      </c>
      <c r="B26" s="77"/>
      <c r="C26" s="77" t="s">
        <v>38</v>
      </c>
      <c r="D26" s="77" t="s">
        <v>104</v>
      </c>
      <c r="E26" s="77" t="s">
        <v>118</v>
      </c>
      <c r="F26" s="77"/>
      <c r="G26" s="51">
        <f>SUM(G27)</f>
        <v>410</v>
      </c>
    </row>
    <row r="27" spans="1:7" ht="31.5">
      <c r="A27" s="48" t="s">
        <v>56</v>
      </c>
      <c r="B27" s="77"/>
      <c r="C27" s="77" t="s">
        <v>38</v>
      </c>
      <c r="D27" s="77" t="s">
        <v>104</v>
      </c>
      <c r="E27" s="77" t="s">
        <v>118</v>
      </c>
      <c r="F27" s="77" t="s">
        <v>101</v>
      </c>
      <c r="G27" s="51">
        <v>410</v>
      </c>
    </row>
    <row r="28" spans="1:7" ht="31.5">
      <c r="A28" s="118" t="s">
        <v>108</v>
      </c>
      <c r="B28" s="77"/>
      <c r="C28" s="77" t="s">
        <v>38</v>
      </c>
      <c r="D28" s="77" t="s">
        <v>104</v>
      </c>
      <c r="E28" s="77" t="s">
        <v>119</v>
      </c>
      <c r="F28" s="77"/>
      <c r="G28" s="61">
        <f>SUM(G29:G31)</f>
        <v>5244.200000000001</v>
      </c>
    </row>
    <row r="29" spans="1:7" ht="31.5">
      <c r="A29" s="48" t="s">
        <v>56</v>
      </c>
      <c r="B29" s="77"/>
      <c r="C29" s="77" t="s">
        <v>38</v>
      </c>
      <c r="D29" s="77" t="s">
        <v>104</v>
      </c>
      <c r="E29" s="77" t="s">
        <v>119</v>
      </c>
      <c r="F29" s="77" t="s">
        <v>101</v>
      </c>
      <c r="G29" s="61">
        <f>5935.8-1560+27.6+22.2+150</f>
        <v>4575.6</v>
      </c>
    </row>
    <row r="30" spans="1:7" ht="15.75">
      <c r="A30" s="48" t="s">
        <v>46</v>
      </c>
      <c r="B30" s="77"/>
      <c r="C30" s="77" t="s">
        <v>38</v>
      </c>
      <c r="D30" s="77" t="s">
        <v>104</v>
      </c>
      <c r="E30" s="77" t="s">
        <v>119</v>
      </c>
      <c r="F30" s="77" t="s">
        <v>109</v>
      </c>
      <c r="G30" s="61">
        <v>667</v>
      </c>
    </row>
    <row r="31" spans="1:7" ht="15.75">
      <c r="A31" s="48" t="s">
        <v>26</v>
      </c>
      <c r="B31" s="77"/>
      <c r="C31" s="77" t="s">
        <v>38</v>
      </c>
      <c r="D31" s="77" t="s">
        <v>104</v>
      </c>
      <c r="E31" s="77" t="s">
        <v>119</v>
      </c>
      <c r="F31" s="77" t="s">
        <v>106</v>
      </c>
      <c r="G31" s="61">
        <v>1.6</v>
      </c>
    </row>
    <row r="32" spans="1:7" ht="15.75">
      <c r="A32" s="174" t="s">
        <v>34</v>
      </c>
      <c r="B32" s="83"/>
      <c r="C32" s="175" t="s">
        <v>35</v>
      </c>
      <c r="D32" s="175"/>
      <c r="E32" s="49"/>
      <c r="F32" s="49"/>
      <c r="G32" s="61">
        <f aca="true" t="shared" si="0" ref="G32:G38">SUM(G33)</f>
        <v>30</v>
      </c>
    </row>
    <row r="33" spans="1:7" ht="15.75">
      <c r="A33" s="174" t="s">
        <v>57</v>
      </c>
      <c r="B33" s="83"/>
      <c r="C33" s="175" t="s">
        <v>35</v>
      </c>
      <c r="D33" s="175" t="s">
        <v>58</v>
      </c>
      <c r="E33" s="77"/>
      <c r="F33" s="49"/>
      <c r="G33" s="61">
        <f t="shared" si="0"/>
        <v>30</v>
      </c>
    </row>
    <row r="34" spans="1:7" ht="31.5">
      <c r="A34" s="174" t="s">
        <v>88</v>
      </c>
      <c r="B34" s="77"/>
      <c r="C34" s="175" t="s">
        <v>35</v>
      </c>
      <c r="D34" s="175" t="s">
        <v>58</v>
      </c>
      <c r="E34" s="77" t="s">
        <v>20</v>
      </c>
      <c r="F34" s="77"/>
      <c r="G34" s="61">
        <f t="shared" si="0"/>
        <v>30</v>
      </c>
    </row>
    <row r="35" spans="1:7" ht="33.75" customHeight="1">
      <c r="A35" s="174" t="s">
        <v>89</v>
      </c>
      <c r="B35" s="77"/>
      <c r="C35" s="175" t="s">
        <v>35</v>
      </c>
      <c r="D35" s="175" t="s">
        <v>58</v>
      </c>
      <c r="E35" s="77" t="s">
        <v>21</v>
      </c>
      <c r="F35" s="77"/>
      <c r="G35" s="61">
        <f t="shared" si="0"/>
        <v>30</v>
      </c>
    </row>
    <row r="36" spans="1:7" ht="15.75">
      <c r="A36" s="174" t="s">
        <v>39</v>
      </c>
      <c r="B36" s="77"/>
      <c r="C36" s="175" t="s">
        <v>35</v>
      </c>
      <c r="D36" s="175" t="s">
        <v>58</v>
      </c>
      <c r="E36" s="77" t="s">
        <v>40</v>
      </c>
      <c r="F36" s="77"/>
      <c r="G36" s="61">
        <f t="shared" si="0"/>
        <v>30</v>
      </c>
    </row>
    <row r="37" spans="1:7" ht="15.75">
      <c r="A37" s="174" t="s">
        <v>41</v>
      </c>
      <c r="B37" s="77"/>
      <c r="C37" s="175" t="s">
        <v>35</v>
      </c>
      <c r="D37" s="175" t="s">
        <v>58</v>
      </c>
      <c r="E37" s="77" t="s">
        <v>811</v>
      </c>
      <c r="F37" s="77"/>
      <c r="G37" s="61">
        <f t="shared" si="0"/>
        <v>30</v>
      </c>
    </row>
    <row r="38" spans="1:7" ht="15.75">
      <c r="A38" s="174" t="s">
        <v>59</v>
      </c>
      <c r="B38" s="77"/>
      <c r="C38" s="175" t="s">
        <v>35</v>
      </c>
      <c r="D38" s="175" t="s">
        <v>58</v>
      </c>
      <c r="E38" s="77" t="s">
        <v>812</v>
      </c>
      <c r="F38" s="77"/>
      <c r="G38" s="61">
        <f t="shared" si="0"/>
        <v>30</v>
      </c>
    </row>
    <row r="39" spans="1:7" ht="37.5" customHeight="1">
      <c r="A39" s="174" t="s">
        <v>810</v>
      </c>
      <c r="B39" s="77"/>
      <c r="C39" s="175" t="s">
        <v>35</v>
      </c>
      <c r="D39" s="175" t="s">
        <v>58</v>
      </c>
      <c r="E39" s="77" t="s">
        <v>813</v>
      </c>
      <c r="F39" s="77"/>
      <c r="G39" s="61">
        <f>SUM(G40)</f>
        <v>30</v>
      </c>
    </row>
    <row r="40" spans="1:7" ht="15.75">
      <c r="A40" s="174" t="s">
        <v>46</v>
      </c>
      <c r="B40" s="77"/>
      <c r="C40" s="175" t="s">
        <v>35</v>
      </c>
      <c r="D40" s="175" t="s">
        <v>58</v>
      </c>
      <c r="E40" s="77" t="s">
        <v>813</v>
      </c>
      <c r="F40" s="77" t="s">
        <v>109</v>
      </c>
      <c r="G40" s="61">
        <v>30</v>
      </c>
    </row>
    <row r="41" spans="1:7" s="117" customFormat="1" ht="15.75">
      <c r="A41" s="114" t="s">
        <v>110</v>
      </c>
      <c r="B41" s="93" t="s">
        <v>111</v>
      </c>
      <c r="C41" s="93"/>
      <c r="D41" s="93"/>
      <c r="E41" s="93"/>
      <c r="F41" s="93"/>
      <c r="G41" s="116">
        <f>SUM(G42)+G61</f>
        <v>7462.2</v>
      </c>
    </row>
    <row r="42" spans="1:7" ht="15.75">
      <c r="A42" s="48" t="s">
        <v>97</v>
      </c>
      <c r="B42" s="77"/>
      <c r="C42" s="77" t="s">
        <v>38</v>
      </c>
      <c r="D42" s="77"/>
      <c r="E42" s="77"/>
      <c r="F42" s="77"/>
      <c r="G42" s="61">
        <f>SUM(G43)+G51</f>
        <v>7442.7</v>
      </c>
    </row>
    <row r="43" spans="1:7" ht="31.5">
      <c r="A43" s="118" t="s">
        <v>112</v>
      </c>
      <c r="B43" s="77"/>
      <c r="C43" s="77" t="s">
        <v>38</v>
      </c>
      <c r="D43" s="77" t="s">
        <v>82</v>
      </c>
      <c r="E43" s="77"/>
      <c r="F43" s="77"/>
      <c r="G43" s="61">
        <f>SUM(G45)</f>
        <v>6440.2</v>
      </c>
    </row>
    <row r="44" spans="1:7" ht="15.75">
      <c r="A44" s="118" t="s">
        <v>216</v>
      </c>
      <c r="B44" s="77"/>
      <c r="C44" s="77" t="s">
        <v>38</v>
      </c>
      <c r="D44" s="77" t="s">
        <v>82</v>
      </c>
      <c r="E44" s="77" t="s">
        <v>217</v>
      </c>
      <c r="F44" s="77"/>
      <c r="G44" s="61">
        <f>SUM(G45)</f>
        <v>6440.2</v>
      </c>
    </row>
    <row r="45" spans="1:7" ht="31.5">
      <c r="A45" s="48" t="s">
        <v>84</v>
      </c>
      <c r="B45" s="77"/>
      <c r="C45" s="77" t="s">
        <v>38</v>
      </c>
      <c r="D45" s="77" t="s">
        <v>82</v>
      </c>
      <c r="E45" s="77" t="s">
        <v>114</v>
      </c>
      <c r="F45" s="77"/>
      <c r="G45" s="61">
        <f>SUM(G46+G49)</f>
        <v>6440.2</v>
      </c>
    </row>
    <row r="46" spans="1:7" ht="31.5">
      <c r="A46" s="48" t="s">
        <v>218</v>
      </c>
      <c r="B46" s="77"/>
      <c r="C46" s="77" t="s">
        <v>38</v>
      </c>
      <c r="D46" s="77" t="s">
        <v>82</v>
      </c>
      <c r="E46" s="77" t="s">
        <v>120</v>
      </c>
      <c r="F46" s="77"/>
      <c r="G46" s="61">
        <f>SUM(G47:G48)</f>
        <v>4480</v>
      </c>
    </row>
    <row r="47" spans="1:7" ht="47.25">
      <c r="A47" s="67" t="s">
        <v>55</v>
      </c>
      <c r="B47" s="77"/>
      <c r="C47" s="77" t="s">
        <v>38</v>
      </c>
      <c r="D47" s="77" t="s">
        <v>82</v>
      </c>
      <c r="E47" s="77" t="s">
        <v>120</v>
      </c>
      <c r="F47" s="77" t="s">
        <v>99</v>
      </c>
      <c r="G47" s="61">
        <f>4131+376.5-32.5</f>
        <v>4475</v>
      </c>
    </row>
    <row r="48" spans="1:7" ht="31.5">
      <c r="A48" s="48" t="s">
        <v>56</v>
      </c>
      <c r="B48" s="77"/>
      <c r="C48" s="77" t="s">
        <v>38</v>
      </c>
      <c r="D48" s="77" t="s">
        <v>82</v>
      </c>
      <c r="E48" s="77" t="s">
        <v>120</v>
      </c>
      <c r="F48" s="77" t="s">
        <v>101</v>
      </c>
      <c r="G48" s="51">
        <v>5</v>
      </c>
    </row>
    <row r="49" spans="1:7" ht="31.5">
      <c r="A49" s="48" t="s">
        <v>113</v>
      </c>
      <c r="B49" s="77"/>
      <c r="C49" s="77" t="s">
        <v>38</v>
      </c>
      <c r="D49" s="77" t="s">
        <v>82</v>
      </c>
      <c r="E49" s="77" t="s">
        <v>121</v>
      </c>
      <c r="F49" s="77"/>
      <c r="G49" s="61">
        <f>SUM(G50)</f>
        <v>1960.2</v>
      </c>
    </row>
    <row r="50" spans="1:7" ht="47.25">
      <c r="A50" s="67" t="s">
        <v>55</v>
      </c>
      <c r="B50" s="77"/>
      <c r="C50" s="77" t="s">
        <v>38</v>
      </c>
      <c r="D50" s="77" t="s">
        <v>82</v>
      </c>
      <c r="E50" s="77" t="s">
        <v>121</v>
      </c>
      <c r="F50" s="77" t="s">
        <v>99</v>
      </c>
      <c r="G50" s="61">
        <f>1782+178.2</f>
        <v>1960.2</v>
      </c>
    </row>
    <row r="51" spans="1:7" ht="15.75">
      <c r="A51" s="48" t="s">
        <v>103</v>
      </c>
      <c r="B51" s="77"/>
      <c r="C51" s="77" t="s">
        <v>38</v>
      </c>
      <c r="D51" s="77" t="s">
        <v>104</v>
      </c>
      <c r="E51" s="77"/>
      <c r="F51" s="77"/>
      <c r="G51" s="61">
        <f>SUM(G52)</f>
        <v>1002.5</v>
      </c>
    </row>
    <row r="52" spans="1:7" ht="31.5">
      <c r="A52" s="48" t="s">
        <v>84</v>
      </c>
      <c r="B52" s="77"/>
      <c r="C52" s="77" t="s">
        <v>38</v>
      </c>
      <c r="D52" s="77" t="s">
        <v>104</v>
      </c>
      <c r="E52" s="77" t="s">
        <v>114</v>
      </c>
      <c r="F52" s="77"/>
      <c r="G52" s="51">
        <f>SUM(G53+G56+G58)</f>
        <v>1002.5</v>
      </c>
    </row>
    <row r="53" spans="1:7" ht="15.75">
      <c r="A53" s="48" t="s">
        <v>105</v>
      </c>
      <c r="B53" s="77"/>
      <c r="C53" s="77" t="s">
        <v>38</v>
      </c>
      <c r="D53" s="77" t="s">
        <v>104</v>
      </c>
      <c r="E53" s="77" t="s">
        <v>117</v>
      </c>
      <c r="F53" s="77"/>
      <c r="G53" s="51">
        <f>SUM(G54:G55)</f>
        <v>192.39999999999998</v>
      </c>
    </row>
    <row r="54" spans="1:7" ht="31.5">
      <c r="A54" s="48" t="s">
        <v>56</v>
      </c>
      <c r="B54" s="77"/>
      <c r="C54" s="77" t="s">
        <v>38</v>
      </c>
      <c r="D54" s="77" t="s">
        <v>104</v>
      </c>
      <c r="E54" s="77" t="s">
        <v>117</v>
      </c>
      <c r="F54" s="77" t="s">
        <v>101</v>
      </c>
      <c r="G54" s="51">
        <v>189.7</v>
      </c>
    </row>
    <row r="55" spans="1:7" ht="15.75">
      <c r="A55" s="48" t="s">
        <v>26</v>
      </c>
      <c r="B55" s="77"/>
      <c r="C55" s="77" t="s">
        <v>38</v>
      </c>
      <c r="D55" s="77" t="s">
        <v>104</v>
      </c>
      <c r="E55" s="77" t="s">
        <v>117</v>
      </c>
      <c r="F55" s="77" t="s">
        <v>106</v>
      </c>
      <c r="G55" s="51">
        <v>2.7</v>
      </c>
    </row>
    <row r="56" spans="1:7" ht="31.5">
      <c r="A56" s="48" t="s">
        <v>107</v>
      </c>
      <c r="B56" s="77"/>
      <c r="C56" s="77" t="s">
        <v>38</v>
      </c>
      <c r="D56" s="77" t="s">
        <v>104</v>
      </c>
      <c r="E56" s="77" t="s">
        <v>118</v>
      </c>
      <c r="F56" s="77"/>
      <c r="G56" s="51">
        <f>SUM(G57)</f>
        <v>379.9</v>
      </c>
    </row>
    <row r="57" spans="1:7" ht="31.5">
      <c r="A57" s="48" t="s">
        <v>56</v>
      </c>
      <c r="B57" s="77"/>
      <c r="C57" s="77" t="s">
        <v>38</v>
      </c>
      <c r="D57" s="77" t="s">
        <v>104</v>
      </c>
      <c r="E57" s="77" t="s">
        <v>118</v>
      </c>
      <c r="F57" s="77" t="s">
        <v>101</v>
      </c>
      <c r="G57" s="61">
        <v>379.9</v>
      </c>
    </row>
    <row r="58" spans="1:7" ht="31.5">
      <c r="A58" s="118" t="s">
        <v>108</v>
      </c>
      <c r="B58" s="77"/>
      <c r="C58" s="77" t="s">
        <v>38</v>
      </c>
      <c r="D58" s="77" t="s">
        <v>104</v>
      </c>
      <c r="E58" s="77" t="s">
        <v>119</v>
      </c>
      <c r="F58" s="77"/>
      <c r="G58" s="61">
        <f>SUM(G59:G60)</f>
        <v>430.2</v>
      </c>
    </row>
    <row r="59" spans="1:7" ht="31.5">
      <c r="A59" s="48" t="s">
        <v>56</v>
      </c>
      <c r="B59" s="77"/>
      <c r="C59" s="77" t="s">
        <v>38</v>
      </c>
      <c r="D59" s="77" t="s">
        <v>104</v>
      </c>
      <c r="E59" s="77" t="s">
        <v>119</v>
      </c>
      <c r="F59" s="77" t="s">
        <v>101</v>
      </c>
      <c r="G59" s="61">
        <f>914-19-500</f>
        <v>395</v>
      </c>
    </row>
    <row r="60" spans="1:7" ht="15.75">
      <c r="A60" s="48" t="s">
        <v>26</v>
      </c>
      <c r="B60" s="77"/>
      <c r="C60" s="77" t="s">
        <v>38</v>
      </c>
      <c r="D60" s="77" t="s">
        <v>104</v>
      </c>
      <c r="E60" s="77" t="s">
        <v>119</v>
      </c>
      <c r="F60" s="77" t="s">
        <v>106</v>
      </c>
      <c r="G60" s="61">
        <f>13.2+19+3</f>
        <v>35.2</v>
      </c>
    </row>
    <row r="61" spans="1:7" ht="15.75">
      <c r="A61" s="174" t="s">
        <v>34</v>
      </c>
      <c r="B61" s="83"/>
      <c r="C61" s="175" t="s">
        <v>35</v>
      </c>
      <c r="D61" s="175"/>
      <c r="E61" s="49"/>
      <c r="F61" s="49"/>
      <c r="G61" s="61">
        <f aca="true" t="shared" si="1" ref="G61:G67">SUM(G62)</f>
        <v>19.5</v>
      </c>
    </row>
    <row r="62" spans="1:7" ht="15.75">
      <c r="A62" s="174" t="s">
        <v>57</v>
      </c>
      <c r="B62" s="83"/>
      <c r="C62" s="175" t="s">
        <v>35</v>
      </c>
      <c r="D62" s="175" t="s">
        <v>58</v>
      </c>
      <c r="E62" s="77"/>
      <c r="F62" s="49"/>
      <c r="G62" s="61">
        <f t="shared" si="1"/>
        <v>19.5</v>
      </c>
    </row>
    <row r="63" spans="1:7" ht="31.5">
      <c r="A63" s="174" t="s">
        <v>88</v>
      </c>
      <c r="B63" s="77"/>
      <c r="C63" s="175" t="s">
        <v>35</v>
      </c>
      <c r="D63" s="175" t="s">
        <v>58</v>
      </c>
      <c r="E63" s="77" t="s">
        <v>20</v>
      </c>
      <c r="F63" s="77"/>
      <c r="G63" s="61">
        <f t="shared" si="1"/>
        <v>19.5</v>
      </c>
    </row>
    <row r="64" spans="1:7" ht="31.5">
      <c r="A64" s="174" t="s">
        <v>89</v>
      </c>
      <c r="B64" s="77"/>
      <c r="C64" s="175" t="s">
        <v>35</v>
      </c>
      <c r="D64" s="175" t="s">
        <v>58</v>
      </c>
      <c r="E64" s="77" t="s">
        <v>21</v>
      </c>
      <c r="F64" s="77"/>
      <c r="G64" s="61">
        <f t="shared" si="1"/>
        <v>19.5</v>
      </c>
    </row>
    <row r="65" spans="1:7" ht="15.75">
      <c r="A65" s="174" t="s">
        <v>39</v>
      </c>
      <c r="B65" s="77"/>
      <c r="C65" s="175" t="s">
        <v>35</v>
      </c>
      <c r="D65" s="175" t="s">
        <v>58</v>
      </c>
      <c r="E65" s="77" t="s">
        <v>40</v>
      </c>
      <c r="F65" s="77"/>
      <c r="G65" s="61">
        <f t="shared" si="1"/>
        <v>19.5</v>
      </c>
    </row>
    <row r="66" spans="1:7" ht="15.75">
      <c r="A66" s="174" t="s">
        <v>41</v>
      </c>
      <c r="B66" s="77"/>
      <c r="C66" s="175" t="s">
        <v>35</v>
      </c>
      <c r="D66" s="175" t="s">
        <v>58</v>
      </c>
      <c r="E66" s="77" t="s">
        <v>811</v>
      </c>
      <c r="F66" s="77"/>
      <c r="G66" s="61">
        <f t="shared" si="1"/>
        <v>19.5</v>
      </c>
    </row>
    <row r="67" spans="1:7" ht="15.75">
      <c r="A67" s="174" t="s">
        <v>59</v>
      </c>
      <c r="B67" s="77"/>
      <c r="C67" s="175" t="s">
        <v>35</v>
      </c>
      <c r="D67" s="175" t="s">
        <v>58</v>
      </c>
      <c r="E67" s="77" t="s">
        <v>812</v>
      </c>
      <c r="F67" s="77"/>
      <c r="G67" s="61">
        <f t="shared" si="1"/>
        <v>19.5</v>
      </c>
    </row>
    <row r="68" spans="1:7" ht="31.5">
      <c r="A68" s="174" t="s">
        <v>810</v>
      </c>
      <c r="B68" s="77"/>
      <c r="C68" s="175" t="s">
        <v>35</v>
      </c>
      <c r="D68" s="175" t="s">
        <v>58</v>
      </c>
      <c r="E68" s="77" t="s">
        <v>813</v>
      </c>
      <c r="F68" s="77"/>
      <c r="G68" s="61">
        <f>SUM(G69)</f>
        <v>19.5</v>
      </c>
    </row>
    <row r="69" spans="1:7" ht="15.75">
      <c r="A69" s="174" t="s">
        <v>46</v>
      </c>
      <c r="B69" s="77"/>
      <c r="C69" s="175" t="s">
        <v>35</v>
      </c>
      <c r="D69" s="175" t="s">
        <v>58</v>
      </c>
      <c r="E69" s="77" t="s">
        <v>813</v>
      </c>
      <c r="F69" s="77" t="s">
        <v>109</v>
      </c>
      <c r="G69" s="61">
        <v>19.5</v>
      </c>
    </row>
    <row r="70" spans="1:7" s="117" customFormat="1" ht="15.75">
      <c r="A70" s="114" t="s">
        <v>238</v>
      </c>
      <c r="B70" s="115">
        <v>283</v>
      </c>
      <c r="C70" s="119"/>
      <c r="D70" s="119"/>
      <c r="E70" s="119"/>
      <c r="F70" s="119"/>
      <c r="G70" s="120">
        <f>SUM(G71+G156+G187+G335+G372)+G240+G355+G424</f>
        <v>849276.4999999999</v>
      </c>
    </row>
    <row r="71" spans="1:7" ht="15.75">
      <c r="A71" s="48" t="s">
        <v>97</v>
      </c>
      <c r="B71" s="83"/>
      <c r="C71" s="50" t="s">
        <v>38</v>
      </c>
      <c r="D71" s="50"/>
      <c r="E71" s="50"/>
      <c r="F71" s="49"/>
      <c r="G71" s="51">
        <f>SUM(G72+G77)+G103+G108</f>
        <v>158046.5</v>
      </c>
    </row>
    <row r="72" spans="1:7" ht="31.5">
      <c r="A72" s="48" t="s">
        <v>184</v>
      </c>
      <c r="B72" s="83"/>
      <c r="C72" s="50" t="s">
        <v>38</v>
      </c>
      <c r="D72" s="50" t="s">
        <v>48</v>
      </c>
      <c r="E72" s="50"/>
      <c r="F72" s="49"/>
      <c r="G72" s="51">
        <f>SUM(G73)</f>
        <v>1836</v>
      </c>
    </row>
    <row r="73" spans="1:7" ht="31.5">
      <c r="A73" s="52" t="s">
        <v>239</v>
      </c>
      <c r="B73" s="121"/>
      <c r="C73" s="50" t="s">
        <v>38</v>
      </c>
      <c r="D73" s="50" t="s">
        <v>48</v>
      </c>
      <c r="E73" s="49" t="s">
        <v>240</v>
      </c>
      <c r="F73" s="49"/>
      <c r="G73" s="51">
        <f>SUM(G74)</f>
        <v>1836</v>
      </c>
    </row>
    <row r="74" spans="1:7" ht="31.5">
      <c r="A74" s="48" t="s">
        <v>84</v>
      </c>
      <c r="B74" s="83"/>
      <c r="C74" s="50" t="s">
        <v>38</v>
      </c>
      <c r="D74" s="50" t="s">
        <v>48</v>
      </c>
      <c r="E74" s="50" t="s">
        <v>241</v>
      </c>
      <c r="F74" s="50"/>
      <c r="G74" s="51">
        <f>SUM(G75)</f>
        <v>1836</v>
      </c>
    </row>
    <row r="75" spans="1:7" ht="15.75">
      <c r="A75" s="48" t="s">
        <v>242</v>
      </c>
      <c r="B75" s="83"/>
      <c r="C75" s="50" t="s">
        <v>38</v>
      </c>
      <c r="D75" s="50" t="s">
        <v>48</v>
      </c>
      <c r="E75" s="50" t="s">
        <v>243</v>
      </c>
      <c r="F75" s="50"/>
      <c r="G75" s="51">
        <f>SUM(G76)</f>
        <v>1836</v>
      </c>
    </row>
    <row r="76" spans="1:7" ht="47.25">
      <c r="A76" s="67" t="s">
        <v>55</v>
      </c>
      <c r="B76" s="83"/>
      <c r="C76" s="50" t="s">
        <v>38</v>
      </c>
      <c r="D76" s="50" t="s">
        <v>48</v>
      </c>
      <c r="E76" s="50" t="s">
        <v>243</v>
      </c>
      <c r="F76" s="50" t="s">
        <v>99</v>
      </c>
      <c r="G76" s="51">
        <f>1618.2+217.8</f>
        <v>1836</v>
      </c>
    </row>
    <row r="77" spans="1:7" ht="31.5">
      <c r="A77" s="48" t="s">
        <v>318</v>
      </c>
      <c r="B77" s="83"/>
      <c r="C77" s="50" t="s">
        <v>38</v>
      </c>
      <c r="D77" s="50" t="s">
        <v>17</v>
      </c>
      <c r="E77" s="49"/>
      <c r="F77" s="49"/>
      <c r="G77" s="51">
        <f>SUM(G89)+G78+G84+G95</f>
        <v>108262.8</v>
      </c>
    </row>
    <row r="78" spans="1:7" ht="31.5">
      <c r="A78" s="48" t="s">
        <v>244</v>
      </c>
      <c r="B78" s="83"/>
      <c r="C78" s="50" t="s">
        <v>38</v>
      </c>
      <c r="D78" s="50" t="s">
        <v>17</v>
      </c>
      <c r="E78" s="49" t="s">
        <v>245</v>
      </c>
      <c r="F78" s="49"/>
      <c r="G78" s="51">
        <f>SUM(G79)</f>
        <v>1358.3</v>
      </c>
    </row>
    <row r="79" spans="1:7" ht="78.75">
      <c r="A79" s="52" t="s">
        <v>246</v>
      </c>
      <c r="B79" s="121"/>
      <c r="C79" s="50" t="s">
        <v>38</v>
      </c>
      <c r="D79" s="50" t="s">
        <v>17</v>
      </c>
      <c r="E79" s="50" t="s">
        <v>247</v>
      </c>
      <c r="F79" s="49"/>
      <c r="G79" s="51">
        <f>SUM(G80)</f>
        <v>1358.3</v>
      </c>
    </row>
    <row r="80" spans="1:7" ht="31.5">
      <c r="A80" s="48" t="s">
        <v>84</v>
      </c>
      <c r="B80" s="83"/>
      <c r="C80" s="50" t="s">
        <v>38</v>
      </c>
      <c r="D80" s="50" t="s">
        <v>17</v>
      </c>
      <c r="E80" s="50" t="s">
        <v>248</v>
      </c>
      <c r="F80" s="49"/>
      <c r="G80" s="51">
        <f>SUM(G81)</f>
        <v>1358.3</v>
      </c>
    </row>
    <row r="81" spans="1:7" ht="31.5">
      <c r="A81" s="48" t="s">
        <v>249</v>
      </c>
      <c r="B81" s="83"/>
      <c r="C81" s="50" t="s">
        <v>38</v>
      </c>
      <c r="D81" s="50" t="s">
        <v>17</v>
      </c>
      <c r="E81" s="50" t="s">
        <v>250</v>
      </c>
      <c r="F81" s="49"/>
      <c r="G81" s="51">
        <f>SUM(G82:G83)</f>
        <v>1358.3</v>
      </c>
    </row>
    <row r="82" spans="1:7" ht="47.25">
      <c r="A82" s="67" t="s">
        <v>55</v>
      </c>
      <c r="B82" s="83"/>
      <c r="C82" s="50" t="s">
        <v>38</v>
      </c>
      <c r="D82" s="50" t="s">
        <v>17</v>
      </c>
      <c r="E82" s="50" t="s">
        <v>250</v>
      </c>
      <c r="F82" s="50" t="s">
        <v>99</v>
      </c>
      <c r="G82" s="51">
        <v>1334.7</v>
      </c>
    </row>
    <row r="83" spans="1:7" ht="31.5">
      <c r="A83" s="48" t="s">
        <v>56</v>
      </c>
      <c r="B83" s="83"/>
      <c r="C83" s="50" t="s">
        <v>38</v>
      </c>
      <c r="D83" s="50" t="s">
        <v>17</v>
      </c>
      <c r="E83" s="50" t="s">
        <v>250</v>
      </c>
      <c r="F83" s="50" t="s">
        <v>101</v>
      </c>
      <c r="G83" s="51">
        <v>23.6</v>
      </c>
    </row>
    <row r="84" spans="1:7" ht="31.5">
      <c r="A84" s="48" t="s">
        <v>518</v>
      </c>
      <c r="B84" s="86"/>
      <c r="C84" s="50" t="s">
        <v>38</v>
      </c>
      <c r="D84" s="50" t="s">
        <v>17</v>
      </c>
      <c r="E84" s="50" t="s">
        <v>258</v>
      </c>
      <c r="F84" s="49"/>
      <c r="G84" s="51">
        <f>SUM(G85)</f>
        <v>357.70000000000005</v>
      </c>
    </row>
    <row r="85" spans="1:7" ht="78.75">
      <c r="A85" s="52" t="s">
        <v>246</v>
      </c>
      <c r="B85" s="86"/>
      <c r="C85" s="50" t="s">
        <v>38</v>
      </c>
      <c r="D85" s="50" t="s">
        <v>17</v>
      </c>
      <c r="E85" s="49" t="s">
        <v>530</v>
      </c>
      <c r="F85" s="49"/>
      <c r="G85" s="51">
        <f>SUM(G86)</f>
        <v>357.70000000000005</v>
      </c>
    </row>
    <row r="86" spans="1:7" ht="15.75">
      <c r="A86" s="48" t="s">
        <v>255</v>
      </c>
      <c r="B86" s="86"/>
      <c r="C86" s="50" t="s">
        <v>38</v>
      </c>
      <c r="D86" s="50" t="s">
        <v>17</v>
      </c>
      <c r="E86" s="49" t="s">
        <v>531</v>
      </c>
      <c r="F86" s="49"/>
      <c r="G86" s="51">
        <f>SUM(G87:G88)</f>
        <v>357.70000000000005</v>
      </c>
    </row>
    <row r="87" spans="1:7" ht="47.25">
      <c r="A87" s="67" t="s">
        <v>55</v>
      </c>
      <c r="B87" s="86"/>
      <c r="C87" s="50" t="s">
        <v>38</v>
      </c>
      <c r="D87" s="50" t="s">
        <v>17</v>
      </c>
      <c r="E87" s="49" t="s">
        <v>531</v>
      </c>
      <c r="F87" s="49">
        <v>100</v>
      </c>
      <c r="G87" s="51">
        <v>288.8</v>
      </c>
    </row>
    <row r="88" spans="1:7" ht="31.5">
      <c r="A88" s="48" t="s">
        <v>56</v>
      </c>
      <c r="B88" s="86"/>
      <c r="C88" s="50" t="s">
        <v>38</v>
      </c>
      <c r="D88" s="50" t="s">
        <v>17</v>
      </c>
      <c r="E88" s="49" t="s">
        <v>531</v>
      </c>
      <c r="F88" s="50" t="s">
        <v>101</v>
      </c>
      <c r="G88" s="51">
        <v>68.9</v>
      </c>
    </row>
    <row r="89" spans="1:7" ht="31.5">
      <c r="A89" s="52" t="s">
        <v>239</v>
      </c>
      <c r="B89" s="121"/>
      <c r="C89" s="50" t="s">
        <v>38</v>
      </c>
      <c r="D89" s="50" t="s">
        <v>17</v>
      </c>
      <c r="E89" s="49" t="s">
        <v>240</v>
      </c>
      <c r="F89" s="49"/>
      <c r="G89" s="51">
        <f>SUM(G90)</f>
        <v>106340.7</v>
      </c>
    </row>
    <row r="90" spans="1:7" ht="31.5">
      <c r="A90" s="48" t="s">
        <v>84</v>
      </c>
      <c r="B90" s="83"/>
      <c r="C90" s="50" t="s">
        <v>38</v>
      </c>
      <c r="D90" s="50" t="s">
        <v>17</v>
      </c>
      <c r="E90" s="50" t="s">
        <v>241</v>
      </c>
      <c r="F90" s="50"/>
      <c r="G90" s="51">
        <f>SUM(G91)</f>
        <v>106340.7</v>
      </c>
    </row>
    <row r="91" spans="1:7" ht="15.75">
      <c r="A91" s="48" t="s">
        <v>86</v>
      </c>
      <c r="B91" s="83"/>
      <c r="C91" s="50" t="s">
        <v>38</v>
      </c>
      <c r="D91" s="50" t="s">
        <v>17</v>
      </c>
      <c r="E91" s="50" t="s">
        <v>251</v>
      </c>
      <c r="F91" s="50"/>
      <c r="G91" s="51">
        <f>SUM(G92:G94)</f>
        <v>106340.7</v>
      </c>
    </row>
    <row r="92" spans="1:7" ht="47.25">
      <c r="A92" s="67" t="s">
        <v>55</v>
      </c>
      <c r="B92" s="83"/>
      <c r="C92" s="50" t="s">
        <v>38</v>
      </c>
      <c r="D92" s="50" t="s">
        <v>17</v>
      </c>
      <c r="E92" s="50" t="s">
        <v>251</v>
      </c>
      <c r="F92" s="50" t="s">
        <v>99</v>
      </c>
      <c r="G92" s="51">
        <f>97911+8399.7</f>
        <v>106310.7</v>
      </c>
    </row>
    <row r="93" spans="1:7" ht="29.25" customHeight="1">
      <c r="A93" s="48" t="s">
        <v>56</v>
      </c>
      <c r="B93" s="83"/>
      <c r="C93" s="50" t="s">
        <v>38</v>
      </c>
      <c r="D93" s="50" t="s">
        <v>17</v>
      </c>
      <c r="E93" s="50" t="s">
        <v>251</v>
      </c>
      <c r="F93" s="50" t="s">
        <v>101</v>
      </c>
      <c r="G93" s="51">
        <v>30</v>
      </c>
    </row>
    <row r="94" spans="1:7" ht="15.75" hidden="1">
      <c r="A94" s="48" t="s">
        <v>46</v>
      </c>
      <c r="B94" s="83"/>
      <c r="C94" s="50" t="s">
        <v>38</v>
      </c>
      <c r="D94" s="50" t="s">
        <v>17</v>
      </c>
      <c r="E94" s="50" t="s">
        <v>251</v>
      </c>
      <c r="F94" s="50" t="s">
        <v>109</v>
      </c>
      <c r="G94" s="51">
        <v>0</v>
      </c>
    </row>
    <row r="95" spans="1:7" ht="15.75">
      <c r="A95" s="48" t="s">
        <v>216</v>
      </c>
      <c r="B95" s="83"/>
      <c r="C95" s="50" t="s">
        <v>38</v>
      </c>
      <c r="D95" s="50" t="s">
        <v>17</v>
      </c>
      <c r="E95" s="50" t="s">
        <v>217</v>
      </c>
      <c r="F95" s="50"/>
      <c r="G95" s="51">
        <f>SUM(G96)</f>
        <v>206.1</v>
      </c>
    </row>
    <row r="96" spans="1:7" ht="78.75">
      <c r="A96" s="52" t="s">
        <v>246</v>
      </c>
      <c r="B96" s="121"/>
      <c r="C96" s="50" t="s">
        <v>38</v>
      </c>
      <c r="D96" s="50" t="s">
        <v>17</v>
      </c>
      <c r="E96" s="50" t="s">
        <v>252</v>
      </c>
      <c r="F96" s="50"/>
      <c r="G96" s="51">
        <f>SUM(G97+G100)</f>
        <v>206.1</v>
      </c>
    </row>
    <row r="97" spans="1:7" ht="47.25">
      <c r="A97" s="48" t="s">
        <v>253</v>
      </c>
      <c r="B97" s="83"/>
      <c r="C97" s="50" t="s">
        <v>38</v>
      </c>
      <c r="D97" s="50" t="s">
        <v>17</v>
      </c>
      <c r="E97" s="50" t="s">
        <v>254</v>
      </c>
      <c r="F97" s="49"/>
      <c r="G97" s="51">
        <f>SUM(G98:G99)</f>
        <v>93.8</v>
      </c>
    </row>
    <row r="98" spans="1:7" ht="47.25">
      <c r="A98" s="67" t="s">
        <v>55</v>
      </c>
      <c r="B98" s="83"/>
      <c r="C98" s="50" t="s">
        <v>38</v>
      </c>
      <c r="D98" s="50" t="s">
        <v>17</v>
      </c>
      <c r="E98" s="50" t="s">
        <v>254</v>
      </c>
      <c r="F98" s="50" t="s">
        <v>99</v>
      </c>
      <c r="G98" s="51">
        <v>72.3</v>
      </c>
    </row>
    <row r="99" spans="1:7" ht="31.5">
      <c r="A99" s="48" t="s">
        <v>56</v>
      </c>
      <c r="B99" s="83"/>
      <c r="C99" s="50" t="s">
        <v>38</v>
      </c>
      <c r="D99" s="50" t="s">
        <v>17</v>
      </c>
      <c r="E99" s="50" t="s">
        <v>254</v>
      </c>
      <c r="F99" s="50" t="s">
        <v>101</v>
      </c>
      <c r="G99" s="51">
        <v>21.5</v>
      </c>
    </row>
    <row r="100" spans="1:7" ht="47.25">
      <c r="A100" s="48" t="s">
        <v>532</v>
      </c>
      <c r="B100" s="70"/>
      <c r="C100" s="50" t="s">
        <v>38</v>
      </c>
      <c r="D100" s="50" t="s">
        <v>17</v>
      </c>
      <c r="E100" s="50" t="s">
        <v>533</v>
      </c>
      <c r="F100" s="49"/>
      <c r="G100" s="51">
        <f>SUM(G101:G102)</f>
        <v>112.3</v>
      </c>
    </row>
    <row r="101" spans="1:7" ht="47.25">
      <c r="A101" s="67" t="s">
        <v>55</v>
      </c>
      <c r="B101" s="70"/>
      <c r="C101" s="50" t="s">
        <v>38</v>
      </c>
      <c r="D101" s="50" t="s">
        <v>17</v>
      </c>
      <c r="E101" s="50" t="s">
        <v>533</v>
      </c>
      <c r="F101" s="50" t="s">
        <v>99</v>
      </c>
      <c r="G101" s="51">
        <v>103.5</v>
      </c>
    </row>
    <row r="102" spans="1:7" ht="31.5">
      <c r="A102" s="48" t="s">
        <v>56</v>
      </c>
      <c r="B102" s="70"/>
      <c r="C102" s="50" t="s">
        <v>38</v>
      </c>
      <c r="D102" s="50" t="s">
        <v>17</v>
      </c>
      <c r="E102" s="50" t="s">
        <v>533</v>
      </c>
      <c r="F102" s="50" t="s">
        <v>101</v>
      </c>
      <c r="G102" s="51">
        <v>8.8</v>
      </c>
    </row>
    <row r="103" spans="1:7" ht="15.75" hidden="1">
      <c r="A103" s="48" t="s">
        <v>187</v>
      </c>
      <c r="B103" s="83"/>
      <c r="C103" s="50" t="s">
        <v>38</v>
      </c>
      <c r="D103" s="50" t="s">
        <v>188</v>
      </c>
      <c r="E103" s="50"/>
      <c r="F103" s="50"/>
      <c r="G103" s="51">
        <f>SUM(G104)</f>
        <v>0</v>
      </c>
    </row>
    <row r="104" spans="1:7" ht="15.75" hidden="1">
      <c r="A104" s="48" t="s">
        <v>223</v>
      </c>
      <c r="B104" s="83"/>
      <c r="C104" s="50" t="s">
        <v>38</v>
      </c>
      <c r="D104" s="50" t="s">
        <v>188</v>
      </c>
      <c r="E104" s="50" t="s">
        <v>217</v>
      </c>
      <c r="F104" s="50"/>
      <c r="G104" s="51">
        <f>SUM(G105)</f>
        <v>0</v>
      </c>
    </row>
    <row r="105" spans="1:7" ht="78.75" hidden="1">
      <c r="A105" s="52" t="s">
        <v>246</v>
      </c>
      <c r="B105" s="121"/>
      <c r="C105" s="50" t="s">
        <v>38</v>
      </c>
      <c r="D105" s="50" t="s">
        <v>188</v>
      </c>
      <c r="E105" s="50" t="s">
        <v>252</v>
      </c>
      <c r="F105" s="50"/>
      <c r="G105" s="51">
        <f>SUM(G106)</f>
        <v>0</v>
      </c>
    </row>
    <row r="106" spans="1:7" ht="47.25" hidden="1">
      <c r="A106" s="48" t="s">
        <v>256</v>
      </c>
      <c r="B106" s="83"/>
      <c r="C106" s="50" t="s">
        <v>38</v>
      </c>
      <c r="D106" s="50" t="s">
        <v>188</v>
      </c>
      <c r="E106" s="50" t="s">
        <v>257</v>
      </c>
      <c r="F106" s="50"/>
      <c r="G106" s="51">
        <f>SUM(G107)</f>
        <v>0</v>
      </c>
    </row>
    <row r="107" spans="1:7" ht="15.75" hidden="1">
      <c r="A107" s="48" t="s">
        <v>100</v>
      </c>
      <c r="B107" s="83"/>
      <c r="C107" s="50" t="s">
        <v>38</v>
      </c>
      <c r="D107" s="50" t="s">
        <v>188</v>
      </c>
      <c r="E107" s="50" t="s">
        <v>257</v>
      </c>
      <c r="F107" s="50" t="s">
        <v>101</v>
      </c>
      <c r="G107" s="51"/>
    </row>
    <row r="108" spans="1:7" ht="15.75">
      <c r="A108" s="48" t="s">
        <v>103</v>
      </c>
      <c r="B108" s="83"/>
      <c r="C108" s="50" t="s">
        <v>38</v>
      </c>
      <c r="D108" s="50" t="s">
        <v>104</v>
      </c>
      <c r="E108" s="50"/>
      <c r="F108" s="49"/>
      <c r="G108" s="51">
        <f>SUM(G109+G111+G114+G125+G136+G138+G142+G144+G153)</f>
        <v>47947.7</v>
      </c>
    </row>
    <row r="109" spans="1:7" ht="31.5" hidden="1">
      <c r="A109" s="48" t="s">
        <v>519</v>
      </c>
      <c r="B109" s="83"/>
      <c r="C109" s="50" t="s">
        <v>38</v>
      </c>
      <c r="D109" s="50" t="s">
        <v>104</v>
      </c>
      <c r="E109" s="50" t="s">
        <v>258</v>
      </c>
      <c r="F109" s="49"/>
      <c r="G109" s="51">
        <f>SUM(G110)</f>
        <v>0</v>
      </c>
    </row>
    <row r="110" spans="1:7" ht="15.75" hidden="1">
      <c r="A110" s="48" t="s">
        <v>100</v>
      </c>
      <c r="B110" s="83"/>
      <c r="C110" s="50" t="s">
        <v>38</v>
      </c>
      <c r="D110" s="50" t="s">
        <v>104</v>
      </c>
      <c r="E110" s="49" t="s">
        <v>258</v>
      </c>
      <c r="F110" s="49">
        <v>200</v>
      </c>
      <c r="G110" s="51"/>
    </row>
    <row r="111" spans="1:7" ht="31.5">
      <c r="A111" s="48" t="s">
        <v>259</v>
      </c>
      <c r="B111" s="83"/>
      <c r="C111" s="50" t="s">
        <v>38</v>
      </c>
      <c r="D111" s="50" t="s">
        <v>104</v>
      </c>
      <c r="E111" s="50" t="s">
        <v>260</v>
      </c>
      <c r="F111" s="49"/>
      <c r="G111" s="51">
        <f>SUM(G112:G113)</f>
        <v>100</v>
      </c>
    </row>
    <row r="112" spans="1:7" ht="31.5">
      <c r="A112" s="48" t="s">
        <v>56</v>
      </c>
      <c r="B112" s="83"/>
      <c r="C112" s="50" t="s">
        <v>38</v>
      </c>
      <c r="D112" s="50" t="s">
        <v>104</v>
      </c>
      <c r="E112" s="49" t="s">
        <v>260</v>
      </c>
      <c r="F112" s="49">
        <v>200</v>
      </c>
      <c r="G112" s="51">
        <v>100</v>
      </c>
    </row>
    <row r="113" spans="1:7" ht="15.75" hidden="1">
      <c r="A113" s="48" t="s">
        <v>26</v>
      </c>
      <c r="B113" s="83"/>
      <c r="C113" s="50" t="s">
        <v>38</v>
      </c>
      <c r="D113" s="50" t="s">
        <v>104</v>
      </c>
      <c r="E113" s="49" t="s">
        <v>260</v>
      </c>
      <c r="F113" s="49">
        <v>800</v>
      </c>
      <c r="G113" s="51"/>
    </row>
    <row r="114" spans="1:7" ht="31.5">
      <c r="A114" s="52" t="s">
        <v>239</v>
      </c>
      <c r="B114" s="121"/>
      <c r="C114" s="50" t="s">
        <v>38</v>
      </c>
      <c r="D114" s="50" t="s">
        <v>104</v>
      </c>
      <c r="E114" s="49" t="s">
        <v>240</v>
      </c>
      <c r="F114" s="49"/>
      <c r="G114" s="51">
        <f>SUM(G115)</f>
        <v>25777.8</v>
      </c>
    </row>
    <row r="115" spans="1:7" ht="31.5">
      <c r="A115" s="48" t="s">
        <v>84</v>
      </c>
      <c r="B115" s="83"/>
      <c r="C115" s="50" t="s">
        <v>38</v>
      </c>
      <c r="D115" s="50" t="s">
        <v>104</v>
      </c>
      <c r="E115" s="50" t="s">
        <v>241</v>
      </c>
      <c r="F115" s="49"/>
      <c r="G115" s="51">
        <f>SUM(G116+G119+G121)</f>
        <v>25777.8</v>
      </c>
    </row>
    <row r="116" spans="1:7" ht="15.75">
      <c r="A116" s="48" t="s">
        <v>105</v>
      </c>
      <c r="B116" s="83"/>
      <c r="C116" s="50" t="s">
        <v>38</v>
      </c>
      <c r="D116" s="50" t="s">
        <v>104</v>
      </c>
      <c r="E116" s="49" t="s">
        <v>261</v>
      </c>
      <c r="F116" s="49"/>
      <c r="G116" s="51">
        <f>SUM(G117:G118)</f>
        <v>3504.5</v>
      </c>
    </row>
    <row r="117" spans="1:7" ht="31.5">
      <c r="A117" s="48" t="s">
        <v>56</v>
      </c>
      <c r="B117" s="83"/>
      <c r="C117" s="50" t="s">
        <v>38</v>
      </c>
      <c r="D117" s="50" t="s">
        <v>104</v>
      </c>
      <c r="E117" s="49" t="s">
        <v>261</v>
      </c>
      <c r="F117" s="49">
        <v>200</v>
      </c>
      <c r="G117" s="51">
        <v>3433.4</v>
      </c>
    </row>
    <row r="118" spans="1:7" ht="15.75">
      <c r="A118" s="48" t="s">
        <v>26</v>
      </c>
      <c r="B118" s="83"/>
      <c r="C118" s="50" t="s">
        <v>38</v>
      </c>
      <c r="D118" s="50" t="s">
        <v>104</v>
      </c>
      <c r="E118" s="49" t="s">
        <v>261</v>
      </c>
      <c r="F118" s="49">
        <v>800</v>
      </c>
      <c r="G118" s="51">
        <v>71.1</v>
      </c>
    </row>
    <row r="119" spans="1:7" ht="31.5">
      <c r="A119" s="48" t="s">
        <v>107</v>
      </c>
      <c r="B119" s="83"/>
      <c r="C119" s="50" t="s">
        <v>38</v>
      </c>
      <c r="D119" s="50" t="s">
        <v>104</v>
      </c>
      <c r="E119" s="49" t="s">
        <v>262</v>
      </c>
      <c r="F119" s="49"/>
      <c r="G119" s="51">
        <f>SUM(G120)</f>
        <v>8921.4</v>
      </c>
    </row>
    <row r="120" spans="1:7" ht="31.5">
      <c r="A120" s="48" t="s">
        <v>56</v>
      </c>
      <c r="B120" s="83"/>
      <c r="C120" s="50" t="s">
        <v>38</v>
      </c>
      <c r="D120" s="50" t="s">
        <v>104</v>
      </c>
      <c r="E120" s="49" t="s">
        <v>262</v>
      </c>
      <c r="F120" s="49">
        <v>200</v>
      </c>
      <c r="G120" s="51">
        <v>8921.4</v>
      </c>
    </row>
    <row r="121" spans="1:7" ht="31.5">
      <c r="A121" s="48" t="s">
        <v>108</v>
      </c>
      <c r="B121" s="83"/>
      <c r="C121" s="50" t="s">
        <v>38</v>
      </c>
      <c r="D121" s="50" t="s">
        <v>104</v>
      </c>
      <c r="E121" s="49" t="s">
        <v>263</v>
      </c>
      <c r="F121" s="49"/>
      <c r="G121" s="51">
        <f>SUM(G122:G124)</f>
        <v>13351.9</v>
      </c>
    </row>
    <row r="122" spans="1:7" ht="31.5">
      <c r="A122" s="48" t="s">
        <v>56</v>
      </c>
      <c r="B122" s="83"/>
      <c r="C122" s="50" t="s">
        <v>38</v>
      </c>
      <c r="D122" s="50" t="s">
        <v>104</v>
      </c>
      <c r="E122" s="49" t="s">
        <v>263</v>
      </c>
      <c r="F122" s="49">
        <v>200</v>
      </c>
      <c r="G122" s="51">
        <f>10926-150</f>
        <v>10776</v>
      </c>
    </row>
    <row r="123" spans="1:7" ht="15.75">
      <c r="A123" s="185" t="s">
        <v>46</v>
      </c>
      <c r="B123" s="83"/>
      <c r="C123" s="186" t="s">
        <v>38</v>
      </c>
      <c r="D123" s="186" t="s">
        <v>104</v>
      </c>
      <c r="E123" s="49" t="s">
        <v>263</v>
      </c>
      <c r="F123" s="49">
        <v>300</v>
      </c>
      <c r="G123" s="51">
        <v>130</v>
      </c>
    </row>
    <row r="124" spans="1:7" ht="15.75">
      <c r="A124" s="48" t="s">
        <v>26</v>
      </c>
      <c r="B124" s="83"/>
      <c r="C124" s="50" t="s">
        <v>38</v>
      </c>
      <c r="D124" s="50" t="s">
        <v>104</v>
      </c>
      <c r="E124" s="49" t="s">
        <v>263</v>
      </c>
      <c r="F124" s="49">
        <v>800</v>
      </c>
      <c r="G124" s="51">
        <v>2445.9</v>
      </c>
    </row>
    <row r="125" spans="1:7" ht="31.5">
      <c r="A125" s="48" t="s">
        <v>316</v>
      </c>
      <c r="B125" s="83"/>
      <c r="C125" s="50" t="s">
        <v>38</v>
      </c>
      <c r="D125" s="50" t="s">
        <v>104</v>
      </c>
      <c r="E125" s="49" t="s">
        <v>264</v>
      </c>
      <c r="F125" s="49"/>
      <c r="G125" s="51">
        <f>SUM(G126)+G131</f>
        <v>7775.9</v>
      </c>
    </row>
    <row r="126" spans="1:7" ht="31.5">
      <c r="A126" s="48" t="s">
        <v>265</v>
      </c>
      <c r="B126" s="83"/>
      <c r="C126" s="50" t="s">
        <v>38</v>
      </c>
      <c r="D126" s="50" t="s">
        <v>104</v>
      </c>
      <c r="E126" s="49" t="s">
        <v>266</v>
      </c>
      <c r="F126" s="49"/>
      <c r="G126" s="51">
        <f>SUM(G127)</f>
        <v>7675.9</v>
      </c>
    </row>
    <row r="127" spans="1:7" ht="31.5">
      <c r="A127" s="48" t="s">
        <v>84</v>
      </c>
      <c r="B127" s="83"/>
      <c r="C127" s="50" t="s">
        <v>38</v>
      </c>
      <c r="D127" s="50" t="s">
        <v>104</v>
      </c>
      <c r="E127" s="49" t="s">
        <v>267</v>
      </c>
      <c r="F127" s="49"/>
      <c r="G127" s="51">
        <f>SUM(G128)</f>
        <v>7675.9</v>
      </c>
    </row>
    <row r="128" spans="1:7" ht="31.5">
      <c r="A128" s="48" t="s">
        <v>268</v>
      </c>
      <c r="B128" s="83"/>
      <c r="C128" s="50" t="s">
        <v>38</v>
      </c>
      <c r="D128" s="50" t="s">
        <v>104</v>
      </c>
      <c r="E128" s="49" t="s">
        <v>269</v>
      </c>
      <c r="F128" s="49"/>
      <c r="G128" s="51">
        <f>SUM(G129:G130)</f>
        <v>7675.9</v>
      </c>
    </row>
    <row r="129" spans="1:7" ht="31.5">
      <c r="A129" s="48" t="s">
        <v>56</v>
      </c>
      <c r="B129" s="83"/>
      <c r="C129" s="50" t="s">
        <v>38</v>
      </c>
      <c r="D129" s="50" t="s">
        <v>104</v>
      </c>
      <c r="E129" s="49" t="s">
        <v>269</v>
      </c>
      <c r="F129" s="49">
        <v>200</v>
      </c>
      <c r="G129" s="51">
        <f>11316.9-3726</f>
        <v>7590.9</v>
      </c>
    </row>
    <row r="130" spans="1:7" ht="15.75">
      <c r="A130" s="48" t="s">
        <v>26</v>
      </c>
      <c r="B130" s="83"/>
      <c r="C130" s="50" t="s">
        <v>38</v>
      </c>
      <c r="D130" s="50" t="s">
        <v>104</v>
      </c>
      <c r="E130" s="49" t="s">
        <v>269</v>
      </c>
      <c r="F130" s="49">
        <v>800</v>
      </c>
      <c r="G130" s="51">
        <v>85</v>
      </c>
    </row>
    <row r="131" spans="1:7" ht="31.5">
      <c r="A131" s="48" t="s">
        <v>270</v>
      </c>
      <c r="B131" s="83"/>
      <c r="C131" s="50" t="s">
        <v>38</v>
      </c>
      <c r="D131" s="50" t="s">
        <v>104</v>
      </c>
      <c r="E131" s="49" t="s">
        <v>271</v>
      </c>
      <c r="F131" s="49"/>
      <c r="G131" s="51">
        <f>SUM(G132)</f>
        <v>100</v>
      </c>
    </row>
    <row r="132" spans="1:7" ht="31.5">
      <c r="A132" s="48" t="s">
        <v>84</v>
      </c>
      <c r="B132" s="83"/>
      <c r="C132" s="50" t="s">
        <v>38</v>
      </c>
      <c r="D132" s="50" t="s">
        <v>104</v>
      </c>
      <c r="E132" s="49" t="s">
        <v>272</v>
      </c>
      <c r="F132" s="49"/>
      <c r="G132" s="51">
        <f>SUM(G133)</f>
        <v>100</v>
      </c>
    </row>
    <row r="133" spans="1:7" ht="31.5">
      <c r="A133" s="48" t="s">
        <v>268</v>
      </c>
      <c r="B133" s="83"/>
      <c r="C133" s="50" t="s">
        <v>38</v>
      </c>
      <c r="D133" s="50" t="s">
        <v>104</v>
      </c>
      <c r="E133" s="49" t="s">
        <v>273</v>
      </c>
      <c r="F133" s="49"/>
      <c r="G133" s="51">
        <f>SUM(G134:G135)</f>
        <v>100</v>
      </c>
    </row>
    <row r="134" spans="1:7" ht="28.5" customHeight="1">
      <c r="A134" s="48" t="s">
        <v>56</v>
      </c>
      <c r="B134" s="83"/>
      <c r="C134" s="50" t="s">
        <v>38</v>
      </c>
      <c r="D134" s="50" t="s">
        <v>104</v>
      </c>
      <c r="E134" s="49" t="s">
        <v>273</v>
      </c>
      <c r="F134" s="49">
        <v>200</v>
      </c>
      <c r="G134" s="51">
        <v>100</v>
      </c>
    </row>
    <row r="135" spans="1:7" ht="15.75" hidden="1">
      <c r="A135" s="48" t="s">
        <v>26</v>
      </c>
      <c r="B135" s="83"/>
      <c r="C135" s="50" t="s">
        <v>38</v>
      </c>
      <c r="D135" s="50" t="s">
        <v>104</v>
      </c>
      <c r="E135" s="49" t="s">
        <v>273</v>
      </c>
      <c r="F135" s="49">
        <v>800</v>
      </c>
      <c r="G135" s="51"/>
    </row>
    <row r="136" spans="1:7" ht="31.5" hidden="1">
      <c r="A136" s="48" t="s">
        <v>274</v>
      </c>
      <c r="B136" s="83"/>
      <c r="C136" s="50" t="s">
        <v>38</v>
      </c>
      <c r="D136" s="50" t="s">
        <v>104</v>
      </c>
      <c r="E136" s="49" t="s">
        <v>275</v>
      </c>
      <c r="F136" s="49"/>
      <c r="G136" s="51">
        <f>SUM(G137)</f>
        <v>0</v>
      </c>
    </row>
    <row r="137" spans="1:7" ht="15.75" hidden="1">
      <c r="A137" s="48" t="s">
        <v>100</v>
      </c>
      <c r="B137" s="83"/>
      <c r="C137" s="50" t="s">
        <v>38</v>
      </c>
      <c r="D137" s="50" t="s">
        <v>104</v>
      </c>
      <c r="E137" s="49" t="s">
        <v>275</v>
      </c>
      <c r="F137" s="49">
        <v>200</v>
      </c>
      <c r="G137" s="51"/>
    </row>
    <row r="138" spans="1:7" ht="31.5">
      <c r="A138" s="48" t="s">
        <v>276</v>
      </c>
      <c r="B138" s="83"/>
      <c r="C138" s="50" t="s">
        <v>38</v>
      </c>
      <c r="D138" s="50" t="s">
        <v>104</v>
      </c>
      <c r="E138" s="49" t="s">
        <v>277</v>
      </c>
      <c r="F138" s="49"/>
      <c r="G138" s="51">
        <f>SUM(G139:G141)</f>
        <v>632.4</v>
      </c>
    </row>
    <row r="139" spans="1:7" ht="47.25">
      <c r="A139" s="67" t="s">
        <v>55</v>
      </c>
      <c r="B139" s="83"/>
      <c r="C139" s="158" t="s">
        <v>38</v>
      </c>
      <c r="D139" s="158" t="s">
        <v>104</v>
      </c>
      <c r="E139" s="49" t="s">
        <v>277</v>
      </c>
      <c r="F139" s="49">
        <v>100</v>
      </c>
      <c r="G139" s="51">
        <v>13.3</v>
      </c>
    </row>
    <row r="140" spans="1:7" ht="31.5">
      <c r="A140" s="48" t="s">
        <v>56</v>
      </c>
      <c r="B140" s="83"/>
      <c r="C140" s="50" t="s">
        <v>38</v>
      </c>
      <c r="D140" s="50" t="s">
        <v>104</v>
      </c>
      <c r="E140" s="49" t="s">
        <v>277</v>
      </c>
      <c r="F140" s="49">
        <v>200</v>
      </c>
      <c r="G140" s="51">
        <f>482.4-13.3</f>
        <v>469.09999999999997</v>
      </c>
    </row>
    <row r="141" spans="1:7" ht="15.75">
      <c r="A141" s="48" t="s">
        <v>46</v>
      </c>
      <c r="B141" s="83"/>
      <c r="C141" s="50" t="s">
        <v>38</v>
      </c>
      <c r="D141" s="50" t="s">
        <v>104</v>
      </c>
      <c r="E141" s="49" t="s">
        <v>277</v>
      </c>
      <c r="F141" s="49">
        <v>300</v>
      </c>
      <c r="G141" s="51">
        <v>150</v>
      </c>
    </row>
    <row r="142" spans="1:7" ht="31.5">
      <c r="A142" s="48" t="s">
        <v>278</v>
      </c>
      <c r="B142" s="83"/>
      <c r="C142" s="50" t="s">
        <v>38</v>
      </c>
      <c r="D142" s="50" t="s">
        <v>104</v>
      </c>
      <c r="E142" s="49" t="s">
        <v>279</v>
      </c>
      <c r="F142" s="49"/>
      <c r="G142" s="51">
        <f>SUM(G143)</f>
        <v>126.9</v>
      </c>
    </row>
    <row r="143" spans="1:7" ht="31.5">
      <c r="A143" s="48" t="s">
        <v>56</v>
      </c>
      <c r="B143" s="83"/>
      <c r="C143" s="50" t="s">
        <v>38</v>
      </c>
      <c r="D143" s="50" t="s">
        <v>104</v>
      </c>
      <c r="E143" s="49" t="s">
        <v>279</v>
      </c>
      <c r="F143" s="49">
        <v>200</v>
      </c>
      <c r="G143" s="51">
        <f>133-6.1</f>
        <v>126.9</v>
      </c>
    </row>
    <row r="144" spans="1:7" ht="31.5">
      <c r="A144" s="48" t="s">
        <v>280</v>
      </c>
      <c r="B144" s="83"/>
      <c r="C144" s="50" t="s">
        <v>38</v>
      </c>
      <c r="D144" s="50" t="s">
        <v>104</v>
      </c>
      <c r="E144" s="49" t="s">
        <v>281</v>
      </c>
      <c r="F144" s="49"/>
      <c r="G144" s="51">
        <f>SUM(G145+G148)+G150</f>
        <v>3172.2000000000003</v>
      </c>
    </row>
    <row r="145" spans="1:7" ht="78.75">
      <c r="A145" s="52" t="s">
        <v>246</v>
      </c>
      <c r="B145" s="83"/>
      <c r="C145" s="50" t="s">
        <v>38</v>
      </c>
      <c r="D145" s="50" t="s">
        <v>104</v>
      </c>
      <c r="E145" s="49" t="s">
        <v>535</v>
      </c>
      <c r="F145" s="49"/>
      <c r="G145" s="51">
        <f>SUM(G146)</f>
        <v>87.4</v>
      </c>
    </row>
    <row r="146" spans="1:7" ht="31.5">
      <c r="A146" s="48" t="s">
        <v>534</v>
      </c>
      <c r="B146" s="83"/>
      <c r="C146" s="50" t="s">
        <v>38</v>
      </c>
      <c r="D146" s="50" t="s">
        <v>104</v>
      </c>
      <c r="E146" s="49" t="s">
        <v>536</v>
      </c>
      <c r="F146" s="49"/>
      <c r="G146" s="51">
        <f>SUM(G147)</f>
        <v>87.4</v>
      </c>
    </row>
    <row r="147" spans="1:7" ht="31.5">
      <c r="A147" s="48" t="s">
        <v>283</v>
      </c>
      <c r="B147" s="83"/>
      <c r="C147" s="50" t="s">
        <v>38</v>
      </c>
      <c r="D147" s="50" t="s">
        <v>104</v>
      </c>
      <c r="E147" s="49" t="s">
        <v>536</v>
      </c>
      <c r="F147" s="49">
        <v>600</v>
      </c>
      <c r="G147" s="51">
        <v>87.4</v>
      </c>
    </row>
    <row r="148" spans="1:7" ht="47.25">
      <c r="A148" s="48" t="s">
        <v>30</v>
      </c>
      <c r="B148" s="83"/>
      <c r="C148" s="50" t="s">
        <v>38</v>
      </c>
      <c r="D148" s="50" t="s">
        <v>104</v>
      </c>
      <c r="E148" s="49" t="s">
        <v>282</v>
      </c>
      <c r="F148" s="49"/>
      <c r="G148" s="51">
        <f>SUM(G149)</f>
        <v>2812.3</v>
      </c>
    </row>
    <row r="149" spans="1:7" ht="31.5">
      <c r="A149" s="48" t="s">
        <v>283</v>
      </c>
      <c r="B149" s="83"/>
      <c r="C149" s="50" t="s">
        <v>38</v>
      </c>
      <c r="D149" s="50" t="s">
        <v>104</v>
      </c>
      <c r="E149" s="49" t="s">
        <v>282</v>
      </c>
      <c r="F149" s="49">
        <v>600</v>
      </c>
      <c r="G149" s="55">
        <f>2712.3+100</f>
        <v>2812.3</v>
      </c>
    </row>
    <row r="150" spans="1:7" ht="15.75">
      <c r="A150" s="112" t="s">
        <v>166</v>
      </c>
      <c r="B150" s="83"/>
      <c r="C150" s="113" t="s">
        <v>38</v>
      </c>
      <c r="D150" s="113" t="s">
        <v>104</v>
      </c>
      <c r="E150" s="49" t="s">
        <v>755</v>
      </c>
      <c r="F150" s="49"/>
      <c r="G150" s="55">
        <f>SUM(G151)</f>
        <v>272.5</v>
      </c>
    </row>
    <row r="151" spans="1:7" ht="15.75">
      <c r="A151" s="74" t="s">
        <v>670</v>
      </c>
      <c r="B151" s="83"/>
      <c r="C151" s="113" t="s">
        <v>38</v>
      </c>
      <c r="D151" s="113" t="s">
        <v>104</v>
      </c>
      <c r="E151" s="49" t="s">
        <v>756</v>
      </c>
      <c r="F151" s="49"/>
      <c r="G151" s="55">
        <f>SUM(G152)</f>
        <v>272.5</v>
      </c>
    </row>
    <row r="152" spans="1:7" ht="31.5">
      <c r="A152" s="112" t="s">
        <v>283</v>
      </c>
      <c r="B152" s="83"/>
      <c r="C152" s="113" t="s">
        <v>38</v>
      </c>
      <c r="D152" s="113" t="s">
        <v>104</v>
      </c>
      <c r="E152" s="49" t="s">
        <v>756</v>
      </c>
      <c r="F152" s="49">
        <v>600</v>
      </c>
      <c r="G152" s="55">
        <v>272.5</v>
      </c>
    </row>
    <row r="153" spans="1:7" ht="15.75">
      <c r="A153" s="118" t="s">
        <v>216</v>
      </c>
      <c r="B153" s="83"/>
      <c r="C153" s="50" t="s">
        <v>38</v>
      </c>
      <c r="D153" s="50" t="s">
        <v>104</v>
      </c>
      <c r="E153" s="49" t="s">
        <v>217</v>
      </c>
      <c r="F153" s="49"/>
      <c r="G153" s="51">
        <f>G154</f>
        <v>10362.5</v>
      </c>
    </row>
    <row r="154" spans="1:7" ht="31.5">
      <c r="A154" s="118" t="s">
        <v>108</v>
      </c>
      <c r="B154" s="83"/>
      <c r="C154" s="50" t="s">
        <v>38</v>
      </c>
      <c r="D154" s="50" t="s">
        <v>104</v>
      </c>
      <c r="E154" s="49" t="s">
        <v>119</v>
      </c>
      <c r="F154" s="49"/>
      <c r="G154" s="51">
        <f>G155</f>
        <v>10362.5</v>
      </c>
    </row>
    <row r="155" spans="1:7" ht="15.75">
      <c r="A155" s="48" t="s">
        <v>26</v>
      </c>
      <c r="B155" s="83"/>
      <c r="C155" s="50" t="s">
        <v>38</v>
      </c>
      <c r="D155" s="50" t="s">
        <v>104</v>
      </c>
      <c r="E155" s="49" t="s">
        <v>119</v>
      </c>
      <c r="F155" s="49">
        <v>800</v>
      </c>
      <c r="G155" s="51">
        <v>10362.5</v>
      </c>
    </row>
    <row r="156" spans="1:7" ht="15.75">
      <c r="A156" s="48" t="s">
        <v>284</v>
      </c>
      <c r="B156" s="83"/>
      <c r="C156" s="50" t="s">
        <v>58</v>
      </c>
      <c r="D156" s="50"/>
      <c r="E156" s="50"/>
      <c r="F156" s="50"/>
      <c r="G156" s="51">
        <f>SUM(G157)+G164</f>
        <v>26431.9</v>
      </c>
    </row>
    <row r="157" spans="1:7" ht="15.75">
      <c r="A157" s="122" t="s">
        <v>190</v>
      </c>
      <c r="B157" s="49"/>
      <c r="C157" s="50" t="s">
        <v>58</v>
      </c>
      <c r="D157" s="50" t="s">
        <v>17</v>
      </c>
      <c r="E157" s="50"/>
      <c r="F157" s="50"/>
      <c r="G157" s="51">
        <f>SUM(G158)</f>
        <v>6985.1</v>
      </c>
    </row>
    <row r="158" spans="1:7" ht="47.25">
      <c r="A158" s="48" t="s">
        <v>550</v>
      </c>
      <c r="B158" s="83"/>
      <c r="C158" s="50" t="s">
        <v>58</v>
      </c>
      <c r="D158" s="50" t="s">
        <v>17</v>
      </c>
      <c r="E158" s="50" t="s">
        <v>551</v>
      </c>
      <c r="F158" s="50"/>
      <c r="G158" s="51">
        <f>SUM(G159)</f>
        <v>6985.1</v>
      </c>
    </row>
    <row r="159" spans="1:7" ht="78.75">
      <c r="A159" s="52" t="s">
        <v>246</v>
      </c>
      <c r="B159" s="121"/>
      <c r="C159" s="50" t="s">
        <v>58</v>
      </c>
      <c r="D159" s="50" t="s">
        <v>17</v>
      </c>
      <c r="E159" s="50" t="s">
        <v>552</v>
      </c>
      <c r="F159" s="50"/>
      <c r="G159" s="51">
        <f>SUM(G160)</f>
        <v>6985.1</v>
      </c>
    </row>
    <row r="160" spans="1:7" ht="31.5">
      <c r="A160" s="48" t="s">
        <v>285</v>
      </c>
      <c r="B160" s="83"/>
      <c r="C160" s="50" t="s">
        <v>58</v>
      </c>
      <c r="D160" s="50" t="s">
        <v>17</v>
      </c>
      <c r="E160" s="50" t="s">
        <v>553</v>
      </c>
      <c r="F160" s="50"/>
      <c r="G160" s="51">
        <f>SUM(G161:G163)</f>
        <v>6985.1</v>
      </c>
    </row>
    <row r="161" spans="1:7" ht="47.25">
      <c r="A161" s="67" t="s">
        <v>55</v>
      </c>
      <c r="B161" s="83"/>
      <c r="C161" s="50" t="s">
        <v>58</v>
      </c>
      <c r="D161" s="50" t="s">
        <v>17</v>
      </c>
      <c r="E161" s="50" t="s">
        <v>553</v>
      </c>
      <c r="F161" s="50" t="s">
        <v>99</v>
      </c>
      <c r="G161" s="51">
        <f>3615.5+548.6</f>
        <v>4164.1</v>
      </c>
    </row>
    <row r="162" spans="1:7" ht="31.5">
      <c r="A162" s="48" t="s">
        <v>56</v>
      </c>
      <c r="B162" s="83"/>
      <c r="C162" s="50" t="s">
        <v>58</v>
      </c>
      <c r="D162" s="50" t="s">
        <v>17</v>
      </c>
      <c r="E162" s="50" t="s">
        <v>553</v>
      </c>
      <c r="F162" s="50" t="s">
        <v>101</v>
      </c>
      <c r="G162" s="51">
        <f>2224.2+498.8</f>
        <v>2723</v>
      </c>
    </row>
    <row r="163" spans="1:7" ht="15.75">
      <c r="A163" s="48" t="s">
        <v>26</v>
      </c>
      <c r="B163" s="83"/>
      <c r="C163" s="50" t="s">
        <v>58</v>
      </c>
      <c r="D163" s="50" t="s">
        <v>17</v>
      </c>
      <c r="E163" s="50" t="s">
        <v>553</v>
      </c>
      <c r="F163" s="50" t="s">
        <v>106</v>
      </c>
      <c r="G163" s="51">
        <v>98</v>
      </c>
    </row>
    <row r="164" spans="1:7" ht="31.5">
      <c r="A164" s="67" t="s">
        <v>369</v>
      </c>
      <c r="B164" s="77"/>
      <c r="C164" s="77" t="s">
        <v>58</v>
      </c>
      <c r="D164" s="77" t="s">
        <v>192</v>
      </c>
      <c r="E164" s="77"/>
      <c r="F164" s="77"/>
      <c r="G164" s="61">
        <f>SUM(G165+G183)</f>
        <v>19446.800000000003</v>
      </c>
    </row>
    <row r="165" spans="1:7" ht="31.5">
      <c r="A165" s="67" t="s">
        <v>370</v>
      </c>
      <c r="B165" s="77"/>
      <c r="C165" s="77" t="s">
        <v>58</v>
      </c>
      <c r="D165" s="77" t="s">
        <v>192</v>
      </c>
      <c r="E165" s="77" t="s">
        <v>376</v>
      </c>
      <c r="F165" s="77"/>
      <c r="G165" s="61">
        <f>SUM(G166,G176,G180)</f>
        <v>18946.800000000003</v>
      </c>
    </row>
    <row r="166" spans="1:7" ht="47.25">
      <c r="A166" s="67" t="s">
        <v>371</v>
      </c>
      <c r="B166" s="77"/>
      <c r="C166" s="77" t="s">
        <v>58</v>
      </c>
      <c r="D166" s="77" t="s">
        <v>192</v>
      </c>
      <c r="E166" s="77" t="s">
        <v>377</v>
      </c>
      <c r="F166" s="77"/>
      <c r="G166" s="61">
        <f>SUM(G167,G172)</f>
        <v>17397.7</v>
      </c>
    </row>
    <row r="167" spans="1:7" ht="15.75">
      <c r="A167" s="67" t="s">
        <v>39</v>
      </c>
      <c r="B167" s="77"/>
      <c r="C167" s="77" t="s">
        <v>58</v>
      </c>
      <c r="D167" s="77" t="s">
        <v>192</v>
      </c>
      <c r="E167" s="77" t="s">
        <v>378</v>
      </c>
      <c r="F167" s="77"/>
      <c r="G167" s="61">
        <f>SUM(G168)+G170</f>
        <v>1079.9</v>
      </c>
    </row>
    <row r="168" spans="1:7" ht="31.5">
      <c r="A168" s="67" t="s">
        <v>372</v>
      </c>
      <c r="B168" s="77"/>
      <c r="C168" s="77" t="s">
        <v>58</v>
      </c>
      <c r="D168" s="77" t="s">
        <v>192</v>
      </c>
      <c r="E168" s="77" t="s">
        <v>379</v>
      </c>
      <c r="F168" s="77"/>
      <c r="G168" s="61">
        <f>SUM(G169)</f>
        <v>1036.9</v>
      </c>
    </row>
    <row r="169" spans="1:7" ht="31.5">
      <c r="A169" s="67" t="s">
        <v>56</v>
      </c>
      <c r="B169" s="77"/>
      <c r="C169" s="77" t="s">
        <v>58</v>
      </c>
      <c r="D169" s="77" t="s">
        <v>192</v>
      </c>
      <c r="E169" s="77" t="s">
        <v>379</v>
      </c>
      <c r="F169" s="77" t="s">
        <v>101</v>
      </c>
      <c r="G169" s="61">
        <v>1036.9</v>
      </c>
    </row>
    <row r="170" spans="1:7" ht="31.5">
      <c r="A170" s="67" t="s">
        <v>373</v>
      </c>
      <c r="B170" s="77"/>
      <c r="C170" s="77" t="s">
        <v>58</v>
      </c>
      <c r="D170" s="77" t="s">
        <v>192</v>
      </c>
      <c r="E170" s="77" t="s">
        <v>380</v>
      </c>
      <c r="F170" s="77"/>
      <c r="G170" s="61">
        <f>SUM(G171)</f>
        <v>43</v>
      </c>
    </row>
    <row r="171" spans="1:7" ht="31.5">
      <c r="A171" s="67" t="s">
        <v>56</v>
      </c>
      <c r="B171" s="77"/>
      <c r="C171" s="77" t="s">
        <v>58</v>
      </c>
      <c r="D171" s="77" t="s">
        <v>192</v>
      </c>
      <c r="E171" s="77" t="s">
        <v>380</v>
      </c>
      <c r="F171" s="77" t="s">
        <v>101</v>
      </c>
      <c r="G171" s="61">
        <v>43</v>
      </c>
    </row>
    <row r="172" spans="1:7" ht="31.5">
      <c r="A172" s="67" t="s">
        <v>49</v>
      </c>
      <c r="B172" s="77"/>
      <c r="C172" s="77" t="s">
        <v>58</v>
      </c>
      <c r="D172" s="77" t="s">
        <v>192</v>
      </c>
      <c r="E172" s="77" t="s">
        <v>381</v>
      </c>
      <c r="F172" s="77"/>
      <c r="G172" s="61">
        <f>SUM(G173:G175)</f>
        <v>16317.800000000001</v>
      </c>
    </row>
    <row r="173" spans="1:7" ht="47.25">
      <c r="A173" s="67" t="s">
        <v>55</v>
      </c>
      <c r="B173" s="77"/>
      <c r="C173" s="77" t="s">
        <v>58</v>
      </c>
      <c r="D173" s="77" t="s">
        <v>192</v>
      </c>
      <c r="E173" s="77" t="s">
        <v>381</v>
      </c>
      <c r="F173" s="77" t="s">
        <v>99</v>
      </c>
      <c r="G173" s="61">
        <f>10390.1+517.6</f>
        <v>10907.7</v>
      </c>
    </row>
    <row r="174" spans="1:7" ht="31.5">
      <c r="A174" s="67" t="s">
        <v>56</v>
      </c>
      <c r="B174" s="77"/>
      <c r="C174" s="77" t="s">
        <v>58</v>
      </c>
      <c r="D174" s="77" t="s">
        <v>192</v>
      </c>
      <c r="E174" s="77" t="s">
        <v>381</v>
      </c>
      <c r="F174" s="77" t="s">
        <v>101</v>
      </c>
      <c r="G174" s="61">
        <f>5343.3-55.3</f>
        <v>5288</v>
      </c>
    </row>
    <row r="175" spans="1:7" ht="15.75">
      <c r="A175" s="67" t="s">
        <v>26</v>
      </c>
      <c r="B175" s="77"/>
      <c r="C175" s="77" t="s">
        <v>58</v>
      </c>
      <c r="D175" s="77" t="s">
        <v>192</v>
      </c>
      <c r="E175" s="77" t="s">
        <v>381</v>
      </c>
      <c r="F175" s="77" t="s">
        <v>106</v>
      </c>
      <c r="G175" s="61">
        <v>122.1</v>
      </c>
    </row>
    <row r="176" spans="1:7" ht="47.25">
      <c r="A176" s="67" t="s">
        <v>374</v>
      </c>
      <c r="B176" s="77"/>
      <c r="C176" s="77" t="s">
        <v>58</v>
      </c>
      <c r="D176" s="77" t="s">
        <v>192</v>
      </c>
      <c r="E176" s="77" t="s">
        <v>382</v>
      </c>
      <c r="F176" s="77"/>
      <c r="G176" s="61">
        <f>SUM(G177)</f>
        <v>1089.2</v>
      </c>
    </row>
    <row r="177" spans="1:7" ht="15.75">
      <c r="A177" s="67" t="s">
        <v>39</v>
      </c>
      <c r="B177" s="77"/>
      <c r="C177" s="77" t="s">
        <v>58</v>
      </c>
      <c r="D177" s="77" t="s">
        <v>192</v>
      </c>
      <c r="E177" s="77" t="s">
        <v>383</v>
      </c>
      <c r="F177" s="77"/>
      <c r="G177" s="61">
        <f>SUM(G178)</f>
        <v>1089.2</v>
      </c>
    </row>
    <row r="178" spans="1:7" ht="31.5">
      <c r="A178" s="67" t="s">
        <v>373</v>
      </c>
      <c r="B178" s="77"/>
      <c r="C178" s="77" t="s">
        <v>58</v>
      </c>
      <c r="D178" s="77" t="s">
        <v>192</v>
      </c>
      <c r="E178" s="77" t="s">
        <v>384</v>
      </c>
      <c r="F178" s="77"/>
      <c r="G178" s="61">
        <f>SUM(G179)</f>
        <v>1089.2</v>
      </c>
    </row>
    <row r="179" spans="1:7" ht="31.5">
      <c r="A179" s="67" t="s">
        <v>56</v>
      </c>
      <c r="B179" s="77"/>
      <c r="C179" s="77" t="s">
        <v>58</v>
      </c>
      <c r="D179" s="77" t="s">
        <v>192</v>
      </c>
      <c r="E179" s="77" t="s">
        <v>384</v>
      </c>
      <c r="F179" s="77" t="s">
        <v>101</v>
      </c>
      <c r="G179" s="61">
        <f>1133.2-44</f>
        <v>1089.2</v>
      </c>
    </row>
    <row r="180" spans="1:7" ht="31.5">
      <c r="A180" s="67" t="s">
        <v>375</v>
      </c>
      <c r="B180" s="77"/>
      <c r="C180" s="77" t="s">
        <v>58</v>
      </c>
      <c r="D180" s="77" t="s">
        <v>192</v>
      </c>
      <c r="E180" s="77" t="s">
        <v>385</v>
      </c>
      <c r="F180" s="77"/>
      <c r="G180" s="61">
        <f>SUM(G181)</f>
        <v>459.9</v>
      </c>
    </row>
    <row r="181" spans="1:7" ht="15.75">
      <c r="A181" s="67" t="s">
        <v>39</v>
      </c>
      <c r="B181" s="77"/>
      <c r="C181" s="77" t="s">
        <v>58</v>
      </c>
      <c r="D181" s="77" t="s">
        <v>192</v>
      </c>
      <c r="E181" s="77" t="s">
        <v>386</v>
      </c>
      <c r="F181" s="77"/>
      <c r="G181" s="61">
        <f>SUM(G182)</f>
        <v>459.9</v>
      </c>
    </row>
    <row r="182" spans="1:7" ht="31.5">
      <c r="A182" s="67" t="s">
        <v>56</v>
      </c>
      <c r="B182" s="77"/>
      <c r="C182" s="77" t="s">
        <v>58</v>
      </c>
      <c r="D182" s="77" t="s">
        <v>192</v>
      </c>
      <c r="E182" s="77" t="s">
        <v>386</v>
      </c>
      <c r="F182" s="77" t="s">
        <v>101</v>
      </c>
      <c r="G182" s="61">
        <v>459.9</v>
      </c>
    </row>
    <row r="183" spans="1:7" ht="15.75">
      <c r="A183" s="67" t="s">
        <v>216</v>
      </c>
      <c r="B183" s="77"/>
      <c r="C183" s="77" t="s">
        <v>58</v>
      </c>
      <c r="D183" s="77" t="s">
        <v>192</v>
      </c>
      <c r="E183" s="77" t="s">
        <v>217</v>
      </c>
      <c r="F183" s="77"/>
      <c r="G183" s="61">
        <f>SUM(G184)</f>
        <v>500</v>
      </c>
    </row>
    <row r="184" spans="1:7" ht="47.25">
      <c r="A184" s="67" t="s">
        <v>366</v>
      </c>
      <c r="B184" s="77"/>
      <c r="C184" s="77" t="s">
        <v>58</v>
      </c>
      <c r="D184" s="77" t="s">
        <v>192</v>
      </c>
      <c r="E184" s="77" t="s">
        <v>424</v>
      </c>
      <c r="F184" s="77"/>
      <c r="G184" s="61">
        <f>SUM(G185)</f>
        <v>500</v>
      </c>
    </row>
    <row r="185" spans="1:7" ht="31.5">
      <c r="A185" s="67" t="s">
        <v>423</v>
      </c>
      <c r="B185" s="77"/>
      <c r="C185" s="77" t="s">
        <v>58</v>
      </c>
      <c r="D185" s="77" t="s">
        <v>192</v>
      </c>
      <c r="E185" s="77" t="s">
        <v>425</v>
      </c>
      <c r="F185" s="77"/>
      <c r="G185" s="61">
        <f>SUM(G186)</f>
        <v>500</v>
      </c>
    </row>
    <row r="186" spans="1:7" ht="31.5">
      <c r="A186" s="67" t="s">
        <v>56</v>
      </c>
      <c r="B186" s="77"/>
      <c r="C186" s="77" t="s">
        <v>58</v>
      </c>
      <c r="D186" s="77" t="s">
        <v>192</v>
      </c>
      <c r="E186" s="77" t="s">
        <v>425</v>
      </c>
      <c r="F186" s="77" t="s">
        <v>101</v>
      </c>
      <c r="G186" s="61">
        <v>500</v>
      </c>
    </row>
    <row r="187" spans="1:7" ht="15.75">
      <c r="A187" s="48" t="s">
        <v>16</v>
      </c>
      <c r="B187" s="83"/>
      <c r="C187" s="50" t="s">
        <v>17</v>
      </c>
      <c r="D187" s="49"/>
      <c r="E187" s="49"/>
      <c r="F187" s="49"/>
      <c r="G187" s="51">
        <f>SUM(G211)+G188+G196</f>
        <v>225802.8</v>
      </c>
    </row>
    <row r="188" spans="1:7" ht="15.75">
      <c r="A188" s="67" t="s">
        <v>18</v>
      </c>
      <c r="B188" s="77"/>
      <c r="C188" s="77" t="s">
        <v>17</v>
      </c>
      <c r="D188" s="77" t="s">
        <v>19</v>
      </c>
      <c r="E188" s="77"/>
      <c r="F188" s="77"/>
      <c r="G188" s="61">
        <f>SUM(G189)</f>
        <v>93242.7</v>
      </c>
    </row>
    <row r="189" spans="1:7" ht="31.5">
      <c r="A189" s="67" t="s">
        <v>346</v>
      </c>
      <c r="B189" s="77"/>
      <c r="C189" s="77" t="s">
        <v>17</v>
      </c>
      <c r="D189" s="77" t="s">
        <v>19</v>
      </c>
      <c r="E189" s="77" t="s">
        <v>387</v>
      </c>
      <c r="F189" s="77"/>
      <c r="G189" s="61">
        <f>SUM(G190)</f>
        <v>93242.7</v>
      </c>
    </row>
    <row r="190" spans="1:7" ht="31.5">
      <c r="A190" s="67" t="s">
        <v>347</v>
      </c>
      <c r="B190" s="77"/>
      <c r="C190" s="77" t="s">
        <v>17</v>
      </c>
      <c r="D190" s="77" t="s">
        <v>19</v>
      </c>
      <c r="E190" s="77" t="s">
        <v>388</v>
      </c>
      <c r="F190" s="77"/>
      <c r="G190" s="61">
        <f>SUM(G191)</f>
        <v>93242.7</v>
      </c>
    </row>
    <row r="191" spans="1:7" ht="47.25">
      <c r="A191" s="67" t="s">
        <v>22</v>
      </c>
      <c r="B191" s="77"/>
      <c r="C191" s="77" t="s">
        <v>17</v>
      </c>
      <c r="D191" s="77" t="s">
        <v>19</v>
      </c>
      <c r="E191" s="77" t="s">
        <v>389</v>
      </c>
      <c r="F191" s="77"/>
      <c r="G191" s="61">
        <f>SUM(G192+G194)</f>
        <v>93242.7</v>
      </c>
    </row>
    <row r="192" spans="1:7" ht="15.75">
      <c r="A192" s="67" t="s">
        <v>24</v>
      </c>
      <c r="B192" s="77"/>
      <c r="C192" s="77" t="s">
        <v>17</v>
      </c>
      <c r="D192" s="77" t="s">
        <v>19</v>
      </c>
      <c r="E192" s="77" t="s">
        <v>390</v>
      </c>
      <c r="F192" s="77"/>
      <c r="G192" s="61">
        <f>SUM(G193)</f>
        <v>47642.7</v>
      </c>
    </row>
    <row r="193" spans="1:7" ht="15.75">
      <c r="A193" s="67" t="s">
        <v>26</v>
      </c>
      <c r="B193" s="77"/>
      <c r="C193" s="77" t="s">
        <v>17</v>
      </c>
      <c r="D193" s="77" t="s">
        <v>19</v>
      </c>
      <c r="E193" s="77" t="s">
        <v>390</v>
      </c>
      <c r="F193" s="77" t="s">
        <v>106</v>
      </c>
      <c r="G193" s="61">
        <f>47643-0.3</f>
        <v>47642.7</v>
      </c>
    </row>
    <row r="194" spans="1:7" ht="15.75">
      <c r="A194" s="67" t="s">
        <v>348</v>
      </c>
      <c r="B194" s="77"/>
      <c r="C194" s="77" t="s">
        <v>17</v>
      </c>
      <c r="D194" s="77" t="s">
        <v>19</v>
      </c>
      <c r="E194" s="77" t="s">
        <v>391</v>
      </c>
      <c r="F194" s="77"/>
      <c r="G194" s="61">
        <f>SUM(G195)</f>
        <v>45600</v>
      </c>
    </row>
    <row r="195" spans="1:7" ht="15.75">
      <c r="A195" s="67" t="s">
        <v>26</v>
      </c>
      <c r="B195" s="77"/>
      <c r="C195" s="77" t="s">
        <v>17</v>
      </c>
      <c r="D195" s="77" t="s">
        <v>19</v>
      </c>
      <c r="E195" s="77" t="s">
        <v>391</v>
      </c>
      <c r="F195" s="77" t="s">
        <v>106</v>
      </c>
      <c r="G195" s="61">
        <v>45600</v>
      </c>
    </row>
    <row r="196" spans="1:7" ht="15.75">
      <c r="A196" s="67" t="s">
        <v>349</v>
      </c>
      <c r="B196" s="77"/>
      <c r="C196" s="77" t="s">
        <v>17</v>
      </c>
      <c r="D196" s="77" t="s">
        <v>192</v>
      </c>
      <c r="E196" s="77"/>
      <c r="F196" s="77"/>
      <c r="G196" s="61">
        <f>SUM(G197,G203)+G207</f>
        <v>112458.40000000001</v>
      </c>
    </row>
    <row r="197" spans="1:7" ht="31.5">
      <c r="A197" s="67" t="s">
        <v>346</v>
      </c>
      <c r="B197" s="77"/>
      <c r="C197" s="77" t="s">
        <v>17</v>
      </c>
      <c r="D197" s="77" t="s">
        <v>192</v>
      </c>
      <c r="E197" s="77" t="s">
        <v>387</v>
      </c>
      <c r="F197" s="77"/>
      <c r="G197" s="61">
        <f>SUM(G198)</f>
        <v>99868.90000000001</v>
      </c>
    </row>
    <row r="198" spans="1:7" ht="15.75">
      <c r="A198" s="67" t="s">
        <v>350</v>
      </c>
      <c r="B198" s="77"/>
      <c r="C198" s="77" t="s">
        <v>17</v>
      </c>
      <c r="D198" s="77" t="s">
        <v>192</v>
      </c>
      <c r="E198" s="77" t="s">
        <v>392</v>
      </c>
      <c r="F198" s="77"/>
      <c r="G198" s="61">
        <f>SUM(G199)</f>
        <v>99868.90000000001</v>
      </c>
    </row>
    <row r="199" spans="1:7" ht="15.75">
      <c r="A199" s="67" t="s">
        <v>39</v>
      </c>
      <c r="B199" s="77"/>
      <c r="C199" s="77" t="s">
        <v>17</v>
      </c>
      <c r="D199" s="77" t="s">
        <v>192</v>
      </c>
      <c r="E199" s="77" t="s">
        <v>393</v>
      </c>
      <c r="F199" s="77"/>
      <c r="G199" s="61">
        <f>SUM(G200)</f>
        <v>99868.90000000001</v>
      </c>
    </row>
    <row r="200" spans="1:7" ht="31.5">
      <c r="A200" s="67" t="s">
        <v>351</v>
      </c>
      <c r="B200" s="77"/>
      <c r="C200" s="77" t="s">
        <v>17</v>
      </c>
      <c r="D200" s="77" t="s">
        <v>192</v>
      </c>
      <c r="E200" s="77" t="s">
        <v>394</v>
      </c>
      <c r="F200" s="77"/>
      <c r="G200" s="61">
        <f>SUM(G201:G202)</f>
        <v>99868.90000000001</v>
      </c>
    </row>
    <row r="201" spans="1:7" ht="31.5">
      <c r="A201" s="67" t="s">
        <v>56</v>
      </c>
      <c r="B201" s="77"/>
      <c r="C201" s="77" t="s">
        <v>17</v>
      </c>
      <c r="D201" s="77" t="s">
        <v>192</v>
      </c>
      <c r="E201" s="77" t="s">
        <v>394</v>
      </c>
      <c r="F201" s="77" t="s">
        <v>101</v>
      </c>
      <c r="G201" s="61">
        <v>99635.8</v>
      </c>
    </row>
    <row r="202" spans="1:7" ht="31.5">
      <c r="A202" s="67" t="s">
        <v>359</v>
      </c>
      <c r="B202" s="77"/>
      <c r="C202" s="77" t="s">
        <v>17</v>
      </c>
      <c r="D202" s="77" t="s">
        <v>192</v>
      </c>
      <c r="E202" s="77" t="s">
        <v>394</v>
      </c>
      <c r="F202" s="77" t="s">
        <v>313</v>
      </c>
      <c r="G202" s="61">
        <v>233.1</v>
      </c>
    </row>
    <row r="203" spans="1:7" ht="31.5">
      <c r="A203" s="67" t="s">
        <v>440</v>
      </c>
      <c r="B203" s="77"/>
      <c r="C203" s="77" t="s">
        <v>17</v>
      </c>
      <c r="D203" s="77" t="s">
        <v>192</v>
      </c>
      <c r="E203" s="77" t="s">
        <v>395</v>
      </c>
      <c r="F203" s="77"/>
      <c r="G203" s="61">
        <f>SUM(G204)</f>
        <v>12194</v>
      </c>
    </row>
    <row r="204" spans="1:7" ht="15.75">
      <c r="A204" s="67" t="s">
        <v>39</v>
      </c>
      <c r="B204" s="77"/>
      <c r="C204" s="77" t="s">
        <v>17</v>
      </c>
      <c r="D204" s="77" t="s">
        <v>192</v>
      </c>
      <c r="E204" s="77" t="s">
        <v>396</v>
      </c>
      <c r="F204" s="77"/>
      <c r="G204" s="61">
        <f>SUM(G205)</f>
        <v>12194</v>
      </c>
    </row>
    <row r="205" spans="1:7" ht="31.5">
      <c r="A205" s="67" t="s">
        <v>351</v>
      </c>
      <c r="B205" s="77"/>
      <c r="C205" s="77" t="s">
        <v>17</v>
      </c>
      <c r="D205" s="77" t="s">
        <v>192</v>
      </c>
      <c r="E205" s="77" t="s">
        <v>397</v>
      </c>
      <c r="F205" s="77"/>
      <c r="G205" s="61">
        <f>SUM(G206)</f>
        <v>12194</v>
      </c>
    </row>
    <row r="206" spans="1:7" ht="31.5">
      <c r="A206" s="67" t="s">
        <v>56</v>
      </c>
      <c r="B206" s="77"/>
      <c r="C206" s="77" t="s">
        <v>17</v>
      </c>
      <c r="D206" s="77" t="s">
        <v>192</v>
      </c>
      <c r="E206" s="77" t="s">
        <v>397</v>
      </c>
      <c r="F206" s="77" t="s">
        <v>101</v>
      </c>
      <c r="G206" s="61">
        <v>12194</v>
      </c>
    </row>
    <row r="207" spans="1:7" ht="31.5">
      <c r="A207" s="67" t="s">
        <v>305</v>
      </c>
      <c r="B207" s="77"/>
      <c r="C207" s="77" t="s">
        <v>17</v>
      </c>
      <c r="D207" s="77" t="s">
        <v>192</v>
      </c>
      <c r="E207" s="77" t="s">
        <v>306</v>
      </c>
      <c r="F207" s="77"/>
      <c r="G207" s="61">
        <f>SUM(G208)</f>
        <v>395.5</v>
      </c>
    </row>
    <row r="208" spans="1:7" ht="31.5">
      <c r="A208" s="67" t="s">
        <v>357</v>
      </c>
      <c r="B208" s="77"/>
      <c r="C208" s="77" t="s">
        <v>17</v>
      </c>
      <c r="D208" s="77" t="s">
        <v>192</v>
      </c>
      <c r="E208" s="77" t="s">
        <v>407</v>
      </c>
      <c r="F208" s="77"/>
      <c r="G208" s="61">
        <f>SUM(G209)</f>
        <v>395.5</v>
      </c>
    </row>
    <row r="209" spans="1:7" ht="31.5">
      <c r="A209" s="67" t="s">
        <v>358</v>
      </c>
      <c r="B209" s="77"/>
      <c r="C209" s="77" t="s">
        <v>17</v>
      </c>
      <c r="D209" s="77" t="s">
        <v>192</v>
      </c>
      <c r="E209" s="77" t="s">
        <v>408</v>
      </c>
      <c r="F209" s="77"/>
      <c r="G209" s="61">
        <f>SUM(G210)</f>
        <v>395.5</v>
      </c>
    </row>
    <row r="210" spans="1:7" ht="31.5">
      <c r="A210" s="67" t="s">
        <v>359</v>
      </c>
      <c r="B210" s="77"/>
      <c r="C210" s="77" t="s">
        <v>17</v>
      </c>
      <c r="D210" s="77" t="s">
        <v>192</v>
      </c>
      <c r="E210" s="77" t="s">
        <v>408</v>
      </c>
      <c r="F210" s="77" t="s">
        <v>313</v>
      </c>
      <c r="G210" s="61">
        <v>395.5</v>
      </c>
    </row>
    <row r="211" spans="1:7" ht="15.75">
      <c r="A211" s="48" t="s">
        <v>27</v>
      </c>
      <c r="B211" s="83"/>
      <c r="C211" s="50" t="s">
        <v>17</v>
      </c>
      <c r="D211" s="50" t="s">
        <v>28</v>
      </c>
      <c r="E211" s="49"/>
      <c r="F211" s="49"/>
      <c r="G211" s="51">
        <f>SUM(G212+G232)+G226+G235</f>
        <v>20101.7</v>
      </c>
    </row>
    <row r="212" spans="1:7" ht="15.75">
      <c r="A212" s="48" t="s">
        <v>319</v>
      </c>
      <c r="B212" s="83"/>
      <c r="C212" s="50" t="s">
        <v>17</v>
      </c>
      <c r="D212" s="50" t="s">
        <v>28</v>
      </c>
      <c r="E212" s="49" t="s">
        <v>286</v>
      </c>
      <c r="F212" s="49"/>
      <c r="G212" s="51">
        <f>SUM(G213+G220)</f>
        <v>13564</v>
      </c>
    </row>
    <row r="213" spans="1:7" ht="31.5">
      <c r="A213" s="48" t="s">
        <v>780</v>
      </c>
      <c r="B213" s="83"/>
      <c r="C213" s="50" t="s">
        <v>17</v>
      </c>
      <c r="D213" s="50" t="s">
        <v>28</v>
      </c>
      <c r="E213" s="50" t="s">
        <v>287</v>
      </c>
      <c r="F213" s="49"/>
      <c r="G213" s="51">
        <f>SUM(G217)+G214</f>
        <v>12054</v>
      </c>
    </row>
    <row r="214" spans="1:7" ht="47.25">
      <c r="A214" s="179" t="s">
        <v>612</v>
      </c>
      <c r="B214" s="83"/>
      <c r="C214" s="180" t="s">
        <v>17</v>
      </c>
      <c r="D214" s="180" t="s">
        <v>28</v>
      </c>
      <c r="E214" s="180" t="s">
        <v>830</v>
      </c>
      <c r="F214" s="49"/>
      <c r="G214" s="51">
        <f>SUM(G215)</f>
        <v>10554</v>
      </c>
    </row>
    <row r="215" spans="1:7" ht="31.5">
      <c r="A215" s="179" t="s">
        <v>831</v>
      </c>
      <c r="B215" s="83"/>
      <c r="C215" s="180" t="s">
        <v>17</v>
      </c>
      <c r="D215" s="180" t="s">
        <v>28</v>
      </c>
      <c r="E215" s="180" t="s">
        <v>832</v>
      </c>
      <c r="F215" s="49"/>
      <c r="G215" s="51">
        <f>SUM(G216)</f>
        <v>10554</v>
      </c>
    </row>
    <row r="216" spans="1:7" ht="15.75">
      <c r="A216" s="179" t="s">
        <v>26</v>
      </c>
      <c r="B216" s="83"/>
      <c r="C216" s="180" t="s">
        <v>17</v>
      </c>
      <c r="D216" s="180" t="s">
        <v>28</v>
      </c>
      <c r="E216" s="162" t="s">
        <v>832</v>
      </c>
      <c r="F216" s="49">
        <v>800</v>
      </c>
      <c r="G216" s="51">
        <v>10554</v>
      </c>
    </row>
    <row r="217" spans="1:7" ht="47.25">
      <c r="A217" s="63" t="s">
        <v>22</v>
      </c>
      <c r="B217" s="123"/>
      <c r="C217" s="50" t="s">
        <v>17</v>
      </c>
      <c r="D217" s="50" t="s">
        <v>28</v>
      </c>
      <c r="E217" s="50" t="s">
        <v>526</v>
      </c>
      <c r="F217" s="49"/>
      <c r="G217" s="51">
        <f>SUM(G218)</f>
        <v>1500</v>
      </c>
    </row>
    <row r="218" spans="1:7" ht="31.5">
      <c r="A218" s="48" t="s">
        <v>288</v>
      </c>
      <c r="B218" s="83"/>
      <c r="C218" s="50" t="s">
        <v>17</v>
      </c>
      <c r="D218" s="50" t="s">
        <v>28</v>
      </c>
      <c r="E218" s="50" t="s">
        <v>345</v>
      </c>
      <c r="F218" s="50"/>
      <c r="G218" s="51">
        <f>SUM(G219)</f>
        <v>1500</v>
      </c>
    </row>
    <row r="219" spans="1:7" ht="15.75">
      <c r="A219" s="48" t="s">
        <v>26</v>
      </c>
      <c r="B219" s="83"/>
      <c r="C219" s="50" t="s">
        <v>17</v>
      </c>
      <c r="D219" s="50" t="s">
        <v>28</v>
      </c>
      <c r="E219" s="50" t="s">
        <v>345</v>
      </c>
      <c r="F219" s="50" t="s">
        <v>106</v>
      </c>
      <c r="G219" s="51">
        <f>500+1000</f>
        <v>1500</v>
      </c>
    </row>
    <row r="220" spans="1:7" ht="15.75">
      <c r="A220" s="48" t="s">
        <v>289</v>
      </c>
      <c r="B220" s="83"/>
      <c r="C220" s="50" t="s">
        <v>17</v>
      </c>
      <c r="D220" s="50" t="s">
        <v>28</v>
      </c>
      <c r="E220" s="50" t="s">
        <v>290</v>
      </c>
      <c r="F220" s="49"/>
      <c r="G220" s="51">
        <f>SUM(G221)</f>
        <v>1510</v>
      </c>
    </row>
    <row r="221" spans="1:7" ht="31.5">
      <c r="A221" s="63" t="s">
        <v>73</v>
      </c>
      <c r="B221" s="123"/>
      <c r="C221" s="50" t="s">
        <v>17</v>
      </c>
      <c r="D221" s="50" t="s">
        <v>28</v>
      </c>
      <c r="E221" s="50" t="s">
        <v>645</v>
      </c>
      <c r="F221" s="49"/>
      <c r="G221" s="51">
        <f>SUM(G222)+G224</f>
        <v>1510</v>
      </c>
    </row>
    <row r="222" spans="1:7" ht="31.5">
      <c r="A222" s="48" t="s">
        <v>654</v>
      </c>
      <c r="B222" s="83"/>
      <c r="C222" s="50" t="s">
        <v>17</v>
      </c>
      <c r="D222" s="50" t="s">
        <v>28</v>
      </c>
      <c r="E222" s="50" t="s">
        <v>343</v>
      </c>
      <c r="F222" s="50"/>
      <c r="G222" s="51">
        <f>SUM(G223)</f>
        <v>1500</v>
      </c>
    </row>
    <row r="223" spans="1:7" ht="31.5">
      <c r="A223" s="48" t="s">
        <v>283</v>
      </c>
      <c r="B223" s="83"/>
      <c r="C223" s="50" t="s">
        <v>17</v>
      </c>
      <c r="D223" s="50" t="s">
        <v>28</v>
      </c>
      <c r="E223" s="50" t="s">
        <v>343</v>
      </c>
      <c r="F223" s="50" t="s">
        <v>135</v>
      </c>
      <c r="G223" s="51">
        <v>1500</v>
      </c>
    </row>
    <row r="224" spans="1:7" ht="47.25">
      <c r="A224" s="48" t="s">
        <v>677</v>
      </c>
      <c r="B224" s="83"/>
      <c r="C224" s="50" t="s">
        <v>17</v>
      </c>
      <c r="D224" s="50" t="s">
        <v>28</v>
      </c>
      <c r="E224" s="50" t="s">
        <v>655</v>
      </c>
      <c r="F224" s="50"/>
      <c r="G224" s="51">
        <f>G225</f>
        <v>10</v>
      </c>
    </row>
    <row r="225" spans="1:7" ht="31.5">
      <c r="A225" s="48" t="s">
        <v>283</v>
      </c>
      <c r="B225" s="83"/>
      <c r="C225" s="50" t="s">
        <v>17</v>
      </c>
      <c r="D225" s="50" t="s">
        <v>28</v>
      </c>
      <c r="E225" s="50" t="s">
        <v>655</v>
      </c>
      <c r="F225" s="50" t="s">
        <v>135</v>
      </c>
      <c r="G225" s="51">
        <v>10</v>
      </c>
    </row>
    <row r="226" spans="1:7" ht="31.5">
      <c r="A226" s="67" t="s">
        <v>352</v>
      </c>
      <c r="B226" s="77"/>
      <c r="C226" s="77" t="s">
        <v>17</v>
      </c>
      <c r="D226" s="77" t="s">
        <v>28</v>
      </c>
      <c r="E226" s="77" t="s">
        <v>398</v>
      </c>
      <c r="F226" s="77"/>
      <c r="G226" s="61">
        <f>SUM(G227)</f>
        <v>5250.9</v>
      </c>
    </row>
    <row r="227" spans="1:7" ht="31.5">
      <c r="A227" s="67" t="s">
        <v>353</v>
      </c>
      <c r="B227" s="77"/>
      <c r="C227" s="77" t="s">
        <v>17</v>
      </c>
      <c r="D227" s="77" t="s">
        <v>28</v>
      </c>
      <c r="E227" s="77" t="s">
        <v>399</v>
      </c>
      <c r="F227" s="77"/>
      <c r="G227" s="61">
        <f>SUM(G228)</f>
        <v>5250.9</v>
      </c>
    </row>
    <row r="228" spans="1:7" ht="31.5">
      <c r="A228" s="67" t="s">
        <v>49</v>
      </c>
      <c r="B228" s="77"/>
      <c r="C228" s="77" t="s">
        <v>17</v>
      </c>
      <c r="D228" s="77" t="s">
        <v>28</v>
      </c>
      <c r="E228" s="77" t="s">
        <v>400</v>
      </c>
      <c r="F228" s="77"/>
      <c r="G228" s="61">
        <f>SUM(G229:G231)</f>
        <v>5250.9</v>
      </c>
    </row>
    <row r="229" spans="1:7" ht="47.25">
      <c r="A229" s="67" t="s">
        <v>55</v>
      </c>
      <c r="B229" s="77"/>
      <c r="C229" s="77" t="s">
        <v>17</v>
      </c>
      <c r="D229" s="77" t="s">
        <v>28</v>
      </c>
      <c r="E229" s="77" t="s">
        <v>400</v>
      </c>
      <c r="F229" s="77" t="s">
        <v>99</v>
      </c>
      <c r="G229" s="61">
        <v>4195.5</v>
      </c>
    </row>
    <row r="230" spans="1:7" ht="31.5">
      <c r="A230" s="67" t="s">
        <v>56</v>
      </c>
      <c r="B230" s="77"/>
      <c r="C230" s="77" t="s">
        <v>17</v>
      </c>
      <c r="D230" s="77" t="s">
        <v>28</v>
      </c>
      <c r="E230" s="77" t="s">
        <v>400</v>
      </c>
      <c r="F230" s="77" t="s">
        <v>101</v>
      </c>
      <c r="G230" s="61">
        <v>1032</v>
      </c>
    </row>
    <row r="231" spans="1:7" ht="15.75">
      <c r="A231" s="67" t="s">
        <v>26</v>
      </c>
      <c r="B231" s="77"/>
      <c r="C231" s="77" t="s">
        <v>17</v>
      </c>
      <c r="D231" s="77" t="s">
        <v>28</v>
      </c>
      <c r="E231" s="77" t="s">
        <v>400</v>
      </c>
      <c r="F231" s="77" t="s">
        <v>106</v>
      </c>
      <c r="G231" s="61">
        <v>23.4</v>
      </c>
    </row>
    <row r="232" spans="1:7" ht="31.5">
      <c r="A232" s="48" t="s">
        <v>316</v>
      </c>
      <c r="B232" s="83"/>
      <c r="C232" s="50" t="s">
        <v>17</v>
      </c>
      <c r="D232" s="50" t="s">
        <v>28</v>
      </c>
      <c r="E232" s="49" t="s">
        <v>264</v>
      </c>
      <c r="F232" s="50"/>
      <c r="G232" s="51">
        <f>SUM(G233)</f>
        <v>380</v>
      </c>
    </row>
    <row r="233" spans="1:7" ht="47.25">
      <c r="A233" s="48" t="s">
        <v>292</v>
      </c>
      <c r="B233" s="83"/>
      <c r="C233" s="50" t="s">
        <v>17</v>
      </c>
      <c r="D233" s="50" t="s">
        <v>28</v>
      </c>
      <c r="E233" s="49" t="s">
        <v>293</v>
      </c>
      <c r="F233" s="50"/>
      <c r="G233" s="51">
        <f>SUM(G234)</f>
        <v>380</v>
      </c>
    </row>
    <row r="234" spans="1:7" ht="31.5">
      <c r="A234" s="67" t="s">
        <v>56</v>
      </c>
      <c r="B234" s="83"/>
      <c r="C234" s="50" t="s">
        <v>17</v>
      </c>
      <c r="D234" s="50" t="s">
        <v>28</v>
      </c>
      <c r="E234" s="49" t="s">
        <v>293</v>
      </c>
      <c r="F234" s="50" t="s">
        <v>101</v>
      </c>
      <c r="G234" s="51">
        <v>380</v>
      </c>
    </row>
    <row r="235" spans="1:7" ht="15.75">
      <c r="A235" s="67" t="s">
        <v>216</v>
      </c>
      <c r="B235" s="83"/>
      <c r="C235" s="158" t="s">
        <v>17</v>
      </c>
      <c r="D235" s="158" t="s">
        <v>28</v>
      </c>
      <c r="E235" s="49" t="s">
        <v>217</v>
      </c>
      <c r="F235" s="158"/>
      <c r="G235" s="51">
        <f>SUM(G238+G236)</f>
        <v>906.8</v>
      </c>
    </row>
    <row r="236" spans="1:7" ht="47.25">
      <c r="A236" s="179" t="s">
        <v>833</v>
      </c>
      <c r="B236" s="83"/>
      <c r="C236" s="180" t="s">
        <v>17</v>
      </c>
      <c r="D236" s="180" t="s">
        <v>28</v>
      </c>
      <c r="E236" s="163" t="s">
        <v>834</v>
      </c>
      <c r="F236" s="180"/>
      <c r="G236" s="51">
        <f>SUM(G237)</f>
        <v>800</v>
      </c>
    </row>
    <row r="237" spans="1:7" ht="31.5">
      <c r="A237" s="74" t="s">
        <v>283</v>
      </c>
      <c r="B237" s="83"/>
      <c r="C237" s="180" t="s">
        <v>17</v>
      </c>
      <c r="D237" s="180" t="s">
        <v>28</v>
      </c>
      <c r="E237" s="163" t="s">
        <v>834</v>
      </c>
      <c r="F237" s="180" t="s">
        <v>135</v>
      </c>
      <c r="G237" s="51">
        <v>800</v>
      </c>
    </row>
    <row r="238" spans="1:7" ht="31.5">
      <c r="A238" s="67" t="s">
        <v>49</v>
      </c>
      <c r="B238" s="83"/>
      <c r="C238" s="158" t="s">
        <v>17</v>
      </c>
      <c r="D238" s="158" t="s">
        <v>28</v>
      </c>
      <c r="E238" s="49" t="s">
        <v>787</v>
      </c>
      <c r="F238" s="158"/>
      <c r="G238" s="51">
        <f>SUM(G239)</f>
        <v>106.8</v>
      </c>
    </row>
    <row r="239" spans="1:7" ht="15.75">
      <c r="A239" s="67" t="s">
        <v>26</v>
      </c>
      <c r="B239" s="83"/>
      <c r="C239" s="158" t="s">
        <v>17</v>
      </c>
      <c r="D239" s="158" t="s">
        <v>28</v>
      </c>
      <c r="E239" s="49" t="s">
        <v>787</v>
      </c>
      <c r="F239" s="158" t="s">
        <v>106</v>
      </c>
      <c r="G239" s="51">
        <v>106.8</v>
      </c>
    </row>
    <row r="240" spans="1:7" ht="15.75">
      <c r="A240" s="48" t="s">
        <v>294</v>
      </c>
      <c r="B240" s="83"/>
      <c r="C240" s="50" t="s">
        <v>188</v>
      </c>
      <c r="D240" s="50"/>
      <c r="E240" s="49"/>
      <c r="F240" s="50"/>
      <c r="G240" s="51">
        <f>SUM(G241+G254+G284+G315)</f>
        <v>316590.3</v>
      </c>
    </row>
    <row r="241" spans="1:7" ht="15.75">
      <c r="A241" s="48" t="s">
        <v>195</v>
      </c>
      <c r="B241" s="83"/>
      <c r="C241" s="160" t="s">
        <v>188</v>
      </c>
      <c r="D241" s="160" t="s">
        <v>38</v>
      </c>
      <c r="E241" s="49"/>
      <c r="F241" s="160"/>
      <c r="G241" s="51">
        <f>SUM(G251)+G247+G242</f>
        <v>64394.8</v>
      </c>
    </row>
    <row r="242" spans="1:7" ht="47.25">
      <c r="A242" s="153" t="s">
        <v>752</v>
      </c>
      <c r="B242" s="162"/>
      <c r="C242" s="160" t="s">
        <v>188</v>
      </c>
      <c r="D242" s="160" t="s">
        <v>38</v>
      </c>
      <c r="E242" s="49" t="s">
        <v>757</v>
      </c>
      <c r="F242" s="160"/>
      <c r="G242" s="51">
        <f>SUM(G243)</f>
        <v>29011.3</v>
      </c>
    </row>
    <row r="243" spans="1:7" ht="31.5">
      <c r="A243" s="153" t="s">
        <v>789</v>
      </c>
      <c r="B243" s="162"/>
      <c r="C243" s="160" t="s">
        <v>188</v>
      </c>
      <c r="D243" s="160" t="s">
        <v>38</v>
      </c>
      <c r="E243" s="49" t="s">
        <v>790</v>
      </c>
      <c r="F243" s="160"/>
      <c r="G243" s="51">
        <f>SUM(G244)</f>
        <v>29011.3</v>
      </c>
    </row>
    <row r="244" spans="1:7" ht="47.25">
      <c r="A244" s="159" t="s">
        <v>700</v>
      </c>
      <c r="B244" s="162"/>
      <c r="C244" s="160" t="s">
        <v>188</v>
      </c>
      <c r="D244" s="160" t="s">
        <v>38</v>
      </c>
      <c r="E244" s="49" t="s">
        <v>791</v>
      </c>
      <c r="F244" s="160"/>
      <c r="G244" s="51">
        <f>SUM(G245)</f>
        <v>29011.3</v>
      </c>
    </row>
    <row r="245" spans="1:7" ht="47.25">
      <c r="A245" s="159" t="s">
        <v>792</v>
      </c>
      <c r="B245" s="162"/>
      <c r="C245" s="160" t="s">
        <v>188</v>
      </c>
      <c r="D245" s="160" t="s">
        <v>38</v>
      </c>
      <c r="E245" s="49" t="s">
        <v>793</v>
      </c>
      <c r="F245" s="160"/>
      <c r="G245" s="51">
        <f>SUM(G246)</f>
        <v>29011.3</v>
      </c>
    </row>
    <row r="246" spans="1:7" ht="31.5">
      <c r="A246" s="74" t="s">
        <v>312</v>
      </c>
      <c r="B246" s="162"/>
      <c r="C246" s="160" t="s">
        <v>188</v>
      </c>
      <c r="D246" s="160" t="s">
        <v>38</v>
      </c>
      <c r="E246" s="49" t="s">
        <v>793</v>
      </c>
      <c r="F246" s="160" t="s">
        <v>313</v>
      </c>
      <c r="G246" s="51">
        <v>29011.3</v>
      </c>
    </row>
    <row r="247" spans="1:7" ht="31.5">
      <c r="A247" s="48" t="s">
        <v>722</v>
      </c>
      <c r="B247" s="83"/>
      <c r="C247" s="50" t="s">
        <v>188</v>
      </c>
      <c r="D247" s="50" t="s">
        <v>38</v>
      </c>
      <c r="E247" s="49" t="s">
        <v>719</v>
      </c>
      <c r="F247" s="50"/>
      <c r="G247" s="51">
        <f>SUM(G248)</f>
        <v>35383.5</v>
      </c>
    </row>
    <row r="248" spans="1:7" ht="47.25">
      <c r="A248" s="48" t="s">
        <v>717</v>
      </c>
      <c r="B248" s="83"/>
      <c r="C248" s="50" t="s">
        <v>188</v>
      </c>
      <c r="D248" s="50" t="s">
        <v>38</v>
      </c>
      <c r="E248" s="49" t="s">
        <v>720</v>
      </c>
      <c r="F248" s="50"/>
      <c r="G248" s="51">
        <f>SUM(G249)</f>
        <v>35383.5</v>
      </c>
    </row>
    <row r="249" spans="1:7" ht="63">
      <c r="A249" s="48" t="s">
        <v>718</v>
      </c>
      <c r="B249" s="83"/>
      <c r="C249" s="50" t="s">
        <v>188</v>
      </c>
      <c r="D249" s="50" t="s">
        <v>38</v>
      </c>
      <c r="E249" s="49" t="s">
        <v>721</v>
      </c>
      <c r="F249" s="50"/>
      <c r="G249" s="51">
        <f>SUM(G250)</f>
        <v>35383.5</v>
      </c>
    </row>
    <row r="250" spans="1:7" ht="31.5">
      <c r="A250" s="67" t="s">
        <v>359</v>
      </c>
      <c r="B250" s="83"/>
      <c r="C250" s="50" t="s">
        <v>188</v>
      </c>
      <c r="D250" s="50" t="s">
        <v>38</v>
      </c>
      <c r="E250" s="49" t="s">
        <v>721</v>
      </c>
      <c r="F250" s="50" t="s">
        <v>313</v>
      </c>
      <c r="G250" s="51">
        <v>35383.5</v>
      </c>
    </row>
    <row r="251" spans="1:7" ht="31.5" hidden="1">
      <c r="A251" s="48" t="s">
        <v>295</v>
      </c>
      <c r="B251" s="83"/>
      <c r="C251" s="50" t="s">
        <v>188</v>
      </c>
      <c r="D251" s="50" t="s">
        <v>38</v>
      </c>
      <c r="E251" s="49" t="s">
        <v>296</v>
      </c>
      <c r="F251" s="50"/>
      <c r="G251" s="51">
        <f>SUM(G252)</f>
        <v>0</v>
      </c>
    </row>
    <row r="252" spans="1:7" ht="15.75" hidden="1">
      <c r="A252" s="48" t="s">
        <v>297</v>
      </c>
      <c r="B252" s="83"/>
      <c r="C252" s="50" t="s">
        <v>298</v>
      </c>
      <c r="D252" s="50" t="s">
        <v>38</v>
      </c>
      <c r="E252" s="49" t="s">
        <v>299</v>
      </c>
      <c r="F252" s="50"/>
      <c r="G252" s="51">
        <f>SUM(G253)</f>
        <v>0</v>
      </c>
    </row>
    <row r="253" spans="1:7" ht="15.75" hidden="1">
      <c r="A253" s="48" t="s">
        <v>100</v>
      </c>
      <c r="B253" s="83"/>
      <c r="C253" s="50" t="s">
        <v>298</v>
      </c>
      <c r="D253" s="50" t="s">
        <v>38</v>
      </c>
      <c r="E253" s="49" t="s">
        <v>299</v>
      </c>
      <c r="F253" s="50" t="s">
        <v>101</v>
      </c>
      <c r="G253" s="51"/>
    </row>
    <row r="254" spans="1:7" ht="15.75">
      <c r="A254" s="67" t="s">
        <v>196</v>
      </c>
      <c r="B254" s="77"/>
      <c r="C254" s="77" t="s">
        <v>188</v>
      </c>
      <c r="D254" s="77" t="s">
        <v>48</v>
      </c>
      <c r="E254" s="77"/>
      <c r="F254" s="77"/>
      <c r="G254" s="61">
        <f>SUM(G255+G260+G265+G269)+G279</f>
        <v>64830</v>
      </c>
    </row>
    <row r="255" spans="1:7" ht="47.25">
      <c r="A255" s="153" t="s">
        <v>752</v>
      </c>
      <c r="B255" s="77"/>
      <c r="C255" s="77" t="s">
        <v>188</v>
      </c>
      <c r="D255" s="77" t="s">
        <v>48</v>
      </c>
      <c r="E255" s="70" t="s">
        <v>757</v>
      </c>
      <c r="F255" s="70"/>
      <c r="G255" s="71">
        <f>SUM(G256)</f>
        <v>15000</v>
      </c>
    </row>
    <row r="256" spans="1:7" ht="15.75">
      <c r="A256" s="9" t="s">
        <v>360</v>
      </c>
      <c r="B256" s="77"/>
      <c r="C256" s="77" t="s">
        <v>188</v>
      </c>
      <c r="D256" s="77" t="s">
        <v>48</v>
      </c>
      <c r="E256" s="70" t="s">
        <v>758</v>
      </c>
      <c r="F256" s="70"/>
      <c r="G256" s="71">
        <f>SUM(G257)</f>
        <v>15000</v>
      </c>
    </row>
    <row r="257" spans="1:7" ht="47.25">
      <c r="A257" s="74" t="s">
        <v>612</v>
      </c>
      <c r="B257" s="77"/>
      <c r="C257" s="77" t="s">
        <v>188</v>
      </c>
      <c r="D257" s="77" t="s">
        <v>48</v>
      </c>
      <c r="E257" s="70" t="s">
        <v>759</v>
      </c>
      <c r="F257" s="70"/>
      <c r="G257" s="71">
        <f>SUM(G258)</f>
        <v>15000</v>
      </c>
    </row>
    <row r="258" spans="1:7" ht="63">
      <c r="A258" s="67" t="s">
        <v>767</v>
      </c>
      <c r="B258" s="77"/>
      <c r="C258" s="77" t="s">
        <v>188</v>
      </c>
      <c r="D258" s="77" t="s">
        <v>48</v>
      </c>
      <c r="E258" s="70" t="s">
        <v>766</v>
      </c>
      <c r="F258" s="70"/>
      <c r="G258" s="71">
        <f>SUM(G259)</f>
        <v>15000</v>
      </c>
    </row>
    <row r="259" spans="1:7" ht="31.5">
      <c r="A259" s="67" t="s">
        <v>56</v>
      </c>
      <c r="B259" s="77"/>
      <c r="C259" s="77" t="s">
        <v>188</v>
      </c>
      <c r="D259" s="77" t="s">
        <v>48</v>
      </c>
      <c r="E259" s="70" t="s">
        <v>766</v>
      </c>
      <c r="F259" s="70" t="s">
        <v>101</v>
      </c>
      <c r="G259" s="71">
        <v>15000</v>
      </c>
    </row>
    <row r="260" spans="1:7" ht="47.25">
      <c r="A260" s="67" t="s">
        <v>354</v>
      </c>
      <c r="B260" s="77"/>
      <c r="C260" s="77" t="s">
        <v>188</v>
      </c>
      <c r="D260" s="77" t="s">
        <v>48</v>
      </c>
      <c r="E260" s="77" t="s">
        <v>401</v>
      </c>
      <c r="F260" s="77"/>
      <c r="G260" s="61">
        <f>SUM(G261)</f>
        <v>39079.5</v>
      </c>
    </row>
    <row r="261" spans="1:7" ht="15.75">
      <c r="A261" s="67" t="s">
        <v>39</v>
      </c>
      <c r="B261" s="77"/>
      <c r="C261" s="77" t="s">
        <v>188</v>
      </c>
      <c r="D261" s="77" t="s">
        <v>48</v>
      </c>
      <c r="E261" s="77" t="s">
        <v>402</v>
      </c>
      <c r="F261" s="77"/>
      <c r="G261" s="61">
        <f>SUM(G262)</f>
        <v>39079.5</v>
      </c>
    </row>
    <row r="262" spans="1:7" ht="15.75">
      <c r="A262" s="67" t="s">
        <v>355</v>
      </c>
      <c r="B262" s="77"/>
      <c r="C262" s="77" t="s">
        <v>188</v>
      </c>
      <c r="D262" s="77" t="s">
        <v>48</v>
      </c>
      <c r="E262" s="77" t="s">
        <v>403</v>
      </c>
      <c r="F262" s="77"/>
      <c r="G262" s="61">
        <f>SUM(G263:G264)</f>
        <v>39079.5</v>
      </c>
    </row>
    <row r="263" spans="1:7" ht="31.5">
      <c r="A263" s="67" t="s">
        <v>56</v>
      </c>
      <c r="B263" s="77"/>
      <c r="C263" s="77" t="s">
        <v>188</v>
      </c>
      <c r="D263" s="77" t="s">
        <v>48</v>
      </c>
      <c r="E263" s="77" t="s">
        <v>403</v>
      </c>
      <c r="F263" s="77" t="s">
        <v>101</v>
      </c>
      <c r="G263" s="61">
        <v>5055.6</v>
      </c>
    </row>
    <row r="264" spans="1:7" ht="15.75">
      <c r="A264" s="67" t="s">
        <v>26</v>
      </c>
      <c r="B264" s="77"/>
      <c r="C264" s="77" t="s">
        <v>188</v>
      </c>
      <c r="D264" s="77" t="s">
        <v>48</v>
      </c>
      <c r="E264" s="77" t="s">
        <v>403</v>
      </c>
      <c r="F264" s="77" t="s">
        <v>106</v>
      </c>
      <c r="G264" s="61">
        <v>34023.9</v>
      </c>
    </row>
    <row r="265" spans="1:7" ht="31.5">
      <c r="A265" s="67" t="s">
        <v>356</v>
      </c>
      <c r="B265" s="77"/>
      <c r="C265" s="77" t="s">
        <v>188</v>
      </c>
      <c r="D265" s="77" t="s">
        <v>48</v>
      </c>
      <c r="E265" s="77" t="s">
        <v>404</v>
      </c>
      <c r="F265" s="77"/>
      <c r="G265" s="61">
        <f>SUM(G266)</f>
        <v>1006</v>
      </c>
    </row>
    <row r="266" spans="1:7" ht="15.75">
      <c r="A266" s="67" t="s">
        <v>39</v>
      </c>
      <c r="B266" s="77"/>
      <c r="C266" s="77" t="s">
        <v>188</v>
      </c>
      <c r="D266" s="77" t="s">
        <v>48</v>
      </c>
      <c r="E266" s="77" t="s">
        <v>405</v>
      </c>
      <c r="F266" s="77"/>
      <c r="G266" s="61">
        <f>SUM(G267)</f>
        <v>1006</v>
      </c>
    </row>
    <row r="267" spans="1:7" ht="15.75">
      <c r="A267" s="67" t="s">
        <v>355</v>
      </c>
      <c r="B267" s="77"/>
      <c r="C267" s="77" t="s">
        <v>188</v>
      </c>
      <c r="D267" s="77" t="s">
        <v>48</v>
      </c>
      <c r="E267" s="77" t="s">
        <v>406</v>
      </c>
      <c r="F267" s="77"/>
      <c r="G267" s="61">
        <f>SUM(G268:G268)</f>
        <v>1006</v>
      </c>
    </row>
    <row r="268" spans="1:7" ht="31.5">
      <c r="A268" s="67" t="s">
        <v>56</v>
      </c>
      <c r="B268" s="77"/>
      <c r="C268" s="77" t="s">
        <v>188</v>
      </c>
      <c r="D268" s="77" t="s">
        <v>48</v>
      </c>
      <c r="E268" s="77" t="s">
        <v>406</v>
      </c>
      <c r="F268" s="77" t="s">
        <v>101</v>
      </c>
      <c r="G268" s="61">
        <f>1067-60-1</f>
        <v>1006</v>
      </c>
    </row>
    <row r="269" spans="1:7" ht="31.5">
      <c r="A269" s="67" t="s">
        <v>305</v>
      </c>
      <c r="B269" s="77"/>
      <c r="C269" s="77" t="s">
        <v>188</v>
      </c>
      <c r="D269" s="77" t="s">
        <v>48</v>
      </c>
      <c r="E269" s="77" t="s">
        <v>306</v>
      </c>
      <c r="F269" s="77"/>
      <c r="G269" s="61">
        <f>SUM(G270,G273)</f>
        <v>2276.5</v>
      </c>
    </row>
    <row r="270" spans="1:7" ht="31.5" hidden="1">
      <c r="A270" s="67" t="s">
        <v>357</v>
      </c>
      <c r="B270" s="77"/>
      <c r="C270" s="77" t="s">
        <v>188</v>
      </c>
      <c r="D270" s="77" t="s">
        <v>48</v>
      </c>
      <c r="E270" s="77" t="s">
        <v>407</v>
      </c>
      <c r="F270" s="77"/>
      <c r="G270" s="61">
        <f>SUM(G271)</f>
        <v>0</v>
      </c>
    </row>
    <row r="271" spans="1:7" ht="31.5" hidden="1">
      <c r="A271" s="67" t="s">
        <v>358</v>
      </c>
      <c r="B271" s="77"/>
      <c r="C271" s="77" t="s">
        <v>188</v>
      </c>
      <c r="D271" s="77" t="s">
        <v>48</v>
      </c>
      <c r="E271" s="77" t="s">
        <v>408</v>
      </c>
      <c r="F271" s="77"/>
      <c r="G271" s="61">
        <f>SUM(G272)</f>
        <v>0</v>
      </c>
    </row>
    <row r="272" spans="1:7" ht="31.5" hidden="1">
      <c r="A272" s="67" t="s">
        <v>359</v>
      </c>
      <c r="B272" s="77"/>
      <c r="C272" s="77" t="s">
        <v>188</v>
      </c>
      <c r="D272" s="77" t="s">
        <v>48</v>
      </c>
      <c r="E272" s="77" t="s">
        <v>408</v>
      </c>
      <c r="F272" s="77" t="s">
        <v>313</v>
      </c>
      <c r="G272" s="61"/>
    </row>
    <row r="273" spans="1:7" ht="15.75">
      <c r="A273" s="67" t="s">
        <v>360</v>
      </c>
      <c r="B273" s="77"/>
      <c r="C273" s="77" t="s">
        <v>188</v>
      </c>
      <c r="D273" s="77" t="s">
        <v>48</v>
      </c>
      <c r="E273" s="77" t="s">
        <v>409</v>
      </c>
      <c r="F273" s="77"/>
      <c r="G273" s="61">
        <f>SUM(G277)+G274</f>
        <v>2276.5</v>
      </c>
    </row>
    <row r="274" spans="1:7" ht="15.75">
      <c r="A274" s="67" t="s">
        <v>39</v>
      </c>
      <c r="B274" s="77"/>
      <c r="C274" s="77" t="s">
        <v>188</v>
      </c>
      <c r="D274" s="77" t="s">
        <v>48</v>
      </c>
      <c r="E274" s="77" t="s">
        <v>840</v>
      </c>
      <c r="F274" s="77"/>
      <c r="G274" s="61">
        <f>SUM(G275)</f>
        <v>16</v>
      </c>
    </row>
    <row r="275" spans="1:7" ht="15.75">
      <c r="A275" s="67" t="s">
        <v>355</v>
      </c>
      <c r="B275" s="77"/>
      <c r="C275" s="77" t="s">
        <v>188</v>
      </c>
      <c r="D275" s="77" t="s">
        <v>48</v>
      </c>
      <c r="E275" s="77" t="s">
        <v>841</v>
      </c>
      <c r="F275" s="77"/>
      <c r="G275" s="61">
        <f>SUM(G276)</f>
        <v>16</v>
      </c>
    </row>
    <row r="276" spans="1:7" ht="31.5">
      <c r="A276" s="67" t="s">
        <v>56</v>
      </c>
      <c r="B276" s="77"/>
      <c r="C276" s="77" t="s">
        <v>188</v>
      </c>
      <c r="D276" s="77" t="s">
        <v>48</v>
      </c>
      <c r="E276" s="77" t="s">
        <v>841</v>
      </c>
      <c r="F276" s="77" t="s">
        <v>101</v>
      </c>
      <c r="G276" s="61">
        <v>16</v>
      </c>
    </row>
    <row r="277" spans="1:7" ht="31.5">
      <c r="A277" s="67" t="s">
        <v>358</v>
      </c>
      <c r="B277" s="77"/>
      <c r="C277" s="77" t="s">
        <v>188</v>
      </c>
      <c r="D277" s="77" t="s">
        <v>48</v>
      </c>
      <c r="E277" s="77" t="s">
        <v>410</v>
      </c>
      <c r="F277" s="77"/>
      <c r="G277" s="61">
        <f>SUM(G278)</f>
        <v>2260.5</v>
      </c>
    </row>
    <row r="278" spans="1:7" ht="31.5">
      <c r="A278" s="67" t="s">
        <v>359</v>
      </c>
      <c r="B278" s="77"/>
      <c r="C278" s="77" t="s">
        <v>188</v>
      </c>
      <c r="D278" s="77" t="s">
        <v>48</v>
      </c>
      <c r="E278" s="77" t="s">
        <v>410</v>
      </c>
      <c r="F278" s="77" t="s">
        <v>313</v>
      </c>
      <c r="G278" s="61">
        <v>2260.5</v>
      </c>
    </row>
    <row r="279" spans="1:7" ht="31.5" customHeight="1">
      <c r="A279" s="67" t="s">
        <v>316</v>
      </c>
      <c r="B279" s="77"/>
      <c r="C279" s="77" t="s">
        <v>188</v>
      </c>
      <c r="D279" s="77" t="s">
        <v>48</v>
      </c>
      <c r="E279" s="77" t="s">
        <v>264</v>
      </c>
      <c r="F279" s="77"/>
      <c r="G279" s="61">
        <f>SUM(G280)</f>
        <v>7468</v>
      </c>
    </row>
    <row r="280" spans="1:7" ht="31.5">
      <c r="A280" s="67" t="s">
        <v>265</v>
      </c>
      <c r="B280" s="77"/>
      <c r="C280" s="77" t="s">
        <v>188</v>
      </c>
      <c r="D280" s="77" t="s">
        <v>48</v>
      </c>
      <c r="E280" s="77" t="s">
        <v>266</v>
      </c>
      <c r="F280" s="77"/>
      <c r="G280" s="61">
        <f>SUM(G281)</f>
        <v>7468</v>
      </c>
    </row>
    <row r="281" spans="1:7" ht="35.25" customHeight="1">
      <c r="A281" s="67" t="s">
        <v>84</v>
      </c>
      <c r="B281" s="77"/>
      <c r="C281" s="77" t="s">
        <v>188</v>
      </c>
      <c r="D281" s="77" t="s">
        <v>48</v>
      </c>
      <c r="E281" s="77" t="s">
        <v>267</v>
      </c>
      <c r="F281" s="77"/>
      <c r="G281" s="61">
        <f>SUM(G282)</f>
        <v>7468</v>
      </c>
    </row>
    <row r="282" spans="1:7" ht="31.5">
      <c r="A282" s="67" t="s">
        <v>268</v>
      </c>
      <c r="B282" s="77"/>
      <c r="C282" s="77" t="s">
        <v>188</v>
      </c>
      <c r="D282" s="77" t="s">
        <v>48</v>
      </c>
      <c r="E282" s="77" t="s">
        <v>269</v>
      </c>
      <c r="F282" s="77"/>
      <c r="G282" s="61">
        <f>SUM(G283)</f>
        <v>7468</v>
      </c>
    </row>
    <row r="283" spans="1:7" ht="31.5">
      <c r="A283" s="67" t="s">
        <v>56</v>
      </c>
      <c r="B283" s="77"/>
      <c r="C283" s="77" t="s">
        <v>188</v>
      </c>
      <c r="D283" s="77" t="s">
        <v>48</v>
      </c>
      <c r="E283" s="77" t="s">
        <v>269</v>
      </c>
      <c r="F283" s="77" t="s">
        <v>101</v>
      </c>
      <c r="G283" s="61">
        <f>2332+1410+3726</f>
        <v>7468</v>
      </c>
    </row>
    <row r="284" spans="1:7" ht="15.75">
      <c r="A284" s="67" t="s">
        <v>197</v>
      </c>
      <c r="B284" s="77"/>
      <c r="C284" s="77" t="s">
        <v>188</v>
      </c>
      <c r="D284" s="77" t="s">
        <v>58</v>
      </c>
      <c r="E284" s="77"/>
      <c r="F284" s="77"/>
      <c r="G284" s="61">
        <f>SUM(G290,G303,G311)+G286+G307</f>
        <v>150603.4</v>
      </c>
    </row>
    <row r="285" spans="1:7" ht="47.25">
      <c r="A285" s="153" t="s">
        <v>752</v>
      </c>
      <c r="B285" s="77"/>
      <c r="C285" s="77" t="s">
        <v>188</v>
      </c>
      <c r="D285" s="77" t="s">
        <v>58</v>
      </c>
      <c r="E285" s="77" t="s">
        <v>757</v>
      </c>
      <c r="F285" s="77"/>
      <c r="G285" s="61">
        <f>SUM(G286)</f>
        <v>58306.8</v>
      </c>
    </row>
    <row r="286" spans="1:7" ht="15.75">
      <c r="A286" s="67" t="s">
        <v>769</v>
      </c>
      <c r="B286" s="77"/>
      <c r="C286" s="77" t="s">
        <v>188</v>
      </c>
      <c r="D286" s="77" t="s">
        <v>58</v>
      </c>
      <c r="E286" s="77" t="s">
        <v>768</v>
      </c>
      <c r="F286" s="77"/>
      <c r="G286" s="61">
        <f>SUM(G287)</f>
        <v>58306.8</v>
      </c>
    </row>
    <row r="287" spans="1:7" ht="47.25">
      <c r="A287" s="74" t="s">
        <v>612</v>
      </c>
      <c r="B287" s="77"/>
      <c r="C287" s="77" t="s">
        <v>188</v>
      </c>
      <c r="D287" s="77" t="s">
        <v>58</v>
      </c>
      <c r="E287" s="77" t="s">
        <v>770</v>
      </c>
      <c r="F287" s="77"/>
      <c r="G287" s="61">
        <f>SUM(G288)</f>
        <v>58306.8</v>
      </c>
    </row>
    <row r="288" spans="1:7" ht="31.5">
      <c r="A288" s="67" t="s">
        <v>781</v>
      </c>
      <c r="B288" s="77"/>
      <c r="C288" s="77" t="s">
        <v>188</v>
      </c>
      <c r="D288" s="77" t="s">
        <v>58</v>
      </c>
      <c r="E288" s="77" t="s">
        <v>771</v>
      </c>
      <c r="F288" s="77"/>
      <c r="G288" s="61">
        <f>SUM(G289)</f>
        <v>58306.8</v>
      </c>
    </row>
    <row r="289" spans="1:7" ht="31.5">
      <c r="A289" s="67" t="s">
        <v>56</v>
      </c>
      <c r="B289" s="77"/>
      <c r="C289" s="77" t="s">
        <v>188</v>
      </c>
      <c r="D289" s="77" t="s">
        <v>58</v>
      </c>
      <c r="E289" s="77" t="s">
        <v>771</v>
      </c>
      <c r="F289" s="77" t="s">
        <v>101</v>
      </c>
      <c r="G289" s="61">
        <v>58306.8</v>
      </c>
    </row>
    <row r="290" spans="1:7" ht="31.5">
      <c r="A290" s="101" t="s">
        <v>361</v>
      </c>
      <c r="B290" s="82"/>
      <c r="C290" s="77" t="s">
        <v>188</v>
      </c>
      <c r="D290" s="77" t="s">
        <v>58</v>
      </c>
      <c r="E290" s="77" t="s">
        <v>411</v>
      </c>
      <c r="F290" s="77"/>
      <c r="G290" s="61">
        <f>SUM(G291,G298)</f>
        <v>87053</v>
      </c>
    </row>
    <row r="291" spans="1:7" ht="15.75">
      <c r="A291" s="67" t="s">
        <v>39</v>
      </c>
      <c r="B291" s="77"/>
      <c r="C291" s="77" t="s">
        <v>188</v>
      </c>
      <c r="D291" s="77" t="s">
        <v>58</v>
      </c>
      <c r="E291" s="77" t="s">
        <v>412</v>
      </c>
      <c r="F291" s="77"/>
      <c r="G291" s="61">
        <f>SUM(G292,G294,G296)</f>
        <v>78440.9</v>
      </c>
    </row>
    <row r="292" spans="1:7" ht="15.75">
      <c r="A292" s="67" t="s">
        <v>362</v>
      </c>
      <c r="B292" s="77"/>
      <c r="C292" s="77" t="s">
        <v>188</v>
      </c>
      <c r="D292" s="77" t="s">
        <v>58</v>
      </c>
      <c r="E292" s="77" t="s">
        <v>413</v>
      </c>
      <c r="F292" s="77"/>
      <c r="G292" s="61">
        <f>SUM(G293)</f>
        <v>48143.5</v>
      </c>
    </row>
    <row r="293" spans="1:7" ht="31.5">
      <c r="A293" s="67" t="s">
        <v>56</v>
      </c>
      <c r="B293" s="77"/>
      <c r="C293" s="77" t="s">
        <v>188</v>
      </c>
      <c r="D293" s="77" t="s">
        <v>58</v>
      </c>
      <c r="E293" s="77" t="s">
        <v>413</v>
      </c>
      <c r="F293" s="77" t="s">
        <v>101</v>
      </c>
      <c r="G293" s="61">
        <v>48143.5</v>
      </c>
    </row>
    <row r="294" spans="1:7" ht="15.75">
      <c r="A294" s="67" t="s">
        <v>363</v>
      </c>
      <c r="B294" s="77"/>
      <c r="C294" s="77" t="s">
        <v>188</v>
      </c>
      <c r="D294" s="77" t="s">
        <v>58</v>
      </c>
      <c r="E294" s="77" t="s">
        <v>414</v>
      </c>
      <c r="F294" s="77"/>
      <c r="G294" s="61">
        <f>SUM(G295)</f>
        <v>1964</v>
      </c>
    </row>
    <row r="295" spans="1:7" ht="31.5">
      <c r="A295" s="67" t="s">
        <v>56</v>
      </c>
      <c r="B295" s="77"/>
      <c r="C295" s="77" t="s">
        <v>188</v>
      </c>
      <c r="D295" s="77" t="s">
        <v>58</v>
      </c>
      <c r="E295" s="77" t="s">
        <v>414</v>
      </c>
      <c r="F295" s="77" t="s">
        <v>101</v>
      </c>
      <c r="G295" s="61">
        <v>1964</v>
      </c>
    </row>
    <row r="296" spans="1:7" ht="15.75">
      <c r="A296" s="67" t="s">
        <v>364</v>
      </c>
      <c r="B296" s="77"/>
      <c r="C296" s="77" t="s">
        <v>188</v>
      </c>
      <c r="D296" s="77" t="s">
        <v>58</v>
      </c>
      <c r="E296" s="77" t="s">
        <v>415</v>
      </c>
      <c r="F296" s="77"/>
      <c r="G296" s="61">
        <f>SUM(G297)</f>
        <v>28333.4</v>
      </c>
    </row>
    <row r="297" spans="1:7" ht="31.5">
      <c r="A297" s="67" t="s">
        <v>56</v>
      </c>
      <c r="B297" s="77"/>
      <c r="C297" s="77" t="s">
        <v>188</v>
      </c>
      <c r="D297" s="77" t="s">
        <v>58</v>
      </c>
      <c r="E297" s="77" t="s">
        <v>415</v>
      </c>
      <c r="F297" s="77" t="s">
        <v>101</v>
      </c>
      <c r="G297" s="61">
        <v>28333.4</v>
      </c>
    </row>
    <row r="298" spans="1:7" ht="47.25">
      <c r="A298" s="67" t="s">
        <v>30</v>
      </c>
      <c r="B298" s="77"/>
      <c r="C298" s="77" t="s">
        <v>188</v>
      </c>
      <c r="D298" s="77" t="s">
        <v>58</v>
      </c>
      <c r="E298" s="77" t="s">
        <v>416</v>
      </c>
      <c r="F298" s="77"/>
      <c r="G298" s="61">
        <f>SUM(G301+G299)</f>
        <v>8612.1</v>
      </c>
    </row>
    <row r="299" spans="1:7" ht="15.75">
      <c r="A299" s="67" t="s">
        <v>363</v>
      </c>
      <c r="B299" s="77"/>
      <c r="C299" s="77" t="s">
        <v>188</v>
      </c>
      <c r="D299" s="77" t="s">
        <v>58</v>
      </c>
      <c r="E299" s="77" t="s">
        <v>786</v>
      </c>
      <c r="F299" s="77"/>
      <c r="G299" s="61">
        <f>SUM(G300)</f>
        <v>1307.5</v>
      </c>
    </row>
    <row r="300" spans="1:7" ht="31.5">
      <c r="A300" s="67" t="s">
        <v>283</v>
      </c>
      <c r="B300" s="77"/>
      <c r="C300" s="77" t="s">
        <v>188</v>
      </c>
      <c r="D300" s="77" t="s">
        <v>58</v>
      </c>
      <c r="E300" s="77" t="s">
        <v>786</v>
      </c>
      <c r="F300" s="77" t="s">
        <v>135</v>
      </c>
      <c r="G300" s="61">
        <v>1307.5</v>
      </c>
    </row>
    <row r="301" spans="1:7" ht="15.75">
      <c r="A301" s="67" t="s">
        <v>364</v>
      </c>
      <c r="B301" s="77"/>
      <c r="C301" s="77" t="s">
        <v>188</v>
      </c>
      <c r="D301" s="77" t="s">
        <v>58</v>
      </c>
      <c r="E301" s="77" t="s">
        <v>417</v>
      </c>
      <c r="F301" s="77"/>
      <c r="G301" s="61">
        <f>SUM(G302)</f>
        <v>7304.6</v>
      </c>
    </row>
    <row r="302" spans="1:7" ht="31.5">
      <c r="A302" s="67" t="s">
        <v>283</v>
      </c>
      <c r="B302" s="77"/>
      <c r="C302" s="77" t="s">
        <v>188</v>
      </c>
      <c r="D302" s="77" t="s">
        <v>58</v>
      </c>
      <c r="E302" s="77" t="s">
        <v>417</v>
      </c>
      <c r="F302" s="77" t="s">
        <v>135</v>
      </c>
      <c r="G302" s="61">
        <v>7304.6</v>
      </c>
    </row>
    <row r="303" spans="1:7" ht="31.5">
      <c r="A303" s="67" t="s">
        <v>441</v>
      </c>
      <c r="B303" s="77"/>
      <c r="C303" s="77" t="s">
        <v>188</v>
      </c>
      <c r="D303" s="77" t="s">
        <v>58</v>
      </c>
      <c r="E303" s="77" t="s">
        <v>404</v>
      </c>
      <c r="F303" s="77"/>
      <c r="G303" s="61">
        <f>SUM(G304)</f>
        <v>1545.2</v>
      </c>
    </row>
    <row r="304" spans="1:7" ht="15.75">
      <c r="A304" s="67" t="s">
        <v>39</v>
      </c>
      <c r="B304" s="77"/>
      <c r="C304" s="77" t="s">
        <v>188</v>
      </c>
      <c r="D304" s="77" t="s">
        <v>58</v>
      </c>
      <c r="E304" s="77" t="s">
        <v>405</v>
      </c>
      <c r="F304" s="77"/>
      <c r="G304" s="61">
        <f>SUM(G305)</f>
        <v>1545.2</v>
      </c>
    </row>
    <row r="305" spans="1:7" ht="15.75">
      <c r="A305" s="67" t="s">
        <v>364</v>
      </c>
      <c r="B305" s="77"/>
      <c r="C305" s="77" t="s">
        <v>188</v>
      </c>
      <c r="D305" s="77" t="s">
        <v>58</v>
      </c>
      <c r="E305" s="77" t="s">
        <v>418</v>
      </c>
      <c r="F305" s="77"/>
      <c r="G305" s="61">
        <f>SUM(G306)</f>
        <v>1545.2</v>
      </c>
    </row>
    <row r="306" spans="1:7" ht="31.5">
      <c r="A306" s="67" t="s">
        <v>56</v>
      </c>
      <c r="B306" s="77"/>
      <c r="C306" s="77" t="s">
        <v>188</v>
      </c>
      <c r="D306" s="77" t="s">
        <v>58</v>
      </c>
      <c r="E306" s="77" t="s">
        <v>418</v>
      </c>
      <c r="F306" s="77" t="s">
        <v>101</v>
      </c>
      <c r="G306" s="61">
        <v>1545.2</v>
      </c>
    </row>
    <row r="307" spans="1:7" ht="31.5">
      <c r="A307" s="67" t="s">
        <v>842</v>
      </c>
      <c r="B307" s="77"/>
      <c r="C307" s="77" t="s">
        <v>188</v>
      </c>
      <c r="D307" s="77" t="s">
        <v>58</v>
      </c>
      <c r="E307" s="77" t="s">
        <v>843</v>
      </c>
      <c r="F307" s="77"/>
      <c r="G307" s="61">
        <f>SUM(G308)</f>
        <v>3500</v>
      </c>
    </row>
    <row r="308" spans="1:7" ht="15.75">
      <c r="A308" s="67" t="s">
        <v>39</v>
      </c>
      <c r="B308" s="77"/>
      <c r="C308" s="77" t="s">
        <v>188</v>
      </c>
      <c r="D308" s="77" t="s">
        <v>58</v>
      </c>
      <c r="E308" s="77" t="s">
        <v>844</v>
      </c>
      <c r="F308" s="77"/>
      <c r="G308" s="61">
        <f>SUM(G309)</f>
        <v>3500</v>
      </c>
    </row>
    <row r="309" spans="1:7" ht="15.75">
      <c r="A309" s="67" t="s">
        <v>364</v>
      </c>
      <c r="B309" s="77"/>
      <c r="C309" s="77" t="s">
        <v>188</v>
      </c>
      <c r="D309" s="77" t="s">
        <v>58</v>
      </c>
      <c r="E309" s="77" t="s">
        <v>845</v>
      </c>
      <c r="F309" s="77"/>
      <c r="G309" s="61">
        <f>SUM(G310)</f>
        <v>3500</v>
      </c>
    </row>
    <row r="310" spans="1:7" ht="31.5">
      <c r="A310" s="67" t="s">
        <v>56</v>
      </c>
      <c r="B310" s="77"/>
      <c r="C310" s="77" t="s">
        <v>188</v>
      </c>
      <c r="D310" s="77" t="s">
        <v>58</v>
      </c>
      <c r="E310" s="77" t="s">
        <v>845</v>
      </c>
      <c r="F310" s="77" t="s">
        <v>101</v>
      </c>
      <c r="G310" s="61">
        <v>3500</v>
      </c>
    </row>
    <row r="311" spans="1:7" ht="15.75">
      <c r="A311" s="67" t="s">
        <v>365</v>
      </c>
      <c r="B311" s="77"/>
      <c r="C311" s="77" t="s">
        <v>188</v>
      </c>
      <c r="D311" s="77" t="s">
        <v>58</v>
      </c>
      <c r="E311" s="77" t="s">
        <v>217</v>
      </c>
      <c r="F311" s="77"/>
      <c r="G311" s="61">
        <f>SUM(G312)</f>
        <v>198.4</v>
      </c>
    </row>
    <row r="312" spans="1:7" ht="78.75">
      <c r="A312" s="101" t="s">
        <v>317</v>
      </c>
      <c r="B312" s="82"/>
      <c r="C312" s="77" t="s">
        <v>188</v>
      </c>
      <c r="D312" s="77" t="s">
        <v>58</v>
      </c>
      <c r="E312" s="77" t="s">
        <v>252</v>
      </c>
      <c r="F312" s="77"/>
      <c r="G312" s="61">
        <f>SUM(G313)</f>
        <v>198.4</v>
      </c>
    </row>
    <row r="313" spans="1:7" ht="63">
      <c r="A313" s="101" t="s">
        <v>420</v>
      </c>
      <c r="B313" s="82"/>
      <c r="C313" s="77" t="s">
        <v>188</v>
      </c>
      <c r="D313" s="77" t="s">
        <v>58</v>
      </c>
      <c r="E313" s="77" t="s">
        <v>419</v>
      </c>
      <c r="F313" s="77"/>
      <c r="G313" s="61">
        <f>SUM(G314)</f>
        <v>198.4</v>
      </c>
    </row>
    <row r="314" spans="1:7" ht="31.5">
      <c r="A314" s="67" t="s">
        <v>56</v>
      </c>
      <c r="B314" s="77"/>
      <c r="C314" s="77" t="s">
        <v>188</v>
      </c>
      <c r="D314" s="77" t="s">
        <v>58</v>
      </c>
      <c r="E314" s="77" t="s">
        <v>419</v>
      </c>
      <c r="F314" s="77" t="s">
        <v>101</v>
      </c>
      <c r="G314" s="61">
        <v>198.4</v>
      </c>
    </row>
    <row r="315" spans="1:7" ht="15.75">
      <c r="A315" s="67" t="s">
        <v>198</v>
      </c>
      <c r="B315" s="77"/>
      <c r="C315" s="70" t="s">
        <v>188</v>
      </c>
      <c r="D315" s="70" t="s">
        <v>188</v>
      </c>
      <c r="E315" s="70"/>
      <c r="F315" s="70"/>
      <c r="G315" s="71">
        <f>SUM(G328)+G331+G316+G321</f>
        <v>36762.1</v>
      </c>
    </row>
    <row r="316" spans="1:7" ht="47.25">
      <c r="A316" s="153" t="s">
        <v>752</v>
      </c>
      <c r="B316" s="77"/>
      <c r="C316" s="70" t="s">
        <v>188</v>
      </c>
      <c r="D316" s="70" t="s">
        <v>188</v>
      </c>
      <c r="E316" s="70" t="s">
        <v>757</v>
      </c>
      <c r="F316" s="70"/>
      <c r="G316" s="71">
        <f>SUM(G317)</f>
        <v>31600</v>
      </c>
    </row>
    <row r="317" spans="1:7" ht="15.75">
      <c r="A317" s="9" t="s">
        <v>360</v>
      </c>
      <c r="B317" s="77"/>
      <c r="C317" s="70" t="s">
        <v>188</v>
      </c>
      <c r="D317" s="70" t="s">
        <v>188</v>
      </c>
      <c r="E317" s="70" t="s">
        <v>758</v>
      </c>
      <c r="F317" s="70"/>
      <c r="G317" s="71">
        <f>SUM(G318)</f>
        <v>31600</v>
      </c>
    </row>
    <row r="318" spans="1:7" ht="47.25">
      <c r="A318" s="74" t="s">
        <v>612</v>
      </c>
      <c r="B318" s="77"/>
      <c r="C318" s="70" t="s">
        <v>188</v>
      </c>
      <c r="D318" s="70" t="s">
        <v>188</v>
      </c>
      <c r="E318" s="70" t="s">
        <v>759</v>
      </c>
      <c r="F318" s="70"/>
      <c r="G318" s="71">
        <f>SUM(G319)</f>
        <v>31600</v>
      </c>
    </row>
    <row r="319" spans="1:7" ht="15.75">
      <c r="A319" s="67" t="s">
        <v>761</v>
      </c>
      <c r="B319" s="77"/>
      <c r="C319" s="70" t="s">
        <v>188</v>
      </c>
      <c r="D319" s="70" t="s">
        <v>188</v>
      </c>
      <c r="E319" s="70" t="s">
        <v>760</v>
      </c>
      <c r="F319" s="70"/>
      <c r="G319" s="71">
        <f>SUM(G320)</f>
        <v>31600</v>
      </c>
    </row>
    <row r="320" spans="1:7" ht="31.5">
      <c r="A320" s="67" t="s">
        <v>359</v>
      </c>
      <c r="B320" s="77"/>
      <c r="C320" s="70" t="s">
        <v>188</v>
      </c>
      <c r="D320" s="70" t="s">
        <v>188</v>
      </c>
      <c r="E320" s="70" t="s">
        <v>760</v>
      </c>
      <c r="F320" s="70" t="s">
        <v>313</v>
      </c>
      <c r="G320" s="71">
        <v>31600</v>
      </c>
    </row>
    <row r="321" spans="1:7" ht="31.5">
      <c r="A321" s="67" t="s">
        <v>305</v>
      </c>
      <c r="B321" s="77"/>
      <c r="C321" s="70" t="s">
        <v>188</v>
      </c>
      <c r="D321" s="70" t="s">
        <v>188</v>
      </c>
      <c r="E321" s="77" t="s">
        <v>306</v>
      </c>
      <c r="F321" s="77"/>
      <c r="G321" s="61">
        <f>SUM(G322)+G325</f>
        <v>580</v>
      </c>
    </row>
    <row r="322" spans="1:7" ht="31.5">
      <c r="A322" s="67" t="s">
        <v>357</v>
      </c>
      <c r="B322" s="77"/>
      <c r="C322" s="70" t="s">
        <v>188</v>
      </c>
      <c r="D322" s="70" t="s">
        <v>188</v>
      </c>
      <c r="E322" s="77" t="s">
        <v>407</v>
      </c>
      <c r="F322" s="77"/>
      <c r="G322" s="61">
        <f>SUM(G323)</f>
        <v>380</v>
      </c>
    </row>
    <row r="323" spans="1:7" ht="31.5">
      <c r="A323" s="67" t="s">
        <v>358</v>
      </c>
      <c r="B323" s="77"/>
      <c r="C323" s="70" t="s">
        <v>188</v>
      </c>
      <c r="D323" s="70" t="s">
        <v>188</v>
      </c>
      <c r="E323" s="77" t="s">
        <v>408</v>
      </c>
      <c r="F323" s="77"/>
      <c r="G323" s="61">
        <f>SUM(G324)</f>
        <v>380</v>
      </c>
    </row>
    <row r="324" spans="1:7" ht="31.5">
      <c r="A324" s="67" t="s">
        <v>359</v>
      </c>
      <c r="B324" s="77"/>
      <c r="C324" s="70" t="s">
        <v>188</v>
      </c>
      <c r="D324" s="70" t="s">
        <v>188</v>
      </c>
      <c r="E324" s="77" t="s">
        <v>408</v>
      </c>
      <c r="F324" s="77" t="s">
        <v>313</v>
      </c>
      <c r="G324" s="61">
        <v>380</v>
      </c>
    </row>
    <row r="325" spans="1:7" ht="15.75">
      <c r="A325" s="67" t="s">
        <v>360</v>
      </c>
      <c r="B325" s="77"/>
      <c r="C325" s="70" t="s">
        <v>188</v>
      </c>
      <c r="D325" s="70" t="s">
        <v>188</v>
      </c>
      <c r="E325" s="77" t="s">
        <v>409</v>
      </c>
      <c r="F325" s="77"/>
      <c r="G325" s="61">
        <f>SUM(G326)</f>
        <v>200</v>
      </c>
    </row>
    <row r="326" spans="1:7" ht="31.5">
      <c r="A326" s="67" t="s">
        <v>358</v>
      </c>
      <c r="B326" s="77"/>
      <c r="C326" s="70" t="s">
        <v>188</v>
      </c>
      <c r="D326" s="70" t="s">
        <v>188</v>
      </c>
      <c r="E326" s="77" t="s">
        <v>410</v>
      </c>
      <c r="F326" s="77"/>
      <c r="G326" s="61">
        <f>SUM(G327)</f>
        <v>200</v>
      </c>
    </row>
    <row r="327" spans="1:7" ht="31.5">
      <c r="A327" s="67" t="s">
        <v>359</v>
      </c>
      <c r="B327" s="77"/>
      <c r="C327" s="70" t="s">
        <v>188</v>
      </c>
      <c r="D327" s="70" t="s">
        <v>188</v>
      </c>
      <c r="E327" s="77" t="s">
        <v>410</v>
      </c>
      <c r="F327" s="77" t="s">
        <v>313</v>
      </c>
      <c r="G327" s="61">
        <v>200</v>
      </c>
    </row>
    <row r="328" spans="1:7" ht="31.5">
      <c r="A328" s="67" t="s">
        <v>352</v>
      </c>
      <c r="B328" s="77"/>
      <c r="C328" s="70" t="s">
        <v>188</v>
      </c>
      <c r="D328" s="70" t="s">
        <v>188</v>
      </c>
      <c r="E328" s="70" t="s">
        <v>398</v>
      </c>
      <c r="F328" s="70"/>
      <c r="G328" s="71">
        <f>SUM(G329)</f>
        <v>977.6999999999999</v>
      </c>
    </row>
    <row r="329" spans="1:7" ht="31.5">
      <c r="A329" s="67" t="s">
        <v>358</v>
      </c>
      <c r="B329" s="77"/>
      <c r="C329" s="70" t="s">
        <v>188</v>
      </c>
      <c r="D329" s="70" t="s">
        <v>188</v>
      </c>
      <c r="E329" s="70" t="s">
        <v>421</v>
      </c>
      <c r="F329" s="70"/>
      <c r="G329" s="71">
        <f>SUM(G330)</f>
        <v>977.6999999999999</v>
      </c>
    </row>
    <row r="330" spans="1:7" ht="31.5">
      <c r="A330" s="67" t="s">
        <v>359</v>
      </c>
      <c r="B330" s="77"/>
      <c r="C330" s="70" t="s">
        <v>188</v>
      </c>
      <c r="D330" s="70" t="s">
        <v>188</v>
      </c>
      <c r="E330" s="70" t="s">
        <v>421</v>
      </c>
      <c r="F330" s="70" t="s">
        <v>313</v>
      </c>
      <c r="G330" s="71">
        <f>510.8+467-0.1</f>
        <v>977.6999999999999</v>
      </c>
    </row>
    <row r="331" spans="1:7" ht="31.5">
      <c r="A331" s="67" t="s">
        <v>295</v>
      </c>
      <c r="B331" s="77"/>
      <c r="C331" s="70" t="s">
        <v>188</v>
      </c>
      <c r="D331" s="70" t="s">
        <v>188</v>
      </c>
      <c r="E331" s="70" t="s">
        <v>296</v>
      </c>
      <c r="F331" s="70"/>
      <c r="G331" s="71">
        <f>SUM(G332)</f>
        <v>3604.4</v>
      </c>
    </row>
    <row r="332" spans="1:7" ht="31.5">
      <c r="A332" s="67" t="s">
        <v>547</v>
      </c>
      <c r="B332" s="77"/>
      <c r="C332" s="70" t="s">
        <v>188</v>
      </c>
      <c r="D332" s="70" t="s">
        <v>188</v>
      </c>
      <c r="E332" s="70" t="s">
        <v>299</v>
      </c>
      <c r="F332" s="70"/>
      <c r="G332" s="71">
        <f>SUM(G333)</f>
        <v>3604.4</v>
      </c>
    </row>
    <row r="333" spans="1:7" ht="31.5">
      <c r="A333" s="67" t="s">
        <v>548</v>
      </c>
      <c r="B333" s="77"/>
      <c r="C333" s="70" t="s">
        <v>188</v>
      </c>
      <c r="D333" s="70" t="s">
        <v>188</v>
      </c>
      <c r="E333" s="70" t="s">
        <v>549</v>
      </c>
      <c r="F333" s="70"/>
      <c r="G333" s="71">
        <f>SUM(G334)</f>
        <v>3604.4</v>
      </c>
    </row>
    <row r="334" spans="1:7" ht="31.5">
      <c r="A334" s="67" t="s">
        <v>359</v>
      </c>
      <c r="B334" s="77"/>
      <c r="C334" s="70" t="s">
        <v>188</v>
      </c>
      <c r="D334" s="70" t="s">
        <v>188</v>
      </c>
      <c r="E334" s="70" t="s">
        <v>549</v>
      </c>
      <c r="F334" s="70" t="s">
        <v>313</v>
      </c>
      <c r="G334" s="71">
        <v>3604.4</v>
      </c>
    </row>
    <row r="335" spans="1:7" ht="15.75">
      <c r="A335" s="48" t="s">
        <v>300</v>
      </c>
      <c r="B335" s="83"/>
      <c r="C335" s="50" t="s">
        <v>82</v>
      </c>
      <c r="D335" s="49"/>
      <c r="E335" s="49"/>
      <c r="F335" s="49"/>
      <c r="G335" s="51">
        <f>SUM(G336+G342)</f>
        <v>5906.799999999999</v>
      </c>
    </row>
    <row r="336" spans="1:7" ht="15.75">
      <c r="A336" s="48" t="s">
        <v>301</v>
      </c>
      <c r="B336" s="83"/>
      <c r="C336" s="50" t="s">
        <v>82</v>
      </c>
      <c r="D336" s="50" t="s">
        <v>58</v>
      </c>
      <c r="E336" s="49"/>
      <c r="F336" s="49"/>
      <c r="G336" s="51">
        <f>SUM(G337)</f>
        <v>4959.699999999999</v>
      </c>
    </row>
    <row r="337" spans="1:7" ht="31.5">
      <c r="A337" s="48" t="s">
        <v>302</v>
      </c>
      <c r="B337" s="83"/>
      <c r="C337" s="50" t="s">
        <v>82</v>
      </c>
      <c r="D337" s="50" t="s">
        <v>58</v>
      </c>
      <c r="E337" s="49" t="s">
        <v>303</v>
      </c>
      <c r="F337" s="49"/>
      <c r="G337" s="51">
        <f>SUM(G338)</f>
        <v>4959.699999999999</v>
      </c>
    </row>
    <row r="338" spans="1:7" ht="31.5">
      <c r="A338" s="48" t="s">
        <v>49</v>
      </c>
      <c r="B338" s="83"/>
      <c r="C338" s="50" t="s">
        <v>82</v>
      </c>
      <c r="D338" s="50" t="s">
        <v>58</v>
      </c>
      <c r="E338" s="49" t="s">
        <v>304</v>
      </c>
      <c r="F338" s="49"/>
      <c r="G338" s="51">
        <f>SUM(G339:G341)</f>
        <v>4959.699999999999</v>
      </c>
    </row>
    <row r="339" spans="1:7" ht="47.25">
      <c r="A339" s="67" t="s">
        <v>55</v>
      </c>
      <c r="B339" s="83"/>
      <c r="C339" s="50" t="s">
        <v>82</v>
      </c>
      <c r="D339" s="50" t="s">
        <v>58</v>
      </c>
      <c r="E339" s="49" t="s">
        <v>304</v>
      </c>
      <c r="F339" s="50" t="s">
        <v>99</v>
      </c>
      <c r="G339" s="51">
        <f>3939.6+25.2+198</f>
        <v>4162.799999999999</v>
      </c>
    </row>
    <row r="340" spans="1:7" ht="31.5">
      <c r="A340" s="48" t="s">
        <v>56</v>
      </c>
      <c r="B340" s="83"/>
      <c r="C340" s="50" t="s">
        <v>82</v>
      </c>
      <c r="D340" s="50" t="s">
        <v>58</v>
      </c>
      <c r="E340" s="49" t="s">
        <v>304</v>
      </c>
      <c r="F340" s="50" t="s">
        <v>101</v>
      </c>
      <c r="G340" s="51">
        <f>709.8-25.2-0.6+60-2</f>
        <v>741.9999999999999</v>
      </c>
    </row>
    <row r="341" spans="1:7" ht="15.75">
      <c r="A341" s="48" t="s">
        <v>26</v>
      </c>
      <c r="B341" s="83"/>
      <c r="C341" s="50" t="s">
        <v>82</v>
      </c>
      <c r="D341" s="50" t="s">
        <v>58</v>
      </c>
      <c r="E341" s="49" t="s">
        <v>304</v>
      </c>
      <c r="F341" s="50" t="s">
        <v>106</v>
      </c>
      <c r="G341" s="51">
        <v>54.9</v>
      </c>
    </row>
    <row r="342" spans="1:7" ht="15.75">
      <c r="A342" s="48" t="s">
        <v>199</v>
      </c>
      <c r="B342" s="83"/>
      <c r="C342" s="50" t="s">
        <v>82</v>
      </c>
      <c r="D342" s="50" t="s">
        <v>188</v>
      </c>
      <c r="E342" s="49"/>
      <c r="F342" s="49"/>
      <c r="G342" s="51">
        <f>SUM(G343)+G350</f>
        <v>947.1</v>
      </c>
    </row>
    <row r="343" spans="1:7" ht="31.5">
      <c r="A343" s="48" t="s">
        <v>302</v>
      </c>
      <c r="B343" s="83"/>
      <c r="C343" s="50" t="s">
        <v>82</v>
      </c>
      <c r="D343" s="50" t="s">
        <v>188</v>
      </c>
      <c r="E343" s="49" t="s">
        <v>303</v>
      </c>
      <c r="F343" s="49"/>
      <c r="G343" s="51">
        <f>SUM(G344)</f>
        <v>894.1</v>
      </c>
    </row>
    <row r="344" spans="1:7" ht="15.75">
      <c r="A344" s="48" t="s">
        <v>39</v>
      </c>
      <c r="B344" s="83"/>
      <c r="C344" s="50" t="s">
        <v>82</v>
      </c>
      <c r="D344" s="50" t="s">
        <v>188</v>
      </c>
      <c r="E344" s="49" t="s">
        <v>315</v>
      </c>
      <c r="F344" s="49"/>
      <c r="G344" s="51">
        <f>SUM(G345)+G347</f>
        <v>894.1</v>
      </c>
    </row>
    <row r="345" spans="1:7" ht="47.25" hidden="1">
      <c r="A345" s="48" t="s">
        <v>366</v>
      </c>
      <c r="B345" s="83"/>
      <c r="C345" s="50" t="s">
        <v>82</v>
      </c>
      <c r="D345" s="50" t="s">
        <v>188</v>
      </c>
      <c r="E345" s="49" t="s">
        <v>367</v>
      </c>
      <c r="F345" s="49"/>
      <c r="G345" s="51">
        <f>SUM(G346)</f>
        <v>0</v>
      </c>
    </row>
    <row r="346" spans="1:7" ht="15.75" hidden="1">
      <c r="A346" s="48" t="s">
        <v>100</v>
      </c>
      <c r="B346" s="83"/>
      <c r="C346" s="50" t="s">
        <v>82</v>
      </c>
      <c r="D346" s="50" t="s">
        <v>188</v>
      </c>
      <c r="E346" s="49" t="s">
        <v>367</v>
      </c>
      <c r="F346" s="50" t="s">
        <v>101</v>
      </c>
      <c r="G346" s="51"/>
    </row>
    <row r="347" spans="1:7" ht="47.25">
      <c r="A347" s="48" t="s">
        <v>366</v>
      </c>
      <c r="B347" s="83"/>
      <c r="C347" s="50" t="s">
        <v>82</v>
      </c>
      <c r="D347" s="50" t="s">
        <v>188</v>
      </c>
      <c r="E347" s="49" t="s">
        <v>367</v>
      </c>
      <c r="F347" s="49"/>
      <c r="G347" s="51">
        <f>SUM(G348:G349)</f>
        <v>894.1</v>
      </c>
    </row>
    <row r="348" spans="1:7" ht="47.25">
      <c r="A348" s="67" t="s">
        <v>55</v>
      </c>
      <c r="B348" s="83"/>
      <c r="C348" s="50" t="s">
        <v>82</v>
      </c>
      <c r="D348" s="50" t="s">
        <v>188</v>
      </c>
      <c r="E348" s="49" t="s">
        <v>367</v>
      </c>
      <c r="F348" s="49">
        <v>100</v>
      </c>
      <c r="G348" s="51">
        <v>25</v>
      </c>
    </row>
    <row r="349" spans="1:7" ht="31.5">
      <c r="A349" s="48" t="s">
        <v>56</v>
      </c>
      <c r="B349" s="83"/>
      <c r="C349" s="50" t="s">
        <v>82</v>
      </c>
      <c r="D349" s="50" t="s">
        <v>188</v>
      </c>
      <c r="E349" s="49" t="s">
        <v>367</v>
      </c>
      <c r="F349" s="50" t="s">
        <v>101</v>
      </c>
      <c r="G349" s="51">
        <f>975-105.9</f>
        <v>869.1</v>
      </c>
    </row>
    <row r="350" spans="1:7" ht="31.5">
      <c r="A350" s="67" t="s">
        <v>316</v>
      </c>
      <c r="B350" s="77"/>
      <c r="C350" s="158" t="s">
        <v>82</v>
      </c>
      <c r="D350" s="158" t="s">
        <v>188</v>
      </c>
      <c r="E350" s="77" t="s">
        <v>264</v>
      </c>
      <c r="F350" s="77"/>
      <c r="G350" s="61">
        <f>SUM(G351)</f>
        <v>53</v>
      </c>
    </row>
    <row r="351" spans="1:7" ht="31.5">
      <c r="A351" s="67" t="s">
        <v>265</v>
      </c>
      <c r="B351" s="77"/>
      <c r="C351" s="158" t="s">
        <v>82</v>
      </c>
      <c r="D351" s="158" t="s">
        <v>188</v>
      </c>
      <c r="E351" s="77" t="s">
        <v>266</v>
      </c>
      <c r="F351" s="77"/>
      <c r="G351" s="61">
        <f>SUM(G352)</f>
        <v>53</v>
      </c>
    </row>
    <row r="352" spans="1:7" ht="31.5">
      <c r="A352" s="67" t="s">
        <v>84</v>
      </c>
      <c r="B352" s="77"/>
      <c r="C352" s="158" t="s">
        <v>82</v>
      </c>
      <c r="D352" s="158" t="s">
        <v>188</v>
      </c>
      <c r="E352" s="77" t="s">
        <v>267</v>
      </c>
      <c r="F352" s="77"/>
      <c r="G352" s="61">
        <f>SUM(G353)</f>
        <v>53</v>
      </c>
    </row>
    <row r="353" spans="1:7" ht="31.5">
      <c r="A353" s="67" t="s">
        <v>268</v>
      </c>
      <c r="B353" s="77"/>
      <c r="C353" s="158" t="s">
        <v>82</v>
      </c>
      <c r="D353" s="158" t="s">
        <v>188</v>
      </c>
      <c r="E353" s="77" t="s">
        <v>269</v>
      </c>
      <c r="F353" s="77"/>
      <c r="G353" s="61">
        <f>SUM(G354)</f>
        <v>53</v>
      </c>
    </row>
    <row r="354" spans="1:7" ht="31.5">
      <c r="A354" s="67" t="s">
        <v>56</v>
      </c>
      <c r="B354" s="77"/>
      <c r="C354" s="158" t="s">
        <v>82</v>
      </c>
      <c r="D354" s="158" t="s">
        <v>188</v>
      </c>
      <c r="E354" s="77" t="s">
        <v>269</v>
      </c>
      <c r="F354" s="77" t="s">
        <v>101</v>
      </c>
      <c r="G354" s="61">
        <v>53</v>
      </c>
    </row>
    <row r="355" spans="1:7" ht="15.75">
      <c r="A355" s="67" t="s">
        <v>124</v>
      </c>
      <c r="B355" s="77"/>
      <c r="C355" s="70" t="s">
        <v>125</v>
      </c>
      <c r="D355" s="70" t="s">
        <v>36</v>
      </c>
      <c r="E355" s="70"/>
      <c r="F355" s="70"/>
      <c r="G355" s="71">
        <f>SUM(G368)+G356+G361</f>
        <v>2182.7</v>
      </c>
    </row>
    <row r="356" spans="1:7" ht="15.75">
      <c r="A356" s="67" t="s">
        <v>200</v>
      </c>
      <c r="B356" s="77"/>
      <c r="C356" s="70" t="s">
        <v>125</v>
      </c>
      <c r="D356" s="70" t="s">
        <v>38</v>
      </c>
      <c r="E356" s="70"/>
      <c r="F356" s="70"/>
      <c r="G356" s="71">
        <f>SUM(G357)</f>
        <v>2000</v>
      </c>
    </row>
    <row r="357" spans="1:7" ht="31.5">
      <c r="A357" s="67" t="s">
        <v>316</v>
      </c>
      <c r="B357" s="77"/>
      <c r="C357" s="70" t="s">
        <v>125</v>
      </c>
      <c r="D357" s="70" t="s">
        <v>38</v>
      </c>
      <c r="E357" s="49" t="s">
        <v>264</v>
      </c>
      <c r="F357" s="70"/>
      <c r="G357" s="71">
        <f>SUM(G358)</f>
        <v>2000</v>
      </c>
    </row>
    <row r="358" spans="1:7" ht="31.5">
      <c r="A358" s="48" t="s">
        <v>265</v>
      </c>
      <c r="B358" s="77"/>
      <c r="C358" s="70" t="s">
        <v>125</v>
      </c>
      <c r="D358" s="70" t="s">
        <v>38</v>
      </c>
      <c r="E358" s="49" t="s">
        <v>266</v>
      </c>
      <c r="F358" s="70"/>
      <c r="G358" s="71">
        <f>SUM(G359)</f>
        <v>2000</v>
      </c>
    </row>
    <row r="359" spans="1:7" ht="47.25">
      <c r="A359" s="67" t="s">
        <v>652</v>
      </c>
      <c r="B359" s="77"/>
      <c r="C359" s="70" t="s">
        <v>125</v>
      </c>
      <c r="D359" s="70" t="s">
        <v>38</v>
      </c>
      <c r="E359" s="49" t="s">
        <v>653</v>
      </c>
      <c r="F359" s="70"/>
      <c r="G359" s="71">
        <f>SUM(G360)</f>
        <v>2000</v>
      </c>
    </row>
    <row r="360" spans="1:7" ht="31.5">
      <c r="A360" s="67" t="s">
        <v>359</v>
      </c>
      <c r="B360" s="77"/>
      <c r="C360" s="70" t="s">
        <v>125</v>
      </c>
      <c r="D360" s="70" t="s">
        <v>38</v>
      </c>
      <c r="E360" s="49" t="s">
        <v>653</v>
      </c>
      <c r="F360" s="70" t="s">
        <v>313</v>
      </c>
      <c r="G360" s="71">
        <v>2000</v>
      </c>
    </row>
    <row r="361" spans="1:7" ht="15.75">
      <c r="A361" s="157" t="s">
        <v>201</v>
      </c>
      <c r="B361" s="77"/>
      <c r="C361" s="70" t="s">
        <v>125</v>
      </c>
      <c r="D361" s="70" t="s">
        <v>48</v>
      </c>
      <c r="E361" s="49"/>
      <c r="F361" s="70"/>
      <c r="G361" s="71">
        <f>SUM(G362)</f>
        <v>182.7</v>
      </c>
    </row>
    <row r="362" spans="1:7" ht="31.5">
      <c r="A362" s="67" t="s">
        <v>316</v>
      </c>
      <c r="B362" s="77"/>
      <c r="C362" s="70" t="s">
        <v>125</v>
      </c>
      <c r="D362" s="70" t="s">
        <v>48</v>
      </c>
      <c r="E362" s="77" t="s">
        <v>264</v>
      </c>
      <c r="F362" s="77"/>
      <c r="G362" s="61">
        <f>SUM(G363)</f>
        <v>182.7</v>
      </c>
    </row>
    <row r="363" spans="1:7" ht="31.5">
      <c r="A363" s="67" t="s">
        <v>265</v>
      </c>
      <c r="B363" s="77"/>
      <c r="C363" s="70" t="s">
        <v>125</v>
      </c>
      <c r="D363" s="70" t="s">
        <v>48</v>
      </c>
      <c r="E363" s="77" t="s">
        <v>266</v>
      </c>
      <c r="F363" s="77"/>
      <c r="G363" s="61">
        <f>SUM(G364)</f>
        <v>182.7</v>
      </c>
    </row>
    <row r="364" spans="1:7" ht="31.5">
      <c r="A364" s="67" t="s">
        <v>84</v>
      </c>
      <c r="B364" s="77"/>
      <c r="C364" s="70" t="s">
        <v>125</v>
      </c>
      <c r="D364" s="70" t="s">
        <v>48</v>
      </c>
      <c r="E364" s="77" t="s">
        <v>267</v>
      </c>
      <c r="F364" s="77"/>
      <c r="G364" s="61">
        <f>SUM(G365)</f>
        <v>182.7</v>
      </c>
    </row>
    <row r="365" spans="1:7" ht="31.5">
      <c r="A365" s="67" t="s">
        <v>268</v>
      </c>
      <c r="B365" s="77"/>
      <c r="C365" s="70" t="s">
        <v>125</v>
      </c>
      <c r="D365" s="70" t="s">
        <v>48</v>
      </c>
      <c r="E365" s="77" t="s">
        <v>269</v>
      </c>
      <c r="F365" s="77"/>
      <c r="G365" s="61">
        <f>SUM(G366)</f>
        <v>182.7</v>
      </c>
    </row>
    <row r="366" spans="1:7" ht="31.5">
      <c r="A366" s="67" t="s">
        <v>56</v>
      </c>
      <c r="B366" s="77"/>
      <c r="C366" s="70" t="s">
        <v>125</v>
      </c>
      <c r="D366" s="70" t="s">
        <v>48</v>
      </c>
      <c r="E366" s="77" t="s">
        <v>269</v>
      </c>
      <c r="F366" s="77" t="s">
        <v>101</v>
      </c>
      <c r="G366" s="61">
        <f>200-17.3</f>
        <v>182.7</v>
      </c>
    </row>
    <row r="367" spans="1:7" ht="15.75" hidden="1">
      <c r="A367" s="67"/>
      <c r="B367" s="77"/>
      <c r="C367" s="70"/>
      <c r="D367" s="70"/>
      <c r="E367" s="49"/>
      <c r="F367" s="70"/>
      <c r="G367" s="71"/>
    </row>
    <row r="368" spans="1:7" ht="15.75" hidden="1">
      <c r="A368" s="67" t="s">
        <v>203</v>
      </c>
      <c r="B368" s="77"/>
      <c r="C368" s="70" t="s">
        <v>125</v>
      </c>
      <c r="D368" s="70" t="s">
        <v>192</v>
      </c>
      <c r="E368" s="70"/>
      <c r="F368" s="70"/>
      <c r="G368" s="71">
        <f>SUM(G369)</f>
        <v>0</v>
      </c>
    </row>
    <row r="369" spans="1:7" ht="31.5" hidden="1">
      <c r="A369" s="67" t="s">
        <v>352</v>
      </c>
      <c r="B369" s="77"/>
      <c r="C369" s="70" t="s">
        <v>125</v>
      </c>
      <c r="D369" s="70" t="s">
        <v>192</v>
      </c>
      <c r="E369" s="70" t="s">
        <v>398</v>
      </c>
      <c r="F369" s="70"/>
      <c r="G369" s="71">
        <f>SUM(G370)</f>
        <v>0</v>
      </c>
    </row>
    <row r="370" spans="1:7" ht="31.5" hidden="1">
      <c r="A370" s="67" t="s">
        <v>358</v>
      </c>
      <c r="B370" s="77"/>
      <c r="C370" s="70" t="s">
        <v>125</v>
      </c>
      <c r="D370" s="70" t="s">
        <v>192</v>
      </c>
      <c r="E370" s="70" t="s">
        <v>421</v>
      </c>
      <c r="F370" s="70"/>
      <c r="G370" s="71">
        <f>SUM(G371)</f>
        <v>0</v>
      </c>
    </row>
    <row r="371" spans="1:7" ht="31.5" hidden="1">
      <c r="A371" s="67" t="s">
        <v>359</v>
      </c>
      <c r="B371" s="77"/>
      <c r="C371" s="70" t="s">
        <v>125</v>
      </c>
      <c r="D371" s="70" t="s">
        <v>192</v>
      </c>
      <c r="E371" s="70" t="s">
        <v>421</v>
      </c>
      <c r="F371" s="70" t="s">
        <v>313</v>
      </c>
      <c r="G371" s="71"/>
    </row>
    <row r="372" spans="1:7" ht="15.75">
      <c r="A372" s="48" t="s">
        <v>34</v>
      </c>
      <c r="B372" s="83"/>
      <c r="C372" s="50" t="s">
        <v>35</v>
      </c>
      <c r="D372" s="50"/>
      <c r="E372" s="49"/>
      <c r="F372" s="49"/>
      <c r="G372" s="51">
        <f>SUM(G373+G392)+G405</f>
        <v>92937.5</v>
      </c>
    </row>
    <row r="373" spans="1:7" ht="15.75">
      <c r="A373" s="48" t="s">
        <v>57</v>
      </c>
      <c r="B373" s="83"/>
      <c r="C373" s="50" t="s">
        <v>35</v>
      </c>
      <c r="D373" s="50" t="s">
        <v>58</v>
      </c>
      <c r="E373" s="49"/>
      <c r="F373" s="49"/>
      <c r="G373" s="51">
        <f>SUM(G382)+G379+G374+G385</f>
        <v>1150.6000000000001</v>
      </c>
    </row>
    <row r="374" spans="1:7" ht="47.25">
      <c r="A374" s="153" t="s">
        <v>752</v>
      </c>
      <c r="B374" s="162"/>
      <c r="C374" s="162" t="s">
        <v>35</v>
      </c>
      <c r="D374" s="162" t="s">
        <v>58</v>
      </c>
      <c r="E374" s="163" t="s">
        <v>757</v>
      </c>
      <c r="F374" s="164"/>
      <c r="G374" s="51">
        <f>SUM(G375)</f>
        <v>469.1</v>
      </c>
    </row>
    <row r="375" spans="1:7" ht="31.5">
      <c r="A375" s="159" t="s">
        <v>794</v>
      </c>
      <c r="B375" s="162"/>
      <c r="C375" s="162" t="s">
        <v>35</v>
      </c>
      <c r="D375" s="162" t="s">
        <v>58</v>
      </c>
      <c r="E375" s="163" t="s">
        <v>795</v>
      </c>
      <c r="F375" s="164"/>
      <c r="G375" s="51">
        <f>SUM(G376)</f>
        <v>469.1</v>
      </c>
    </row>
    <row r="376" spans="1:7" ht="47.25">
      <c r="A376" s="159" t="s">
        <v>700</v>
      </c>
      <c r="B376" s="162"/>
      <c r="C376" s="162" t="s">
        <v>35</v>
      </c>
      <c r="D376" s="162" t="s">
        <v>58</v>
      </c>
      <c r="E376" s="163" t="s">
        <v>796</v>
      </c>
      <c r="F376" s="164"/>
      <c r="G376" s="51">
        <f>SUM(G377)</f>
        <v>469.1</v>
      </c>
    </row>
    <row r="377" spans="1:7" ht="47.25">
      <c r="A377" s="159" t="s">
        <v>797</v>
      </c>
      <c r="B377" s="162"/>
      <c r="C377" s="162" t="s">
        <v>35</v>
      </c>
      <c r="D377" s="162" t="s">
        <v>58</v>
      </c>
      <c r="E377" s="163" t="s">
        <v>798</v>
      </c>
      <c r="F377" s="164"/>
      <c r="G377" s="51">
        <f>SUM(G378)</f>
        <v>469.1</v>
      </c>
    </row>
    <row r="378" spans="1:7" ht="15.75">
      <c r="A378" s="159" t="s">
        <v>46</v>
      </c>
      <c r="B378" s="162"/>
      <c r="C378" s="162" t="s">
        <v>35</v>
      </c>
      <c r="D378" s="162" t="s">
        <v>58</v>
      </c>
      <c r="E378" s="163" t="s">
        <v>798</v>
      </c>
      <c r="F378" s="163">
        <v>300</v>
      </c>
      <c r="G378" s="51">
        <v>469.1</v>
      </c>
    </row>
    <row r="379" spans="1:7" ht="31.5">
      <c r="A379" s="48" t="s">
        <v>305</v>
      </c>
      <c r="B379" s="83"/>
      <c r="C379" s="50" t="s">
        <v>35</v>
      </c>
      <c r="D379" s="50" t="s">
        <v>58</v>
      </c>
      <c r="E379" s="49" t="s">
        <v>306</v>
      </c>
      <c r="F379" s="49"/>
      <c r="G379" s="51">
        <f>SUM(G380)</f>
        <v>473.6</v>
      </c>
    </row>
    <row r="380" spans="1:7" ht="31.5">
      <c r="A380" s="48" t="s">
        <v>320</v>
      </c>
      <c r="B380" s="83"/>
      <c r="C380" s="50" t="s">
        <v>35</v>
      </c>
      <c r="D380" s="50" t="s">
        <v>58</v>
      </c>
      <c r="E380" s="49" t="s">
        <v>307</v>
      </c>
      <c r="F380" s="49"/>
      <c r="G380" s="51">
        <f>SUM(G381)</f>
        <v>473.6</v>
      </c>
    </row>
    <row r="381" spans="1:7" ht="15.75">
      <c r="A381" s="48" t="s">
        <v>46</v>
      </c>
      <c r="B381" s="83"/>
      <c r="C381" s="50" t="s">
        <v>35</v>
      </c>
      <c r="D381" s="50" t="s">
        <v>58</v>
      </c>
      <c r="E381" s="49" t="s">
        <v>307</v>
      </c>
      <c r="F381" s="49">
        <v>300</v>
      </c>
      <c r="G381" s="51">
        <v>473.6</v>
      </c>
    </row>
    <row r="382" spans="1:7" ht="31.5" hidden="1">
      <c r="A382" s="48" t="s">
        <v>308</v>
      </c>
      <c r="B382" s="83"/>
      <c r="C382" s="50" t="s">
        <v>35</v>
      </c>
      <c r="D382" s="50" t="s">
        <v>58</v>
      </c>
      <c r="E382" s="49" t="s">
        <v>296</v>
      </c>
      <c r="F382" s="49"/>
      <c r="G382" s="51">
        <f>SUM(G383)</f>
        <v>0</v>
      </c>
    </row>
    <row r="383" spans="1:7" ht="78.75" hidden="1">
      <c r="A383" s="48" t="s">
        <v>309</v>
      </c>
      <c r="B383" s="83"/>
      <c r="C383" s="50" t="s">
        <v>35</v>
      </c>
      <c r="D383" s="50" t="s">
        <v>58</v>
      </c>
      <c r="E383" s="49" t="s">
        <v>310</v>
      </c>
      <c r="F383" s="49"/>
      <c r="G383" s="51">
        <f>SUM(G384)</f>
        <v>0</v>
      </c>
    </row>
    <row r="384" spans="1:7" ht="15.75" hidden="1">
      <c r="A384" s="48" t="s">
        <v>100</v>
      </c>
      <c r="B384" s="83"/>
      <c r="C384" s="50" t="s">
        <v>35</v>
      </c>
      <c r="D384" s="50" t="s">
        <v>58</v>
      </c>
      <c r="E384" s="49" t="s">
        <v>310</v>
      </c>
      <c r="F384" s="49">
        <v>200</v>
      </c>
      <c r="G384" s="51"/>
    </row>
    <row r="385" spans="1:7" ht="31.5">
      <c r="A385" s="174" t="s">
        <v>88</v>
      </c>
      <c r="B385" s="77"/>
      <c r="C385" s="175" t="s">
        <v>35</v>
      </c>
      <c r="D385" s="175" t="s">
        <v>58</v>
      </c>
      <c r="E385" s="77" t="s">
        <v>20</v>
      </c>
      <c r="F385" s="77"/>
      <c r="G385" s="61">
        <f aca="true" t="shared" si="2" ref="G385:G390">SUM(G386)</f>
        <v>207.9</v>
      </c>
    </row>
    <row r="386" spans="1:7" ht="31.5">
      <c r="A386" s="174" t="s">
        <v>89</v>
      </c>
      <c r="B386" s="77"/>
      <c r="C386" s="175" t="s">
        <v>35</v>
      </c>
      <c r="D386" s="175" t="s">
        <v>58</v>
      </c>
      <c r="E386" s="77" t="s">
        <v>21</v>
      </c>
      <c r="F386" s="77"/>
      <c r="G386" s="61">
        <f t="shared" si="2"/>
        <v>207.9</v>
      </c>
    </row>
    <row r="387" spans="1:7" ht="15.75">
      <c r="A387" s="174" t="s">
        <v>39</v>
      </c>
      <c r="B387" s="77"/>
      <c r="C387" s="175" t="s">
        <v>35</v>
      </c>
      <c r="D387" s="175" t="s">
        <v>58</v>
      </c>
      <c r="E387" s="77" t="s">
        <v>40</v>
      </c>
      <c r="F387" s="77"/>
      <c r="G387" s="61">
        <f t="shared" si="2"/>
        <v>207.9</v>
      </c>
    </row>
    <row r="388" spans="1:7" ht="15.75">
      <c r="A388" s="174" t="s">
        <v>41</v>
      </c>
      <c r="B388" s="77"/>
      <c r="C388" s="175" t="s">
        <v>35</v>
      </c>
      <c r="D388" s="175" t="s">
        <v>58</v>
      </c>
      <c r="E388" s="77" t="s">
        <v>811</v>
      </c>
      <c r="F388" s="77"/>
      <c r="G388" s="61">
        <f t="shared" si="2"/>
        <v>207.9</v>
      </c>
    </row>
    <row r="389" spans="1:7" ht="15.75">
      <c r="A389" s="174" t="s">
        <v>59</v>
      </c>
      <c r="B389" s="77"/>
      <c r="C389" s="175" t="s">
        <v>35</v>
      </c>
      <c r="D389" s="175" t="s">
        <v>58</v>
      </c>
      <c r="E389" s="77" t="s">
        <v>812</v>
      </c>
      <c r="F389" s="77"/>
      <c r="G389" s="61">
        <f t="shared" si="2"/>
        <v>207.9</v>
      </c>
    </row>
    <row r="390" spans="1:7" ht="31.5">
      <c r="A390" s="174" t="s">
        <v>810</v>
      </c>
      <c r="B390" s="77"/>
      <c r="C390" s="175" t="s">
        <v>35</v>
      </c>
      <c r="D390" s="175" t="s">
        <v>58</v>
      </c>
      <c r="E390" s="77" t="s">
        <v>813</v>
      </c>
      <c r="F390" s="77"/>
      <c r="G390" s="61">
        <f t="shared" si="2"/>
        <v>207.9</v>
      </c>
    </row>
    <row r="391" spans="1:7" ht="15.75">
      <c r="A391" s="174" t="s">
        <v>46</v>
      </c>
      <c r="B391" s="77"/>
      <c r="C391" s="175" t="s">
        <v>35</v>
      </c>
      <c r="D391" s="175" t="s">
        <v>58</v>
      </c>
      <c r="E391" s="77" t="s">
        <v>813</v>
      </c>
      <c r="F391" s="77" t="s">
        <v>109</v>
      </c>
      <c r="G391" s="61">
        <v>207.9</v>
      </c>
    </row>
    <row r="392" spans="1:7" ht="15.75">
      <c r="A392" s="48" t="s">
        <v>209</v>
      </c>
      <c r="B392" s="83"/>
      <c r="C392" s="50" t="s">
        <v>35</v>
      </c>
      <c r="D392" s="50" t="s">
        <v>17</v>
      </c>
      <c r="E392" s="50"/>
      <c r="F392" s="50"/>
      <c r="G392" s="51">
        <f>SUM(G393)+G398</f>
        <v>64960.4</v>
      </c>
    </row>
    <row r="393" spans="1:7" ht="31.5">
      <c r="A393" s="48" t="s">
        <v>646</v>
      </c>
      <c r="B393" s="83"/>
      <c r="C393" s="50" t="s">
        <v>35</v>
      </c>
      <c r="D393" s="50" t="s">
        <v>17</v>
      </c>
      <c r="E393" s="50" t="s">
        <v>540</v>
      </c>
      <c r="F393" s="50"/>
      <c r="G393" s="51">
        <f>SUM(G394)</f>
        <v>4500</v>
      </c>
    </row>
    <row r="394" spans="1:7" ht="15.75">
      <c r="A394" s="48" t="s">
        <v>647</v>
      </c>
      <c r="B394" s="83"/>
      <c r="C394" s="50" t="s">
        <v>35</v>
      </c>
      <c r="D394" s="50" t="s">
        <v>17</v>
      </c>
      <c r="E394" s="50" t="s">
        <v>541</v>
      </c>
      <c r="F394" s="50"/>
      <c r="G394" s="51">
        <f>SUM(G395)</f>
        <v>4500</v>
      </c>
    </row>
    <row r="395" spans="1:7" ht="78.75">
      <c r="A395" s="48" t="s">
        <v>317</v>
      </c>
      <c r="B395" s="77"/>
      <c r="C395" s="50" t="s">
        <v>35</v>
      </c>
      <c r="D395" s="50" t="s">
        <v>17</v>
      </c>
      <c r="E395" s="50" t="s">
        <v>542</v>
      </c>
      <c r="F395" s="50"/>
      <c r="G395" s="51">
        <f>SUM(G396)</f>
        <v>4500</v>
      </c>
    </row>
    <row r="396" spans="1:7" ht="31.5">
      <c r="A396" s="48" t="s">
        <v>538</v>
      </c>
      <c r="B396" s="83"/>
      <c r="C396" s="50" t="s">
        <v>35</v>
      </c>
      <c r="D396" s="50" t="s">
        <v>17</v>
      </c>
      <c r="E396" s="50" t="s">
        <v>543</v>
      </c>
      <c r="F396" s="50"/>
      <c r="G396" s="51">
        <f>SUM(G397)</f>
        <v>4500</v>
      </c>
    </row>
    <row r="397" spans="1:7" ht="31.5">
      <c r="A397" s="48" t="s">
        <v>312</v>
      </c>
      <c r="B397" s="83"/>
      <c r="C397" s="50" t="s">
        <v>35</v>
      </c>
      <c r="D397" s="50" t="s">
        <v>17</v>
      </c>
      <c r="E397" s="50" t="s">
        <v>543</v>
      </c>
      <c r="F397" s="50" t="s">
        <v>313</v>
      </c>
      <c r="G397" s="51">
        <v>4500</v>
      </c>
    </row>
    <row r="398" spans="1:7" ht="31.5">
      <c r="A398" s="48" t="s">
        <v>295</v>
      </c>
      <c r="B398" s="83"/>
      <c r="C398" s="50" t="s">
        <v>35</v>
      </c>
      <c r="D398" s="50" t="s">
        <v>17</v>
      </c>
      <c r="E398" s="49" t="s">
        <v>296</v>
      </c>
      <c r="F398" s="49"/>
      <c r="G398" s="51">
        <f>SUM(G399)</f>
        <v>60460.4</v>
      </c>
    </row>
    <row r="399" spans="1:7" ht="63">
      <c r="A399" s="48" t="s">
        <v>539</v>
      </c>
      <c r="B399" s="83"/>
      <c r="C399" s="50" t="s">
        <v>35</v>
      </c>
      <c r="D399" s="50" t="s">
        <v>17</v>
      </c>
      <c r="E399" s="49" t="s">
        <v>544</v>
      </c>
      <c r="F399" s="49"/>
      <c r="G399" s="51">
        <f>SUM(G400)</f>
        <v>60460.4</v>
      </c>
    </row>
    <row r="400" spans="1:7" ht="94.5">
      <c r="A400" s="48" t="s">
        <v>537</v>
      </c>
      <c r="B400" s="83"/>
      <c r="C400" s="50" t="s">
        <v>35</v>
      </c>
      <c r="D400" s="50" t="s">
        <v>17</v>
      </c>
      <c r="E400" s="49" t="s">
        <v>545</v>
      </c>
      <c r="F400" s="49"/>
      <c r="G400" s="51">
        <f>SUM(G401+G403)</f>
        <v>60460.4</v>
      </c>
    </row>
    <row r="401" spans="1:7" ht="47.25">
      <c r="A401" s="67" t="s">
        <v>311</v>
      </c>
      <c r="B401" s="83"/>
      <c r="C401" s="50" t="s">
        <v>35</v>
      </c>
      <c r="D401" s="50" t="s">
        <v>17</v>
      </c>
      <c r="E401" s="49" t="s">
        <v>546</v>
      </c>
      <c r="F401" s="49"/>
      <c r="G401" s="51">
        <f>SUM(G402)</f>
        <v>23246.1</v>
      </c>
    </row>
    <row r="402" spans="1:7" ht="31.5">
      <c r="A402" s="48" t="s">
        <v>312</v>
      </c>
      <c r="B402" s="83"/>
      <c r="C402" s="50" t="s">
        <v>35</v>
      </c>
      <c r="D402" s="50" t="s">
        <v>17</v>
      </c>
      <c r="E402" s="49" t="s">
        <v>546</v>
      </c>
      <c r="F402" s="49">
        <v>400</v>
      </c>
      <c r="G402" s="51">
        <v>23246.1</v>
      </c>
    </row>
    <row r="403" spans="1:7" ht="47.25">
      <c r="A403" s="48" t="s">
        <v>314</v>
      </c>
      <c r="B403" s="83"/>
      <c r="C403" s="50" t="s">
        <v>35</v>
      </c>
      <c r="D403" s="50" t="s">
        <v>17</v>
      </c>
      <c r="E403" s="50" t="s">
        <v>651</v>
      </c>
      <c r="F403" s="49"/>
      <c r="G403" s="51">
        <f>SUM(G404)</f>
        <v>37214.3</v>
      </c>
    </row>
    <row r="404" spans="1:7" ht="31.5">
      <c r="A404" s="48" t="s">
        <v>312</v>
      </c>
      <c r="B404" s="83"/>
      <c r="C404" s="50" t="s">
        <v>35</v>
      </c>
      <c r="D404" s="50" t="s">
        <v>17</v>
      </c>
      <c r="E404" s="50" t="s">
        <v>651</v>
      </c>
      <c r="F404" s="50" t="s">
        <v>313</v>
      </c>
      <c r="G404" s="51">
        <v>37214.3</v>
      </c>
    </row>
    <row r="405" spans="1:7" ht="15.75">
      <c r="A405" s="48" t="s">
        <v>81</v>
      </c>
      <c r="B405" s="83"/>
      <c r="C405" s="50" t="s">
        <v>35</v>
      </c>
      <c r="D405" s="50" t="s">
        <v>82</v>
      </c>
      <c r="E405" s="49"/>
      <c r="F405" s="49"/>
      <c r="G405" s="51">
        <f>G413+G409+G406</f>
        <v>26826.5</v>
      </c>
    </row>
    <row r="406" spans="1:7" ht="31.5">
      <c r="A406" s="157" t="s">
        <v>295</v>
      </c>
      <c r="B406" s="83"/>
      <c r="C406" s="158" t="s">
        <v>35</v>
      </c>
      <c r="D406" s="158" t="s">
        <v>82</v>
      </c>
      <c r="E406" s="49" t="s">
        <v>296</v>
      </c>
      <c r="F406" s="49"/>
      <c r="G406" s="51">
        <f>SUM(G407)</f>
        <v>3591.5</v>
      </c>
    </row>
    <row r="407" spans="1:7" ht="78.75">
      <c r="A407" s="157" t="s">
        <v>788</v>
      </c>
      <c r="B407" s="161"/>
      <c r="C407" s="162" t="s">
        <v>35</v>
      </c>
      <c r="D407" s="162" t="s">
        <v>82</v>
      </c>
      <c r="E407" s="163" t="s">
        <v>310</v>
      </c>
      <c r="F407" s="164"/>
      <c r="G407" s="51">
        <f>SUM(G408)</f>
        <v>3591.5</v>
      </c>
    </row>
    <row r="408" spans="1:7" ht="30.75" customHeight="1">
      <c r="A408" s="157" t="s">
        <v>312</v>
      </c>
      <c r="B408" s="161"/>
      <c r="C408" s="162" t="s">
        <v>35</v>
      </c>
      <c r="D408" s="162" t="s">
        <v>82</v>
      </c>
      <c r="E408" s="163" t="s">
        <v>310</v>
      </c>
      <c r="F408" s="163">
        <v>400</v>
      </c>
      <c r="G408" s="51">
        <v>3591.5</v>
      </c>
    </row>
    <row r="409" spans="1:7" ht="31.5" hidden="1">
      <c r="A409" s="48" t="s">
        <v>88</v>
      </c>
      <c r="B409" s="49"/>
      <c r="C409" s="50" t="s">
        <v>35</v>
      </c>
      <c r="D409" s="50" t="s">
        <v>82</v>
      </c>
      <c r="E409" s="49" t="s">
        <v>20</v>
      </c>
      <c r="F409" s="49"/>
      <c r="G409" s="51">
        <f>SUM(G410)</f>
        <v>0</v>
      </c>
    </row>
    <row r="410" spans="1:7" ht="15.75" hidden="1">
      <c r="A410" s="48" t="s">
        <v>92</v>
      </c>
      <c r="B410" s="83"/>
      <c r="C410" s="50" t="s">
        <v>35</v>
      </c>
      <c r="D410" s="50" t="s">
        <v>82</v>
      </c>
      <c r="E410" s="49" t="s">
        <v>72</v>
      </c>
      <c r="F410" s="49"/>
      <c r="G410" s="51">
        <f>SUM(G411)</f>
        <v>0</v>
      </c>
    </row>
    <row r="411" spans="1:7" ht="15.75" hidden="1">
      <c r="A411" s="48" t="s">
        <v>41</v>
      </c>
      <c r="B411" s="83"/>
      <c r="C411" s="50" t="s">
        <v>35</v>
      </c>
      <c r="D411" s="50" t="s">
        <v>82</v>
      </c>
      <c r="E411" s="49" t="s">
        <v>650</v>
      </c>
      <c r="F411" s="49"/>
      <c r="G411" s="51">
        <f>SUM(G412)</f>
        <v>0</v>
      </c>
    </row>
    <row r="412" spans="1:7" ht="31.5" hidden="1">
      <c r="A412" s="48" t="s">
        <v>56</v>
      </c>
      <c r="B412" s="83"/>
      <c r="C412" s="50" t="s">
        <v>35</v>
      </c>
      <c r="D412" s="50" t="s">
        <v>82</v>
      </c>
      <c r="E412" s="49" t="s">
        <v>650</v>
      </c>
      <c r="F412" s="49">
        <v>200</v>
      </c>
      <c r="G412" s="51"/>
    </row>
    <row r="413" spans="1:7" ht="63">
      <c r="A413" s="48" t="s">
        <v>90</v>
      </c>
      <c r="B413" s="83"/>
      <c r="C413" s="50" t="s">
        <v>35</v>
      </c>
      <c r="D413" s="50" t="s">
        <v>82</v>
      </c>
      <c r="E413" s="49" t="s">
        <v>29</v>
      </c>
      <c r="F413" s="49"/>
      <c r="G413" s="51">
        <f>SUM(G414)+G417</f>
        <v>23235</v>
      </c>
    </row>
    <row r="414" spans="1:7" ht="47.25">
      <c r="A414" s="48" t="s">
        <v>30</v>
      </c>
      <c r="B414" s="83"/>
      <c r="C414" s="50" t="s">
        <v>35</v>
      </c>
      <c r="D414" s="50" t="s">
        <v>82</v>
      </c>
      <c r="E414" s="49" t="s">
        <v>31</v>
      </c>
      <c r="F414" s="49"/>
      <c r="G414" s="51">
        <f>G415</f>
        <v>22941.8</v>
      </c>
    </row>
    <row r="415" spans="1:7" ht="31.5">
      <c r="A415" s="48" t="s">
        <v>32</v>
      </c>
      <c r="B415" s="83"/>
      <c r="C415" s="50" t="s">
        <v>35</v>
      </c>
      <c r="D415" s="50" t="s">
        <v>82</v>
      </c>
      <c r="E415" s="49" t="s">
        <v>33</v>
      </c>
      <c r="F415" s="49"/>
      <c r="G415" s="51">
        <f>SUM(G416)</f>
        <v>22941.8</v>
      </c>
    </row>
    <row r="416" spans="1:7" ht="31.5">
      <c r="A416" s="48" t="s">
        <v>76</v>
      </c>
      <c r="B416" s="83"/>
      <c r="C416" s="50" t="s">
        <v>35</v>
      </c>
      <c r="D416" s="50" t="s">
        <v>82</v>
      </c>
      <c r="E416" s="49" t="s">
        <v>33</v>
      </c>
      <c r="F416" s="49">
        <v>600</v>
      </c>
      <c r="G416" s="51">
        <f>21766.8+1175</f>
        <v>22941.8</v>
      </c>
    </row>
    <row r="417" spans="1:7" ht="15.75">
      <c r="A417" s="48" t="s">
        <v>166</v>
      </c>
      <c r="B417" s="83"/>
      <c r="C417" s="50" t="s">
        <v>35</v>
      </c>
      <c r="D417" s="50" t="s">
        <v>82</v>
      </c>
      <c r="E417" s="49" t="s">
        <v>680</v>
      </c>
      <c r="F417" s="49"/>
      <c r="G417" s="51">
        <f>SUM(G418)+G421</f>
        <v>293.2</v>
      </c>
    </row>
    <row r="418" spans="1:7" ht="14.25" customHeight="1">
      <c r="A418" s="48" t="s">
        <v>335</v>
      </c>
      <c r="B418" s="83"/>
      <c r="C418" s="50" t="s">
        <v>35</v>
      </c>
      <c r="D418" s="50" t="s">
        <v>82</v>
      </c>
      <c r="E418" s="49" t="s">
        <v>681</v>
      </c>
      <c r="F418" s="49"/>
      <c r="G418" s="51">
        <f>SUM(G419)</f>
        <v>212.9</v>
      </c>
    </row>
    <row r="419" spans="1:7" ht="31.5" hidden="1">
      <c r="A419" s="48" t="s">
        <v>32</v>
      </c>
      <c r="B419" s="83"/>
      <c r="C419" s="50" t="s">
        <v>35</v>
      </c>
      <c r="D419" s="50" t="s">
        <v>82</v>
      </c>
      <c r="E419" s="49" t="s">
        <v>681</v>
      </c>
      <c r="F419" s="49"/>
      <c r="G419" s="51">
        <f>SUM(G420)</f>
        <v>212.9</v>
      </c>
    </row>
    <row r="420" spans="1:7" ht="31.5" hidden="1">
      <c r="A420" s="48" t="s">
        <v>76</v>
      </c>
      <c r="B420" s="83"/>
      <c r="C420" s="50" t="s">
        <v>35</v>
      </c>
      <c r="D420" s="50" t="s">
        <v>82</v>
      </c>
      <c r="E420" s="49" t="s">
        <v>681</v>
      </c>
      <c r="F420" s="49">
        <v>600</v>
      </c>
      <c r="G420" s="51">
        <v>212.9</v>
      </c>
    </row>
    <row r="421" spans="1:7" ht="15.75" hidden="1">
      <c r="A421" s="48" t="s">
        <v>336</v>
      </c>
      <c r="B421" s="83"/>
      <c r="C421" s="50" t="s">
        <v>35</v>
      </c>
      <c r="D421" s="50" t="s">
        <v>82</v>
      </c>
      <c r="E421" s="49" t="s">
        <v>682</v>
      </c>
      <c r="F421" s="49"/>
      <c r="G421" s="51">
        <f>SUM(G422)</f>
        <v>80.3</v>
      </c>
    </row>
    <row r="422" spans="1:7" ht="31.5">
      <c r="A422" s="48" t="s">
        <v>32</v>
      </c>
      <c r="B422" s="83"/>
      <c r="C422" s="50" t="s">
        <v>35</v>
      </c>
      <c r="D422" s="50" t="s">
        <v>82</v>
      </c>
      <c r="E422" s="49" t="s">
        <v>682</v>
      </c>
      <c r="F422" s="49"/>
      <c r="G422" s="51">
        <f>SUM(G423)</f>
        <v>80.3</v>
      </c>
    </row>
    <row r="423" spans="1:7" ht="31.5">
      <c r="A423" s="48" t="s">
        <v>76</v>
      </c>
      <c r="B423" s="83"/>
      <c r="C423" s="50" t="s">
        <v>35</v>
      </c>
      <c r="D423" s="50" t="s">
        <v>82</v>
      </c>
      <c r="E423" s="49" t="s">
        <v>682</v>
      </c>
      <c r="F423" s="49">
        <v>600</v>
      </c>
      <c r="G423" s="51">
        <v>80.3</v>
      </c>
    </row>
    <row r="424" spans="1:7" ht="15.75">
      <c r="A424" s="67" t="s">
        <v>322</v>
      </c>
      <c r="B424" s="77"/>
      <c r="C424" s="70" t="s">
        <v>189</v>
      </c>
      <c r="D424" s="70" t="s">
        <v>36</v>
      </c>
      <c r="E424" s="70"/>
      <c r="F424" s="70"/>
      <c r="G424" s="71">
        <f>SUM(G425)+G435</f>
        <v>21378</v>
      </c>
    </row>
    <row r="425" spans="1:7" ht="15.75">
      <c r="A425" s="67" t="s">
        <v>210</v>
      </c>
      <c r="B425" s="77"/>
      <c r="C425" s="70" t="s">
        <v>189</v>
      </c>
      <c r="D425" s="70" t="s">
        <v>38</v>
      </c>
      <c r="E425" s="70"/>
      <c r="F425" s="70"/>
      <c r="G425" s="71">
        <f>SUM(G426,G429)</f>
        <v>9992.8</v>
      </c>
    </row>
    <row r="426" spans="1:7" ht="31.5" hidden="1">
      <c r="A426" s="67" t="s">
        <v>352</v>
      </c>
      <c r="B426" s="77"/>
      <c r="C426" s="70" t="s">
        <v>189</v>
      </c>
      <c r="D426" s="70" t="s">
        <v>38</v>
      </c>
      <c r="E426" s="70" t="s">
        <v>398</v>
      </c>
      <c r="F426" s="70"/>
      <c r="G426" s="71">
        <f>SUM(G427)</f>
        <v>0</v>
      </c>
    </row>
    <row r="427" spans="1:7" ht="31.5" hidden="1">
      <c r="A427" s="67" t="s">
        <v>358</v>
      </c>
      <c r="B427" s="77"/>
      <c r="C427" s="70" t="s">
        <v>189</v>
      </c>
      <c r="D427" s="70" t="s">
        <v>38</v>
      </c>
      <c r="E427" s="70" t="s">
        <v>421</v>
      </c>
      <c r="F427" s="70"/>
      <c r="G427" s="71">
        <f>SUM(G428)</f>
        <v>0</v>
      </c>
    </row>
    <row r="428" spans="1:7" ht="31.5" hidden="1">
      <c r="A428" s="67" t="s">
        <v>359</v>
      </c>
      <c r="B428" s="77"/>
      <c r="C428" s="70" t="s">
        <v>189</v>
      </c>
      <c r="D428" s="70" t="s">
        <v>38</v>
      </c>
      <c r="E428" s="70" t="s">
        <v>421</v>
      </c>
      <c r="F428" s="70" t="s">
        <v>313</v>
      </c>
      <c r="G428" s="71"/>
    </row>
    <row r="429" spans="1:7" ht="31.5">
      <c r="A429" s="52" t="s">
        <v>324</v>
      </c>
      <c r="B429" s="121"/>
      <c r="C429" s="70" t="s">
        <v>189</v>
      </c>
      <c r="D429" s="70" t="s">
        <v>38</v>
      </c>
      <c r="E429" s="86" t="s">
        <v>325</v>
      </c>
      <c r="F429" s="86"/>
      <c r="G429" s="71">
        <f>SUM(G430)</f>
        <v>9992.8</v>
      </c>
    </row>
    <row r="430" spans="1:7" ht="31.5">
      <c r="A430" s="52" t="s">
        <v>368</v>
      </c>
      <c r="B430" s="121"/>
      <c r="C430" s="70" t="s">
        <v>189</v>
      </c>
      <c r="D430" s="70" t="s">
        <v>38</v>
      </c>
      <c r="E430" s="86" t="s">
        <v>337</v>
      </c>
      <c r="F430" s="86"/>
      <c r="G430" s="71">
        <f>SUM(G431)+G433</f>
        <v>9992.8</v>
      </c>
    </row>
    <row r="431" spans="1:7" ht="31.5">
      <c r="A431" s="67" t="s">
        <v>548</v>
      </c>
      <c r="B431" s="77"/>
      <c r="C431" s="70" t="s">
        <v>189</v>
      </c>
      <c r="D431" s="70" t="s">
        <v>38</v>
      </c>
      <c r="E431" s="86" t="s">
        <v>422</v>
      </c>
      <c r="F431" s="86"/>
      <c r="G431" s="71">
        <f>SUM(G432)</f>
        <v>9275</v>
      </c>
    </row>
    <row r="432" spans="1:7" s="117" customFormat="1" ht="31.5">
      <c r="A432" s="67" t="s">
        <v>359</v>
      </c>
      <c r="B432" s="77"/>
      <c r="C432" s="70" t="s">
        <v>189</v>
      </c>
      <c r="D432" s="70" t="s">
        <v>38</v>
      </c>
      <c r="E432" s="86" t="s">
        <v>422</v>
      </c>
      <c r="F432" s="86">
        <v>400</v>
      </c>
      <c r="G432" s="71">
        <v>9275</v>
      </c>
    </row>
    <row r="433" spans="1:7" ht="31.5">
      <c r="A433" s="67" t="s">
        <v>750</v>
      </c>
      <c r="B433" s="77"/>
      <c r="C433" s="70" t="s">
        <v>189</v>
      </c>
      <c r="D433" s="70" t="s">
        <v>38</v>
      </c>
      <c r="E433" s="86" t="s">
        <v>751</v>
      </c>
      <c r="F433" s="86"/>
      <c r="G433" s="71">
        <f>SUM(G434)</f>
        <v>717.8</v>
      </c>
    </row>
    <row r="434" spans="1:7" ht="31.5">
      <c r="A434" s="67" t="s">
        <v>359</v>
      </c>
      <c r="B434" s="77"/>
      <c r="C434" s="70" t="s">
        <v>189</v>
      </c>
      <c r="D434" s="70" t="s">
        <v>38</v>
      </c>
      <c r="E434" s="86" t="s">
        <v>751</v>
      </c>
      <c r="F434" s="86">
        <v>400</v>
      </c>
      <c r="G434" s="71">
        <v>717.8</v>
      </c>
    </row>
    <row r="435" spans="1:7" ht="15.75">
      <c r="A435" s="67" t="s">
        <v>213</v>
      </c>
      <c r="B435" s="77"/>
      <c r="C435" s="70" t="s">
        <v>189</v>
      </c>
      <c r="D435" s="70" t="s">
        <v>188</v>
      </c>
      <c r="E435" s="86"/>
      <c r="F435" s="86"/>
      <c r="G435" s="71">
        <f>G436</f>
        <v>11385.2</v>
      </c>
    </row>
    <row r="436" spans="1:7" ht="31.5">
      <c r="A436" s="67" t="s">
        <v>352</v>
      </c>
      <c r="B436" s="77"/>
      <c r="C436" s="70" t="s">
        <v>189</v>
      </c>
      <c r="D436" s="70" t="s">
        <v>188</v>
      </c>
      <c r="E436" s="70" t="s">
        <v>398</v>
      </c>
      <c r="F436" s="86"/>
      <c r="G436" s="71">
        <f>G437</f>
        <v>11385.2</v>
      </c>
    </row>
    <row r="437" spans="1:7" ht="31.5">
      <c r="A437" s="67" t="s">
        <v>548</v>
      </c>
      <c r="B437" s="77"/>
      <c r="C437" s="70" t="s">
        <v>189</v>
      </c>
      <c r="D437" s="70" t="s">
        <v>188</v>
      </c>
      <c r="E437" s="70" t="s">
        <v>421</v>
      </c>
      <c r="F437" s="86"/>
      <c r="G437" s="71">
        <f>G438</f>
        <v>11385.2</v>
      </c>
    </row>
    <row r="438" spans="1:7" ht="31.5">
      <c r="A438" s="67" t="s">
        <v>359</v>
      </c>
      <c r="B438" s="77"/>
      <c r="C438" s="70" t="s">
        <v>189</v>
      </c>
      <c r="D438" s="70" t="s">
        <v>188</v>
      </c>
      <c r="E438" s="70" t="s">
        <v>421</v>
      </c>
      <c r="F438" s="86">
        <v>400</v>
      </c>
      <c r="G438" s="71">
        <v>11385.2</v>
      </c>
    </row>
    <row r="439" spans="1:7" ht="15.75">
      <c r="A439" s="114" t="s">
        <v>236</v>
      </c>
      <c r="B439" s="93" t="s">
        <v>237</v>
      </c>
      <c r="C439" s="93"/>
      <c r="D439" s="93"/>
      <c r="E439" s="93"/>
      <c r="F439" s="93"/>
      <c r="G439" s="116">
        <f>SUM(G440+G465+G478)</f>
        <v>38557.9</v>
      </c>
    </row>
    <row r="440" spans="1:7" ht="15.75">
      <c r="A440" s="48" t="s">
        <v>97</v>
      </c>
      <c r="B440" s="77"/>
      <c r="C440" s="50" t="s">
        <v>38</v>
      </c>
      <c r="D440" s="50"/>
      <c r="E440" s="50"/>
      <c r="F440" s="49"/>
      <c r="G440" s="87">
        <f>SUM(G441+G447+G451)</f>
        <v>30945</v>
      </c>
    </row>
    <row r="441" spans="1:7" ht="31.5">
      <c r="A441" s="48" t="s">
        <v>112</v>
      </c>
      <c r="B441" s="77"/>
      <c r="C441" s="50" t="s">
        <v>38</v>
      </c>
      <c r="D441" s="50" t="s">
        <v>82</v>
      </c>
      <c r="E441" s="49"/>
      <c r="F441" s="49"/>
      <c r="G441" s="87">
        <f>SUM(G442)</f>
        <v>23794</v>
      </c>
    </row>
    <row r="442" spans="1:7" ht="31.5">
      <c r="A442" s="52" t="s">
        <v>219</v>
      </c>
      <c r="B442" s="77"/>
      <c r="C442" s="50" t="s">
        <v>38</v>
      </c>
      <c r="D442" s="50" t="s">
        <v>82</v>
      </c>
      <c r="E442" s="49" t="s">
        <v>220</v>
      </c>
      <c r="F442" s="49"/>
      <c r="G442" s="87">
        <f>SUM(G443)</f>
        <v>23794</v>
      </c>
    </row>
    <row r="443" spans="1:7" ht="31.5">
      <c r="A443" s="48" t="s">
        <v>84</v>
      </c>
      <c r="B443" s="77"/>
      <c r="C443" s="50" t="s">
        <v>38</v>
      </c>
      <c r="D443" s="50" t="s">
        <v>82</v>
      </c>
      <c r="E443" s="50" t="s">
        <v>221</v>
      </c>
      <c r="F443" s="50"/>
      <c r="G443" s="87">
        <f>SUM(G444)</f>
        <v>23794</v>
      </c>
    </row>
    <row r="444" spans="1:7" ht="15.75">
      <c r="A444" s="48" t="s">
        <v>86</v>
      </c>
      <c r="B444" s="77"/>
      <c r="C444" s="50" t="s">
        <v>38</v>
      </c>
      <c r="D444" s="50" t="s">
        <v>82</v>
      </c>
      <c r="E444" s="50" t="s">
        <v>222</v>
      </c>
      <c r="F444" s="50"/>
      <c r="G444" s="87">
        <f>SUM(G445:G446)</f>
        <v>23794</v>
      </c>
    </row>
    <row r="445" spans="1:7" ht="47.25">
      <c r="A445" s="67" t="s">
        <v>55</v>
      </c>
      <c r="B445" s="77"/>
      <c r="C445" s="50" t="s">
        <v>38</v>
      </c>
      <c r="D445" s="50" t="s">
        <v>82</v>
      </c>
      <c r="E445" s="50" t="s">
        <v>222</v>
      </c>
      <c r="F445" s="50" t="s">
        <v>99</v>
      </c>
      <c r="G445" s="87">
        <f>23801.4-15</f>
        <v>23786.4</v>
      </c>
    </row>
    <row r="446" spans="1:7" ht="31.5">
      <c r="A446" s="48" t="s">
        <v>56</v>
      </c>
      <c r="B446" s="77"/>
      <c r="C446" s="50" t="s">
        <v>38</v>
      </c>
      <c r="D446" s="50" t="s">
        <v>82</v>
      </c>
      <c r="E446" s="50" t="s">
        <v>222</v>
      </c>
      <c r="F446" s="50" t="s">
        <v>101</v>
      </c>
      <c r="G446" s="87">
        <v>7.6</v>
      </c>
    </row>
    <row r="447" spans="1:7" ht="15.75">
      <c r="A447" s="48" t="s">
        <v>157</v>
      </c>
      <c r="B447" s="77"/>
      <c r="C447" s="50" t="s">
        <v>38</v>
      </c>
      <c r="D447" s="50" t="s">
        <v>189</v>
      </c>
      <c r="E447" s="50"/>
      <c r="F447" s="49"/>
      <c r="G447" s="87">
        <f>SUM(G448)</f>
        <v>19.600000000000023</v>
      </c>
    </row>
    <row r="448" spans="1:7" ht="15.75">
      <c r="A448" s="52" t="s">
        <v>223</v>
      </c>
      <c r="B448" s="77"/>
      <c r="C448" s="50" t="s">
        <v>38</v>
      </c>
      <c r="D448" s="50" t="s">
        <v>189</v>
      </c>
      <c r="E448" s="50" t="s">
        <v>217</v>
      </c>
      <c r="F448" s="49"/>
      <c r="G448" s="87">
        <f>SUM(G449)</f>
        <v>19.600000000000023</v>
      </c>
    </row>
    <row r="449" spans="1:7" ht="15.75">
      <c r="A449" s="48" t="s">
        <v>158</v>
      </c>
      <c r="B449" s="77"/>
      <c r="C449" s="50" t="s">
        <v>38</v>
      </c>
      <c r="D449" s="50" t="s">
        <v>189</v>
      </c>
      <c r="E449" s="50" t="s">
        <v>224</v>
      </c>
      <c r="F449" s="49"/>
      <c r="G449" s="87">
        <f>SUM(G450)</f>
        <v>19.600000000000023</v>
      </c>
    </row>
    <row r="450" spans="1:7" ht="15.75">
      <c r="A450" s="48" t="s">
        <v>26</v>
      </c>
      <c r="B450" s="77"/>
      <c r="C450" s="50" t="s">
        <v>38</v>
      </c>
      <c r="D450" s="50" t="s">
        <v>189</v>
      </c>
      <c r="E450" s="50" t="s">
        <v>224</v>
      </c>
      <c r="F450" s="49">
        <v>800</v>
      </c>
      <c r="G450" s="87">
        <f>1000-500-480.4</f>
        <v>19.600000000000023</v>
      </c>
    </row>
    <row r="451" spans="1:7" ht="15.75">
      <c r="A451" s="48" t="s">
        <v>103</v>
      </c>
      <c r="B451" s="77"/>
      <c r="C451" s="50" t="s">
        <v>38</v>
      </c>
      <c r="D451" s="50" t="s">
        <v>104</v>
      </c>
      <c r="E451" s="50"/>
      <c r="F451" s="49"/>
      <c r="G451" s="87">
        <f>SUM(G452)</f>
        <v>7131.4</v>
      </c>
    </row>
    <row r="452" spans="1:7" ht="31.5">
      <c r="A452" s="52" t="s">
        <v>219</v>
      </c>
      <c r="B452" s="77"/>
      <c r="C452" s="50" t="s">
        <v>38</v>
      </c>
      <c r="D452" s="50" t="s">
        <v>104</v>
      </c>
      <c r="E452" s="49" t="s">
        <v>220</v>
      </c>
      <c r="F452" s="49"/>
      <c r="G452" s="87">
        <f>SUM(G453)</f>
        <v>7131.4</v>
      </c>
    </row>
    <row r="453" spans="1:7" ht="31.5">
      <c r="A453" s="48" t="s">
        <v>84</v>
      </c>
      <c r="B453" s="77"/>
      <c r="C453" s="50" t="s">
        <v>38</v>
      </c>
      <c r="D453" s="186" t="s">
        <v>104</v>
      </c>
      <c r="E453" s="50" t="s">
        <v>221</v>
      </c>
      <c r="F453" s="49"/>
      <c r="G453" s="87">
        <f>SUM(G454+G457+G459)</f>
        <v>7131.4</v>
      </c>
    </row>
    <row r="454" spans="1:7" ht="15.75">
      <c r="A454" s="48" t="s">
        <v>105</v>
      </c>
      <c r="B454" s="77"/>
      <c r="C454" s="50" t="s">
        <v>38</v>
      </c>
      <c r="D454" s="50" t="s">
        <v>104</v>
      </c>
      <c r="E454" s="49" t="s">
        <v>225</v>
      </c>
      <c r="F454" s="49"/>
      <c r="G454" s="87">
        <f>SUM(G455:G456)</f>
        <v>213.3</v>
      </c>
    </row>
    <row r="455" spans="1:7" ht="31.5">
      <c r="A455" s="48" t="s">
        <v>56</v>
      </c>
      <c r="B455" s="77"/>
      <c r="C455" s="50" t="s">
        <v>38</v>
      </c>
      <c r="D455" s="50" t="s">
        <v>104</v>
      </c>
      <c r="E455" s="49" t="s">
        <v>225</v>
      </c>
      <c r="F455" s="49">
        <v>200</v>
      </c>
      <c r="G455" s="87">
        <v>211.3</v>
      </c>
    </row>
    <row r="456" spans="1:7" ht="15.75">
      <c r="A456" s="48" t="s">
        <v>26</v>
      </c>
      <c r="B456" s="77"/>
      <c r="C456" s="50" t="s">
        <v>38</v>
      </c>
      <c r="D456" s="50" t="s">
        <v>104</v>
      </c>
      <c r="E456" s="49" t="s">
        <v>225</v>
      </c>
      <c r="F456" s="49">
        <v>800</v>
      </c>
      <c r="G456" s="87">
        <v>2</v>
      </c>
    </row>
    <row r="457" spans="1:7" ht="31.5">
      <c r="A457" s="48" t="s">
        <v>107</v>
      </c>
      <c r="B457" s="77"/>
      <c r="C457" s="50" t="s">
        <v>38</v>
      </c>
      <c r="D457" s="50" t="s">
        <v>104</v>
      </c>
      <c r="E457" s="49" t="s">
        <v>226</v>
      </c>
      <c r="F457" s="49"/>
      <c r="G457" s="87">
        <f>SUM(G458)</f>
        <v>300.6</v>
      </c>
    </row>
    <row r="458" spans="1:7" ht="31.5">
      <c r="A458" s="48" t="s">
        <v>56</v>
      </c>
      <c r="B458" s="77"/>
      <c r="C458" s="50" t="s">
        <v>38</v>
      </c>
      <c r="D458" s="50" t="s">
        <v>104</v>
      </c>
      <c r="E458" s="49" t="s">
        <v>226</v>
      </c>
      <c r="F458" s="49">
        <v>200</v>
      </c>
      <c r="G458" s="87">
        <v>300.6</v>
      </c>
    </row>
    <row r="459" spans="1:7" ht="31.5">
      <c r="A459" s="48" t="s">
        <v>108</v>
      </c>
      <c r="B459" s="77"/>
      <c r="C459" s="50" t="s">
        <v>38</v>
      </c>
      <c r="D459" s="50" t="s">
        <v>104</v>
      </c>
      <c r="E459" s="49" t="s">
        <v>227</v>
      </c>
      <c r="F459" s="49"/>
      <c r="G459" s="87">
        <f>SUM(G460:G461)</f>
        <v>6617.5</v>
      </c>
    </row>
    <row r="460" spans="1:7" ht="31.5">
      <c r="A460" s="48" t="s">
        <v>56</v>
      </c>
      <c r="B460" s="77"/>
      <c r="C460" s="50" t="s">
        <v>38</v>
      </c>
      <c r="D460" s="50" t="s">
        <v>104</v>
      </c>
      <c r="E460" s="49" t="s">
        <v>227</v>
      </c>
      <c r="F460" s="49">
        <v>200</v>
      </c>
      <c r="G460" s="87">
        <f>6947.5-330</f>
        <v>6617.5</v>
      </c>
    </row>
    <row r="461" spans="1:7" ht="15.75" hidden="1">
      <c r="A461" s="48" t="s">
        <v>26</v>
      </c>
      <c r="B461" s="77"/>
      <c r="C461" s="50" t="s">
        <v>38</v>
      </c>
      <c r="D461" s="50" t="s">
        <v>104</v>
      </c>
      <c r="E461" s="49" t="s">
        <v>227</v>
      </c>
      <c r="F461" s="49">
        <v>800</v>
      </c>
      <c r="G461" s="87"/>
    </row>
    <row r="462" spans="1:7" ht="15.75" hidden="1">
      <c r="A462" s="52" t="s">
        <v>223</v>
      </c>
      <c r="B462" s="77"/>
      <c r="C462" s="50" t="s">
        <v>38</v>
      </c>
      <c r="D462" s="50" t="s">
        <v>104</v>
      </c>
      <c r="E462" s="50" t="s">
        <v>217</v>
      </c>
      <c r="F462" s="49"/>
      <c r="G462" s="87">
        <f>SUM(G463)</f>
        <v>0</v>
      </c>
    </row>
    <row r="463" spans="1:7" ht="31.5" hidden="1">
      <c r="A463" s="48" t="s">
        <v>228</v>
      </c>
      <c r="B463" s="77"/>
      <c r="C463" s="50" t="s">
        <v>38</v>
      </c>
      <c r="D463" s="50" t="s">
        <v>104</v>
      </c>
      <c r="E463" s="50" t="s">
        <v>229</v>
      </c>
      <c r="F463" s="49"/>
      <c r="G463" s="87">
        <f>SUM(G464)</f>
        <v>0</v>
      </c>
    </row>
    <row r="464" spans="1:7" ht="15.75" hidden="1">
      <c r="A464" s="48" t="s">
        <v>26</v>
      </c>
      <c r="B464" s="77"/>
      <c r="C464" s="50" t="s">
        <v>38</v>
      </c>
      <c r="D464" s="50" t="s">
        <v>104</v>
      </c>
      <c r="E464" s="50" t="s">
        <v>229</v>
      </c>
      <c r="F464" s="49">
        <v>800</v>
      </c>
      <c r="G464" s="49"/>
    </row>
    <row r="465" spans="1:7" ht="15.75">
      <c r="A465" s="48" t="s">
        <v>34</v>
      </c>
      <c r="B465" s="77"/>
      <c r="C465" s="50" t="s">
        <v>35</v>
      </c>
      <c r="D465" s="50"/>
      <c r="E465" s="49"/>
      <c r="F465" s="49"/>
      <c r="G465" s="51">
        <f>SUM(G474)+G466</f>
        <v>195.7</v>
      </c>
    </row>
    <row r="466" spans="1:7" ht="15.75">
      <c r="A466" s="174" t="s">
        <v>57</v>
      </c>
      <c r="B466" s="83"/>
      <c r="C466" s="175" t="s">
        <v>35</v>
      </c>
      <c r="D466" s="175" t="s">
        <v>58</v>
      </c>
      <c r="E466" s="77"/>
      <c r="F466" s="49"/>
      <c r="G466" s="61">
        <f aca="true" t="shared" si="3" ref="G466:G471">SUM(G467)</f>
        <v>6.2</v>
      </c>
    </row>
    <row r="467" spans="1:7" ht="31.5">
      <c r="A467" s="174" t="s">
        <v>88</v>
      </c>
      <c r="B467" s="77"/>
      <c r="C467" s="175" t="s">
        <v>35</v>
      </c>
      <c r="D467" s="175" t="s">
        <v>58</v>
      </c>
      <c r="E467" s="77" t="s">
        <v>20</v>
      </c>
      <c r="F467" s="77"/>
      <c r="G467" s="61">
        <f t="shared" si="3"/>
        <v>6.2</v>
      </c>
    </row>
    <row r="468" spans="1:7" ht="31.5">
      <c r="A468" s="174" t="s">
        <v>89</v>
      </c>
      <c r="B468" s="77"/>
      <c r="C468" s="175" t="s">
        <v>35</v>
      </c>
      <c r="D468" s="175" t="s">
        <v>58</v>
      </c>
      <c r="E468" s="77" t="s">
        <v>21</v>
      </c>
      <c r="F468" s="77"/>
      <c r="G468" s="61">
        <f t="shared" si="3"/>
        <v>6.2</v>
      </c>
    </row>
    <row r="469" spans="1:7" ht="15.75">
      <c r="A469" s="174" t="s">
        <v>39</v>
      </c>
      <c r="B469" s="77"/>
      <c r="C469" s="175" t="s">
        <v>35</v>
      </c>
      <c r="D469" s="175" t="s">
        <v>58</v>
      </c>
      <c r="E469" s="77" t="s">
        <v>40</v>
      </c>
      <c r="F469" s="77"/>
      <c r="G469" s="61">
        <f t="shared" si="3"/>
        <v>6.2</v>
      </c>
    </row>
    <row r="470" spans="1:7" ht="15.75">
      <c r="A470" s="174" t="s">
        <v>41</v>
      </c>
      <c r="B470" s="77"/>
      <c r="C470" s="175" t="s">
        <v>35</v>
      </c>
      <c r="D470" s="175" t="s">
        <v>58</v>
      </c>
      <c r="E470" s="77" t="s">
        <v>811</v>
      </c>
      <c r="F470" s="77"/>
      <c r="G470" s="61">
        <f t="shared" si="3"/>
        <v>6.2</v>
      </c>
    </row>
    <row r="471" spans="1:7" ht="15.75">
      <c r="A471" s="174" t="s">
        <v>59</v>
      </c>
      <c r="B471" s="77"/>
      <c r="C471" s="175" t="s">
        <v>35</v>
      </c>
      <c r="D471" s="175" t="s">
        <v>58</v>
      </c>
      <c r="E471" s="77" t="s">
        <v>812</v>
      </c>
      <c r="F471" s="77"/>
      <c r="G471" s="61">
        <f t="shared" si="3"/>
        <v>6.2</v>
      </c>
    </row>
    <row r="472" spans="1:7" ht="31.5">
      <c r="A472" s="174" t="s">
        <v>810</v>
      </c>
      <c r="B472" s="77"/>
      <c r="C472" s="175" t="s">
        <v>35</v>
      </c>
      <c r="D472" s="175" t="s">
        <v>58</v>
      </c>
      <c r="E472" s="77" t="s">
        <v>813</v>
      </c>
      <c r="F472" s="77"/>
      <c r="G472" s="61">
        <f>SUM(G473)</f>
        <v>6.2</v>
      </c>
    </row>
    <row r="473" spans="1:7" ht="15.75">
      <c r="A473" s="174" t="s">
        <v>46</v>
      </c>
      <c r="B473" s="77"/>
      <c r="C473" s="175" t="s">
        <v>35</v>
      </c>
      <c r="D473" s="175" t="s">
        <v>58</v>
      </c>
      <c r="E473" s="77" t="s">
        <v>813</v>
      </c>
      <c r="F473" s="77" t="s">
        <v>109</v>
      </c>
      <c r="G473" s="61">
        <v>6.2</v>
      </c>
    </row>
    <row r="474" spans="1:7" ht="15.75">
      <c r="A474" s="48" t="s">
        <v>81</v>
      </c>
      <c r="B474" s="77"/>
      <c r="C474" s="50" t="s">
        <v>35</v>
      </c>
      <c r="D474" s="50" t="s">
        <v>82</v>
      </c>
      <c r="E474" s="49"/>
      <c r="F474" s="49"/>
      <c r="G474" s="49">
        <f>SUM(G475)</f>
        <v>189.5</v>
      </c>
    </row>
    <row r="475" spans="1:7" ht="15.75">
      <c r="A475" s="52" t="s">
        <v>223</v>
      </c>
      <c r="B475" s="77"/>
      <c r="C475" s="50" t="s">
        <v>35</v>
      </c>
      <c r="D475" s="50" t="s">
        <v>82</v>
      </c>
      <c r="E475" s="50" t="s">
        <v>217</v>
      </c>
      <c r="F475" s="49"/>
      <c r="G475" s="49">
        <f>SUM(G476)</f>
        <v>189.5</v>
      </c>
    </row>
    <row r="476" spans="1:7" s="117" customFormat="1" ht="47.25">
      <c r="A476" s="48" t="s">
        <v>644</v>
      </c>
      <c r="B476" s="77"/>
      <c r="C476" s="50" t="s">
        <v>35</v>
      </c>
      <c r="D476" s="50" t="s">
        <v>82</v>
      </c>
      <c r="E476" s="49" t="s">
        <v>230</v>
      </c>
      <c r="F476" s="49"/>
      <c r="G476" s="49">
        <f>SUM(G477)</f>
        <v>189.5</v>
      </c>
    </row>
    <row r="477" spans="1:7" ht="15.75">
      <c r="A477" s="48" t="s">
        <v>26</v>
      </c>
      <c r="B477" s="77"/>
      <c r="C477" s="50" t="s">
        <v>35</v>
      </c>
      <c r="D477" s="50" t="s">
        <v>82</v>
      </c>
      <c r="E477" s="49" t="s">
        <v>230</v>
      </c>
      <c r="F477" s="49">
        <v>800</v>
      </c>
      <c r="G477" s="49">
        <v>189.5</v>
      </c>
    </row>
    <row r="478" spans="1:7" ht="15.75">
      <c r="A478" s="48" t="s">
        <v>231</v>
      </c>
      <c r="B478" s="77"/>
      <c r="C478" s="50" t="s">
        <v>104</v>
      </c>
      <c r="D478" s="50"/>
      <c r="E478" s="49"/>
      <c r="F478" s="49"/>
      <c r="G478" s="49">
        <f>SUM(G479)</f>
        <v>7417.200000000001</v>
      </c>
    </row>
    <row r="479" spans="1:7" ht="15.75">
      <c r="A479" s="48" t="s">
        <v>232</v>
      </c>
      <c r="B479" s="77"/>
      <c r="C479" s="50" t="s">
        <v>104</v>
      </c>
      <c r="D479" s="50" t="s">
        <v>38</v>
      </c>
      <c r="E479" s="49"/>
      <c r="F479" s="49"/>
      <c r="G479" s="49">
        <f>SUM(G480)</f>
        <v>7417.200000000001</v>
      </c>
    </row>
    <row r="480" spans="1:7" ht="31.5">
      <c r="A480" s="52" t="s">
        <v>219</v>
      </c>
      <c r="B480" s="77"/>
      <c r="C480" s="50" t="s">
        <v>104</v>
      </c>
      <c r="D480" s="50" t="s">
        <v>38</v>
      </c>
      <c r="E480" s="49" t="s">
        <v>220</v>
      </c>
      <c r="F480" s="49"/>
      <c r="G480" s="49">
        <f>SUM(G481)</f>
        <v>7417.200000000001</v>
      </c>
    </row>
    <row r="481" spans="1:7" ht="15.75">
      <c r="A481" s="48" t="s">
        <v>233</v>
      </c>
      <c r="B481" s="77"/>
      <c r="C481" s="50" t="s">
        <v>104</v>
      </c>
      <c r="D481" s="50" t="s">
        <v>38</v>
      </c>
      <c r="E481" s="49" t="s">
        <v>234</v>
      </c>
      <c r="F481" s="49"/>
      <c r="G481" s="49">
        <f>SUM(G482)</f>
        <v>7417.200000000001</v>
      </c>
    </row>
    <row r="482" spans="1:7" ht="15.75">
      <c r="A482" s="48" t="s">
        <v>235</v>
      </c>
      <c r="B482" s="77"/>
      <c r="C482" s="50" t="s">
        <v>104</v>
      </c>
      <c r="D482" s="50" t="s">
        <v>38</v>
      </c>
      <c r="E482" s="49" t="s">
        <v>234</v>
      </c>
      <c r="F482" s="49">
        <v>700</v>
      </c>
      <c r="G482" s="49">
        <f>8735.2-1318</f>
        <v>7417.200000000001</v>
      </c>
    </row>
    <row r="483" spans="1:7" ht="14.25" customHeight="1">
      <c r="A483" s="114" t="s">
        <v>14</v>
      </c>
      <c r="B483" s="62" t="s">
        <v>15</v>
      </c>
      <c r="C483" s="119"/>
      <c r="D483" s="119"/>
      <c r="E483" s="119"/>
      <c r="F483" s="119"/>
      <c r="G483" s="124">
        <f>G484+G503+G496</f>
        <v>1106631.6</v>
      </c>
    </row>
    <row r="484" spans="1:7" ht="15.75" hidden="1">
      <c r="A484" s="48" t="s">
        <v>16</v>
      </c>
      <c r="B484" s="50"/>
      <c r="C484" s="50" t="s">
        <v>17</v>
      </c>
      <c r="D484" s="49"/>
      <c r="E484" s="49"/>
      <c r="F484" s="49"/>
      <c r="G484" s="51">
        <f>G485+G491</f>
        <v>0</v>
      </c>
    </row>
    <row r="485" spans="1:7" ht="15.75" hidden="1">
      <c r="A485" s="48" t="s">
        <v>18</v>
      </c>
      <c r="B485" s="50"/>
      <c r="C485" s="50" t="s">
        <v>17</v>
      </c>
      <c r="D485" s="50" t="s">
        <v>19</v>
      </c>
      <c r="E485" s="49"/>
      <c r="F485" s="49"/>
      <c r="G485" s="51">
        <f>G486</f>
        <v>0</v>
      </c>
    </row>
    <row r="486" spans="1:7" ht="31.5" hidden="1">
      <c r="A486" s="48" t="s">
        <v>88</v>
      </c>
      <c r="B486" s="50"/>
      <c r="C486" s="50" t="s">
        <v>17</v>
      </c>
      <c r="D486" s="50" t="s">
        <v>19</v>
      </c>
      <c r="E486" s="49" t="s">
        <v>20</v>
      </c>
      <c r="F486" s="49"/>
      <c r="G486" s="51">
        <f>G487</f>
        <v>0</v>
      </c>
    </row>
    <row r="487" spans="1:7" ht="31.5" hidden="1">
      <c r="A487" s="48" t="s">
        <v>89</v>
      </c>
      <c r="B487" s="50"/>
      <c r="C487" s="50" t="s">
        <v>17</v>
      </c>
      <c r="D487" s="50" t="s">
        <v>19</v>
      </c>
      <c r="E487" s="49" t="s">
        <v>21</v>
      </c>
      <c r="F487" s="49"/>
      <c r="G487" s="51">
        <f>G488</f>
        <v>0</v>
      </c>
    </row>
    <row r="488" spans="1:7" ht="47.25" hidden="1">
      <c r="A488" s="48" t="s">
        <v>22</v>
      </c>
      <c r="B488" s="50"/>
      <c r="C488" s="50" t="s">
        <v>17</v>
      </c>
      <c r="D488" s="50" t="s">
        <v>19</v>
      </c>
      <c r="E488" s="49" t="s">
        <v>23</v>
      </c>
      <c r="F488" s="49"/>
      <c r="G488" s="51">
        <f>SUM(G489)</f>
        <v>0</v>
      </c>
    </row>
    <row r="489" spans="1:7" ht="15.75" hidden="1">
      <c r="A489" s="48" t="s">
        <v>24</v>
      </c>
      <c r="B489" s="50"/>
      <c r="C489" s="50" t="s">
        <v>17</v>
      </c>
      <c r="D489" s="50" t="s">
        <v>19</v>
      </c>
      <c r="E489" s="49" t="s">
        <v>25</v>
      </c>
      <c r="F489" s="49"/>
      <c r="G489" s="51">
        <f>G490</f>
        <v>0</v>
      </c>
    </row>
    <row r="490" spans="1:7" ht="15.75" hidden="1">
      <c r="A490" s="48" t="s">
        <v>26</v>
      </c>
      <c r="B490" s="50"/>
      <c r="C490" s="50" t="s">
        <v>17</v>
      </c>
      <c r="D490" s="50" t="s">
        <v>19</v>
      </c>
      <c r="E490" s="49" t="s">
        <v>25</v>
      </c>
      <c r="F490" s="49">
        <v>800</v>
      </c>
      <c r="G490" s="51"/>
    </row>
    <row r="491" spans="1:7" ht="15.75" hidden="1">
      <c r="A491" s="48" t="s">
        <v>27</v>
      </c>
      <c r="B491" s="50"/>
      <c r="C491" s="50" t="s">
        <v>17</v>
      </c>
      <c r="D491" s="50" t="s">
        <v>28</v>
      </c>
      <c r="E491" s="49"/>
      <c r="F491" s="49"/>
      <c r="G491" s="51">
        <f>G492</f>
        <v>0</v>
      </c>
    </row>
    <row r="492" spans="1:7" ht="63" hidden="1">
      <c r="A492" s="48" t="s">
        <v>90</v>
      </c>
      <c r="B492" s="50"/>
      <c r="C492" s="50" t="s">
        <v>17</v>
      </c>
      <c r="D492" s="50" t="s">
        <v>28</v>
      </c>
      <c r="E492" s="49" t="s">
        <v>29</v>
      </c>
      <c r="F492" s="49"/>
      <c r="G492" s="51">
        <f>G493</f>
        <v>0</v>
      </c>
    </row>
    <row r="493" spans="1:7" ht="47.25" hidden="1">
      <c r="A493" s="48" t="s">
        <v>30</v>
      </c>
      <c r="B493" s="50"/>
      <c r="C493" s="50" t="s">
        <v>17</v>
      </c>
      <c r="D493" s="50" t="s">
        <v>28</v>
      </c>
      <c r="E493" s="49" t="s">
        <v>31</v>
      </c>
      <c r="F493" s="49"/>
      <c r="G493" s="51">
        <f>SUM(G494)</f>
        <v>0</v>
      </c>
    </row>
    <row r="494" spans="1:7" ht="31.5" hidden="1">
      <c r="A494" s="48" t="s">
        <v>32</v>
      </c>
      <c r="B494" s="50"/>
      <c r="C494" s="50" t="s">
        <v>17</v>
      </c>
      <c r="D494" s="50" t="s">
        <v>28</v>
      </c>
      <c r="E494" s="49" t="s">
        <v>33</v>
      </c>
      <c r="F494" s="49"/>
      <c r="G494" s="51">
        <f>G495</f>
        <v>0</v>
      </c>
    </row>
    <row r="495" spans="1:7" ht="31.5" hidden="1">
      <c r="A495" s="48" t="s">
        <v>76</v>
      </c>
      <c r="B495" s="50"/>
      <c r="C495" s="50" t="s">
        <v>17</v>
      </c>
      <c r="D495" s="50" t="s">
        <v>28</v>
      </c>
      <c r="E495" s="49" t="s">
        <v>33</v>
      </c>
      <c r="F495" s="49">
        <v>600</v>
      </c>
      <c r="G495" s="51"/>
    </row>
    <row r="496" spans="1:7" ht="15.75">
      <c r="A496" s="157" t="s">
        <v>124</v>
      </c>
      <c r="B496" s="77"/>
      <c r="C496" s="77" t="s">
        <v>125</v>
      </c>
      <c r="D496" s="77"/>
      <c r="E496" s="77"/>
      <c r="F496" s="77"/>
      <c r="G496" s="61">
        <f aca="true" t="shared" si="4" ref="G496:G501">SUM(G497)</f>
        <v>77.9</v>
      </c>
    </row>
    <row r="497" spans="1:7" ht="15.75">
      <c r="A497" s="157" t="s">
        <v>488</v>
      </c>
      <c r="B497" s="77"/>
      <c r="C497" s="77" t="s">
        <v>125</v>
      </c>
      <c r="D497" s="77" t="s">
        <v>125</v>
      </c>
      <c r="E497" s="49"/>
      <c r="F497" s="49"/>
      <c r="G497" s="61">
        <f t="shared" si="4"/>
        <v>77.9</v>
      </c>
    </row>
    <row r="498" spans="1:7" ht="31.5">
      <c r="A498" s="157" t="s">
        <v>444</v>
      </c>
      <c r="B498" s="158"/>
      <c r="C498" s="158" t="s">
        <v>125</v>
      </c>
      <c r="D498" s="158" t="s">
        <v>125</v>
      </c>
      <c r="E498" s="49" t="s">
        <v>445</v>
      </c>
      <c r="F498" s="49"/>
      <c r="G498" s="61">
        <f t="shared" si="4"/>
        <v>77.9</v>
      </c>
    </row>
    <row r="499" spans="1:7" ht="31.5">
      <c r="A499" s="157" t="s">
        <v>501</v>
      </c>
      <c r="B499" s="77"/>
      <c r="C499" s="77" t="s">
        <v>125</v>
      </c>
      <c r="D499" s="77" t="s">
        <v>125</v>
      </c>
      <c r="E499" s="77" t="s">
        <v>502</v>
      </c>
      <c r="F499" s="77"/>
      <c r="G499" s="61">
        <f t="shared" si="4"/>
        <v>77.9</v>
      </c>
    </row>
    <row r="500" spans="1:7" ht="15.75">
      <c r="A500" s="157" t="s">
        <v>39</v>
      </c>
      <c r="B500" s="77"/>
      <c r="C500" s="77" t="s">
        <v>125</v>
      </c>
      <c r="D500" s="77" t="s">
        <v>125</v>
      </c>
      <c r="E500" s="77" t="s">
        <v>503</v>
      </c>
      <c r="F500" s="77"/>
      <c r="G500" s="61">
        <f t="shared" si="4"/>
        <v>77.9</v>
      </c>
    </row>
    <row r="501" spans="1:7" ht="31.5">
      <c r="A501" s="157" t="s">
        <v>504</v>
      </c>
      <c r="B501" s="49"/>
      <c r="C501" s="77" t="s">
        <v>125</v>
      </c>
      <c r="D501" s="77" t="s">
        <v>125</v>
      </c>
      <c r="E501" s="77" t="s">
        <v>505</v>
      </c>
      <c r="F501" s="77"/>
      <c r="G501" s="61">
        <f t="shared" si="4"/>
        <v>77.9</v>
      </c>
    </row>
    <row r="502" spans="1:7" ht="31.5">
      <c r="A502" s="157" t="s">
        <v>56</v>
      </c>
      <c r="B502" s="49"/>
      <c r="C502" s="77" t="s">
        <v>125</v>
      </c>
      <c r="D502" s="77" t="s">
        <v>125</v>
      </c>
      <c r="E502" s="77" t="s">
        <v>505</v>
      </c>
      <c r="F502" s="77" t="s">
        <v>101</v>
      </c>
      <c r="G502" s="61">
        <v>77.9</v>
      </c>
    </row>
    <row r="503" spans="1:7" ht="15.75">
      <c r="A503" s="48" t="s">
        <v>34</v>
      </c>
      <c r="B503" s="50"/>
      <c r="C503" s="50" t="s">
        <v>35</v>
      </c>
      <c r="D503" s="50" t="s">
        <v>36</v>
      </c>
      <c r="E503" s="49"/>
      <c r="F503" s="49"/>
      <c r="G503" s="51">
        <f>G504+G511+G527+G650+G620</f>
        <v>1106553.7000000002</v>
      </c>
    </row>
    <row r="504" spans="1:7" ht="15.75">
      <c r="A504" s="48" t="s">
        <v>37</v>
      </c>
      <c r="B504" s="50"/>
      <c r="C504" s="50" t="s">
        <v>35</v>
      </c>
      <c r="D504" s="50" t="s">
        <v>38</v>
      </c>
      <c r="E504" s="49"/>
      <c r="F504" s="49"/>
      <c r="G504" s="51">
        <f>G505</f>
        <v>8760.7</v>
      </c>
    </row>
    <row r="505" spans="1:7" ht="31.5">
      <c r="A505" s="48" t="s">
        <v>88</v>
      </c>
      <c r="B505" s="50"/>
      <c r="C505" s="50" t="s">
        <v>35</v>
      </c>
      <c r="D505" s="50" t="s">
        <v>38</v>
      </c>
      <c r="E505" s="49" t="s">
        <v>20</v>
      </c>
      <c r="F505" s="49"/>
      <c r="G505" s="51">
        <f>G506</f>
        <v>8760.7</v>
      </c>
    </row>
    <row r="506" spans="1:7" ht="31.5">
      <c r="A506" s="48" t="s">
        <v>89</v>
      </c>
      <c r="B506" s="50"/>
      <c r="C506" s="50" t="s">
        <v>35</v>
      </c>
      <c r="D506" s="50" t="s">
        <v>38</v>
      </c>
      <c r="E506" s="49" t="s">
        <v>21</v>
      </c>
      <c r="F506" s="49"/>
      <c r="G506" s="51">
        <f>G507</f>
        <v>8760.7</v>
      </c>
    </row>
    <row r="507" spans="1:7" ht="15.75">
      <c r="A507" s="48" t="s">
        <v>39</v>
      </c>
      <c r="B507" s="50"/>
      <c r="C507" s="50" t="s">
        <v>35</v>
      </c>
      <c r="D507" s="50" t="s">
        <v>38</v>
      </c>
      <c r="E507" s="49" t="s">
        <v>40</v>
      </c>
      <c r="F507" s="49"/>
      <c r="G507" s="51">
        <f>SUM(G508)</f>
        <v>8760.7</v>
      </c>
    </row>
    <row r="508" spans="1:7" ht="15.75">
      <c r="A508" s="48" t="s">
        <v>42</v>
      </c>
      <c r="B508" s="50"/>
      <c r="C508" s="50" t="s">
        <v>35</v>
      </c>
      <c r="D508" s="50" t="s">
        <v>38</v>
      </c>
      <c r="E508" s="49" t="s">
        <v>43</v>
      </c>
      <c r="F508" s="49"/>
      <c r="G508" s="51">
        <f>G509</f>
        <v>8760.7</v>
      </c>
    </row>
    <row r="509" spans="1:7" ht="31.5">
      <c r="A509" s="48" t="s">
        <v>44</v>
      </c>
      <c r="B509" s="50"/>
      <c r="C509" s="50" t="s">
        <v>35</v>
      </c>
      <c r="D509" s="50" t="s">
        <v>38</v>
      </c>
      <c r="E509" s="49" t="s">
        <v>45</v>
      </c>
      <c r="F509" s="49"/>
      <c r="G509" s="51">
        <f>G510</f>
        <v>8760.7</v>
      </c>
    </row>
    <row r="510" spans="1:7" ht="15.75">
      <c r="A510" s="48" t="s">
        <v>46</v>
      </c>
      <c r="B510" s="50"/>
      <c r="C510" s="50" t="s">
        <v>35</v>
      </c>
      <c r="D510" s="50" t="s">
        <v>38</v>
      </c>
      <c r="E510" s="49" t="s">
        <v>45</v>
      </c>
      <c r="F510" s="49">
        <v>300</v>
      </c>
      <c r="G510" s="51">
        <v>8760.7</v>
      </c>
    </row>
    <row r="511" spans="1:7" ht="15.75">
      <c r="A511" s="48" t="s">
        <v>47</v>
      </c>
      <c r="B511" s="50"/>
      <c r="C511" s="50" t="s">
        <v>35</v>
      </c>
      <c r="D511" s="50" t="s">
        <v>48</v>
      </c>
      <c r="E511" s="49"/>
      <c r="F511" s="49"/>
      <c r="G511" s="51">
        <f>G520+G512</f>
        <v>67465.8</v>
      </c>
    </row>
    <row r="512" spans="1:7" ht="31.5">
      <c r="A512" s="48" t="s">
        <v>554</v>
      </c>
      <c r="B512" s="50"/>
      <c r="C512" s="50" t="s">
        <v>35</v>
      </c>
      <c r="D512" s="50" t="s">
        <v>48</v>
      </c>
      <c r="E512" s="50" t="s">
        <v>540</v>
      </c>
      <c r="F512" s="49"/>
      <c r="G512" s="51">
        <f>G513</f>
        <v>65265.8</v>
      </c>
    </row>
    <row r="513" spans="1:7" ht="31.5">
      <c r="A513" s="48" t="s">
        <v>555</v>
      </c>
      <c r="B513" s="50"/>
      <c r="C513" s="50" t="s">
        <v>35</v>
      </c>
      <c r="D513" s="50" t="s">
        <v>48</v>
      </c>
      <c r="E513" s="50" t="s">
        <v>556</v>
      </c>
      <c r="F513" s="49"/>
      <c r="G513" s="51">
        <f>G514</f>
        <v>65265.8</v>
      </c>
    </row>
    <row r="514" spans="1:7" ht="78.75">
      <c r="A514" s="48" t="s">
        <v>317</v>
      </c>
      <c r="B514" s="50"/>
      <c r="C514" s="50" t="s">
        <v>35</v>
      </c>
      <c r="D514" s="50" t="s">
        <v>48</v>
      </c>
      <c r="E514" s="50" t="s">
        <v>557</v>
      </c>
      <c r="F514" s="49"/>
      <c r="G514" s="51">
        <f>G515</f>
        <v>65265.8</v>
      </c>
    </row>
    <row r="515" spans="1:7" ht="31.5">
      <c r="A515" s="48" t="s">
        <v>558</v>
      </c>
      <c r="B515" s="50"/>
      <c r="C515" s="50" t="s">
        <v>35</v>
      </c>
      <c r="D515" s="50" t="s">
        <v>48</v>
      </c>
      <c r="E515" s="50" t="s">
        <v>559</v>
      </c>
      <c r="F515" s="49"/>
      <c r="G515" s="51">
        <f>G516+G517+G519+G518</f>
        <v>65265.8</v>
      </c>
    </row>
    <row r="516" spans="1:7" ht="47.25">
      <c r="A516" s="48" t="s">
        <v>55</v>
      </c>
      <c r="B516" s="50"/>
      <c r="C516" s="50" t="s">
        <v>35</v>
      </c>
      <c r="D516" s="50" t="s">
        <v>48</v>
      </c>
      <c r="E516" s="50" t="s">
        <v>559</v>
      </c>
      <c r="F516" s="49">
        <v>100</v>
      </c>
      <c r="G516" s="51">
        <v>54460.9</v>
      </c>
    </row>
    <row r="517" spans="1:7" ht="31.5">
      <c r="A517" s="48" t="s">
        <v>56</v>
      </c>
      <c r="B517" s="50"/>
      <c r="C517" s="50" t="s">
        <v>35</v>
      </c>
      <c r="D517" s="50" t="s">
        <v>48</v>
      </c>
      <c r="E517" s="50" t="s">
        <v>559</v>
      </c>
      <c r="F517" s="49">
        <v>200</v>
      </c>
      <c r="G517" s="51">
        <v>10588.7</v>
      </c>
    </row>
    <row r="518" spans="1:7" ht="15.75">
      <c r="A518" s="183" t="s">
        <v>46</v>
      </c>
      <c r="B518" s="184"/>
      <c r="C518" s="184" t="s">
        <v>35</v>
      </c>
      <c r="D518" s="184" t="s">
        <v>48</v>
      </c>
      <c r="E518" s="184" t="s">
        <v>559</v>
      </c>
      <c r="F518" s="49">
        <v>300</v>
      </c>
      <c r="G518" s="51">
        <v>3.2</v>
      </c>
    </row>
    <row r="519" spans="1:7" ht="15.75">
      <c r="A519" s="48" t="s">
        <v>26</v>
      </c>
      <c r="B519" s="50"/>
      <c r="C519" s="50" t="s">
        <v>35</v>
      </c>
      <c r="D519" s="50" t="s">
        <v>48</v>
      </c>
      <c r="E519" s="50" t="s">
        <v>559</v>
      </c>
      <c r="F519" s="49">
        <v>800</v>
      </c>
      <c r="G519" s="51">
        <v>213</v>
      </c>
    </row>
    <row r="520" spans="1:7" ht="31.5">
      <c r="A520" s="48" t="s">
        <v>88</v>
      </c>
      <c r="B520" s="50"/>
      <c r="C520" s="50" t="s">
        <v>35</v>
      </c>
      <c r="D520" s="50" t="s">
        <v>48</v>
      </c>
      <c r="E520" s="49" t="s">
        <v>20</v>
      </c>
      <c r="F520" s="49"/>
      <c r="G520" s="51">
        <f>G521</f>
        <v>2200</v>
      </c>
    </row>
    <row r="521" spans="1:7" ht="31.5">
      <c r="A521" s="48" t="s">
        <v>89</v>
      </c>
      <c r="B521" s="50"/>
      <c r="C521" s="50" t="s">
        <v>35</v>
      </c>
      <c r="D521" s="50" t="s">
        <v>48</v>
      </c>
      <c r="E521" s="49" t="s">
        <v>21</v>
      </c>
      <c r="F521" s="49"/>
      <c r="G521" s="51">
        <f>G522</f>
        <v>2200</v>
      </c>
    </row>
    <row r="522" spans="1:7" ht="31.5">
      <c r="A522" s="48" t="s">
        <v>49</v>
      </c>
      <c r="B522" s="50"/>
      <c r="C522" s="50" t="s">
        <v>35</v>
      </c>
      <c r="D522" s="50" t="s">
        <v>48</v>
      </c>
      <c r="E522" s="49" t="s">
        <v>50</v>
      </c>
      <c r="F522" s="49"/>
      <c r="G522" s="51">
        <f>SUM(G523)</f>
        <v>2200</v>
      </c>
    </row>
    <row r="523" spans="1:7" ht="15.75">
      <c r="A523" s="48" t="s">
        <v>51</v>
      </c>
      <c r="B523" s="50"/>
      <c r="C523" s="50" t="s">
        <v>35</v>
      </c>
      <c r="D523" s="50" t="s">
        <v>48</v>
      </c>
      <c r="E523" s="49" t="s">
        <v>52</v>
      </c>
      <c r="F523" s="49"/>
      <c r="G523" s="51">
        <f>G524</f>
        <v>2200</v>
      </c>
    </row>
    <row r="524" spans="1:7" ht="31.5">
      <c r="A524" s="48" t="s">
        <v>53</v>
      </c>
      <c r="B524" s="50"/>
      <c r="C524" s="50" t="s">
        <v>35</v>
      </c>
      <c r="D524" s="50" t="s">
        <v>48</v>
      </c>
      <c r="E524" s="49" t="s">
        <v>54</v>
      </c>
      <c r="F524" s="49"/>
      <c r="G524" s="51">
        <f>G525+G526</f>
        <v>2200</v>
      </c>
    </row>
    <row r="525" spans="1:7" ht="47.25">
      <c r="A525" s="48" t="s">
        <v>55</v>
      </c>
      <c r="B525" s="50"/>
      <c r="C525" s="50" t="s">
        <v>35</v>
      </c>
      <c r="D525" s="50" t="s">
        <v>48</v>
      </c>
      <c r="E525" s="49" t="s">
        <v>54</v>
      </c>
      <c r="F525" s="49">
        <v>100</v>
      </c>
      <c r="G525" s="51">
        <v>1190</v>
      </c>
    </row>
    <row r="526" spans="1:7" ht="31.5">
      <c r="A526" s="48" t="s">
        <v>56</v>
      </c>
      <c r="B526" s="50"/>
      <c r="C526" s="50" t="s">
        <v>35</v>
      </c>
      <c r="D526" s="50" t="s">
        <v>48</v>
      </c>
      <c r="E526" s="49" t="s">
        <v>54</v>
      </c>
      <c r="F526" s="49">
        <v>200</v>
      </c>
      <c r="G526" s="51">
        <v>1010</v>
      </c>
    </row>
    <row r="527" spans="1:7" ht="15.75">
      <c r="A527" s="48" t="s">
        <v>57</v>
      </c>
      <c r="B527" s="50"/>
      <c r="C527" s="50" t="s">
        <v>35</v>
      </c>
      <c r="D527" s="50" t="s">
        <v>58</v>
      </c>
      <c r="E527" s="49"/>
      <c r="F527" s="49"/>
      <c r="G527" s="51">
        <f>G584+G611+G528+G615</f>
        <v>784417.1000000001</v>
      </c>
    </row>
    <row r="528" spans="1:7" ht="31.5">
      <c r="A528" s="48" t="s">
        <v>554</v>
      </c>
      <c r="B528" s="50"/>
      <c r="C528" s="50" t="s">
        <v>35</v>
      </c>
      <c r="D528" s="50" t="s">
        <v>58</v>
      </c>
      <c r="E528" s="50" t="s">
        <v>540</v>
      </c>
      <c r="F528" s="49"/>
      <c r="G528" s="51">
        <f>G529+G534</f>
        <v>773701.2000000001</v>
      </c>
    </row>
    <row r="529" spans="1:7" ht="15.75">
      <c r="A529" s="48" t="s">
        <v>560</v>
      </c>
      <c r="B529" s="50"/>
      <c r="C529" s="50" t="s">
        <v>35</v>
      </c>
      <c r="D529" s="50" t="s">
        <v>58</v>
      </c>
      <c r="E529" s="50" t="s">
        <v>541</v>
      </c>
      <c r="F529" s="49"/>
      <c r="G529" s="51">
        <f>G530</f>
        <v>91135.7</v>
      </c>
    </row>
    <row r="530" spans="1:7" ht="78.75">
      <c r="A530" s="48" t="s">
        <v>317</v>
      </c>
      <c r="B530" s="50"/>
      <c r="C530" s="50" t="s">
        <v>35</v>
      </c>
      <c r="D530" s="50" t="s">
        <v>58</v>
      </c>
      <c r="E530" s="50" t="s">
        <v>542</v>
      </c>
      <c r="F530" s="49"/>
      <c r="G530" s="51">
        <f>G531</f>
        <v>91135.7</v>
      </c>
    </row>
    <row r="531" spans="1:7" ht="110.25">
      <c r="A531" s="48" t="s">
        <v>561</v>
      </c>
      <c r="B531" s="50"/>
      <c r="C531" s="50" t="s">
        <v>35</v>
      </c>
      <c r="D531" s="50" t="s">
        <v>58</v>
      </c>
      <c r="E531" s="50" t="s">
        <v>562</v>
      </c>
      <c r="F531" s="49"/>
      <c r="G531" s="51">
        <f>G532+G533</f>
        <v>91135.7</v>
      </c>
    </row>
    <row r="532" spans="1:7" ht="31.5">
      <c r="A532" s="48" t="s">
        <v>56</v>
      </c>
      <c r="B532" s="50"/>
      <c r="C532" s="50" t="s">
        <v>35</v>
      </c>
      <c r="D532" s="50" t="s">
        <v>58</v>
      </c>
      <c r="E532" s="50" t="s">
        <v>562</v>
      </c>
      <c r="F532" s="49">
        <v>200</v>
      </c>
      <c r="G532" s="51">
        <v>1241.9</v>
      </c>
    </row>
    <row r="533" spans="1:7" ht="15.75">
      <c r="A533" s="48" t="s">
        <v>46</v>
      </c>
      <c r="B533" s="50"/>
      <c r="C533" s="50" t="s">
        <v>35</v>
      </c>
      <c r="D533" s="50" t="s">
        <v>58</v>
      </c>
      <c r="E533" s="50" t="s">
        <v>562</v>
      </c>
      <c r="F533" s="49">
        <v>300</v>
      </c>
      <c r="G533" s="51">
        <v>89893.8</v>
      </c>
    </row>
    <row r="534" spans="1:7" ht="31.5">
      <c r="A534" s="48" t="s">
        <v>563</v>
      </c>
      <c r="B534" s="50"/>
      <c r="C534" s="50" t="s">
        <v>35</v>
      </c>
      <c r="D534" s="50" t="s">
        <v>58</v>
      </c>
      <c r="E534" s="50" t="s">
        <v>564</v>
      </c>
      <c r="F534" s="49"/>
      <c r="G534" s="51">
        <f>G535</f>
        <v>682565.5000000001</v>
      </c>
    </row>
    <row r="535" spans="1:7" ht="78.75">
      <c r="A535" s="48" t="s">
        <v>317</v>
      </c>
      <c r="B535" s="50"/>
      <c r="C535" s="50" t="s">
        <v>35</v>
      </c>
      <c r="D535" s="50" t="s">
        <v>58</v>
      </c>
      <c r="E535" s="50" t="s">
        <v>565</v>
      </c>
      <c r="F535" s="49"/>
      <c r="G535" s="51">
        <f>G536+G539+G542+G545+G548+G551+G554+G557+G560+G563+G566+G569+G572+G575+G578+G581</f>
        <v>682565.5000000001</v>
      </c>
    </row>
    <row r="536" spans="1:7" ht="47.25">
      <c r="A536" s="48" t="s">
        <v>566</v>
      </c>
      <c r="B536" s="50"/>
      <c r="C536" s="50" t="s">
        <v>35</v>
      </c>
      <c r="D536" s="50" t="s">
        <v>58</v>
      </c>
      <c r="E536" s="50" t="s">
        <v>567</v>
      </c>
      <c r="F536" s="49"/>
      <c r="G536" s="51">
        <f>G537+G538</f>
        <v>183679.2</v>
      </c>
    </row>
    <row r="537" spans="1:7" ht="31.5">
      <c r="A537" s="48" t="s">
        <v>56</v>
      </c>
      <c r="B537" s="50"/>
      <c r="C537" s="50" t="s">
        <v>35</v>
      </c>
      <c r="D537" s="50" t="s">
        <v>58</v>
      </c>
      <c r="E537" s="50" t="s">
        <v>567</v>
      </c>
      <c r="F537" s="49">
        <v>200</v>
      </c>
      <c r="G537" s="51">
        <v>2821.5</v>
      </c>
    </row>
    <row r="538" spans="1:7" ht="15.75">
      <c r="A538" s="48" t="s">
        <v>46</v>
      </c>
      <c r="B538" s="50"/>
      <c r="C538" s="50" t="s">
        <v>35</v>
      </c>
      <c r="D538" s="50" t="s">
        <v>58</v>
      </c>
      <c r="E538" s="50" t="s">
        <v>567</v>
      </c>
      <c r="F538" s="49">
        <v>300</v>
      </c>
      <c r="G538" s="51">
        <v>180857.7</v>
      </c>
    </row>
    <row r="539" spans="1:7" ht="47.25">
      <c r="A539" s="48" t="s">
        <v>568</v>
      </c>
      <c r="B539" s="50"/>
      <c r="C539" s="50" t="s">
        <v>35</v>
      </c>
      <c r="D539" s="50" t="s">
        <v>58</v>
      </c>
      <c r="E539" s="50" t="s">
        <v>569</v>
      </c>
      <c r="F539" s="50"/>
      <c r="G539" s="51">
        <f>G540+G541</f>
        <v>9475.2</v>
      </c>
    </row>
    <row r="540" spans="1:7" ht="31.5">
      <c r="A540" s="48" t="s">
        <v>56</v>
      </c>
      <c r="B540" s="50"/>
      <c r="C540" s="50" t="s">
        <v>35</v>
      </c>
      <c r="D540" s="50" t="s">
        <v>58</v>
      </c>
      <c r="E540" s="50" t="s">
        <v>569</v>
      </c>
      <c r="F540" s="50" t="s">
        <v>101</v>
      </c>
      <c r="G540" s="51">
        <v>177.5</v>
      </c>
    </row>
    <row r="541" spans="1:7" ht="15.75">
      <c r="A541" s="48" t="s">
        <v>46</v>
      </c>
      <c r="B541" s="50"/>
      <c r="C541" s="50" t="s">
        <v>35</v>
      </c>
      <c r="D541" s="50" t="s">
        <v>58</v>
      </c>
      <c r="E541" s="50" t="s">
        <v>569</v>
      </c>
      <c r="F541" s="50" t="s">
        <v>109</v>
      </c>
      <c r="G541" s="51">
        <v>9297.7</v>
      </c>
    </row>
    <row r="542" spans="1:7" ht="31.5">
      <c r="A542" s="48" t="s">
        <v>570</v>
      </c>
      <c r="B542" s="50"/>
      <c r="C542" s="50" t="s">
        <v>35</v>
      </c>
      <c r="D542" s="50" t="s">
        <v>58</v>
      </c>
      <c r="E542" s="50" t="s">
        <v>571</v>
      </c>
      <c r="F542" s="50"/>
      <c r="G542" s="51">
        <f>G543+G544</f>
        <v>114953.9</v>
      </c>
    </row>
    <row r="543" spans="1:7" ht="31.5">
      <c r="A543" s="48" t="s">
        <v>56</v>
      </c>
      <c r="B543" s="50"/>
      <c r="C543" s="50" t="s">
        <v>35</v>
      </c>
      <c r="D543" s="50" t="s">
        <v>58</v>
      </c>
      <c r="E543" s="50" t="s">
        <v>571</v>
      </c>
      <c r="F543" s="50" t="s">
        <v>101</v>
      </c>
      <c r="G543" s="51">
        <v>1668.4</v>
      </c>
    </row>
    <row r="544" spans="1:7" ht="15.75">
      <c r="A544" s="48" t="s">
        <v>46</v>
      </c>
      <c r="B544" s="50"/>
      <c r="C544" s="50" t="s">
        <v>35</v>
      </c>
      <c r="D544" s="50" t="s">
        <v>58</v>
      </c>
      <c r="E544" s="50" t="s">
        <v>571</v>
      </c>
      <c r="F544" s="50" t="s">
        <v>109</v>
      </c>
      <c r="G544" s="51">
        <v>113285.5</v>
      </c>
    </row>
    <row r="545" spans="1:7" ht="47.25">
      <c r="A545" s="48" t="s">
        <v>572</v>
      </c>
      <c r="B545" s="50"/>
      <c r="C545" s="50" t="s">
        <v>35</v>
      </c>
      <c r="D545" s="50" t="s">
        <v>58</v>
      </c>
      <c r="E545" s="50" t="s">
        <v>573</v>
      </c>
      <c r="F545" s="50"/>
      <c r="G545" s="51">
        <f>G546+G547</f>
        <v>710.9</v>
      </c>
    </row>
    <row r="546" spans="1:7" ht="31.5">
      <c r="A546" s="48" t="s">
        <v>56</v>
      </c>
      <c r="B546" s="50"/>
      <c r="C546" s="50" t="s">
        <v>35</v>
      </c>
      <c r="D546" s="50" t="s">
        <v>58</v>
      </c>
      <c r="E546" s="50" t="s">
        <v>573</v>
      </c>
      <c r="F546" s="50" t="s">
        <v>101</v>
      </c>
      <c r="G546" s="51">
        <v>10.9</v>
      </c>
    </row>
    <row r="547" spans="1:7" ht="15.75">
      <c r="A547" s="48" t="s">
        <v>46</v>
      </c>
      <c r="B547" s="50"/>
      <c r="C547" s="50" t="s">
        <v>35</v>
      </c>
      <c r="D547" s="50" t="s">
        <v>58</v>
      </c>
      <c r="E547" s="50" t="s">
        <v>573</v>
      </c>
      <c r="F547" s="50" t="s">
        <v>109</v>
      </c>
      <c r="G547" s="51">
        <v>700</v>
      </c>
    </row>
    <row r="548" spans="1:7" ht="47.25">
      <c r="A548" s="48" t="s">
        <v>574</v>
      </c>
      <c r="B548" s="50"/>
      <c r="C548" s="50" t="s">
        <v>35</v>
      </c>
      <c r="D548" s="50" t="s">
        <v>58</v>
      </c>
      <c r="E548" s="50" t="s">
        <v>575</v>
      </c>
      <c r="F548" s="50"/>
      <c r="G548" s="51">
        <f>G549+G550</f>
        <v>90</v>
      </c>
    </row>
    <row r="549" spans="1:7" ht="31.5">
      <c r="A549" s="48" t="s">
        <v>56</v>
      </c>
      <c r="B549" s="50"/>
      <c r="C549" s="50" t="s">
        <v>35</v>
      </c>
      <c r="D549" s="50" t="s">
        <v>58</v>
      </c>
      <c r="E549" s="50" t="s">
        <v>575</v>
      </c>
      <c r="F549" s="50" t="s">
        <v>101</v>
      </c>
      <c r="G549" s="51">
        <v>1.5</v>
      </c>
    </row>
    <row r="550" spans="1:7" ht="15.75">
      <c r="A550" s="48" t="s">
        <v>46</v>
      </c>
      <c r="B550" s="50"/>
      <c r="C550" s="50" t="s">
        <v>35</v>
      </c>
      <c r="D550" s="50" t="s">
        <v>58</v>
      </c>
      <c r="E550" s="50" t="s">
        <v>575</v>
      </c>
      <c r="F550" s="50" t="s">
        <v>109</v>
      </c>
      <c r="G550" s="51">
        <v>88.5</v>
      </c>
    </row>
    <row r="551" spans="1:7" ht="63">
      <c r="A551" s="48" t="s">
        <v>576</v>
      </c>
      <c r="B551" s="50"/>
      <c r="C551" s="50" t="s">
        <v>35</v>
      </c>
      <c r="D551" s="50" t="s">
        <v>58</v>
      </c>
      <c r="E551" s="50" t="s">
        <v>577</v>
      </c>
      <c r="F551" s="50"/>
      <c r="G551" s="51">
        <f>G552+G553</f>
        <v>3260.2</v>
      </c>
    </row>
    <row r="552" spans="1:7" ht="31.5">
      <c r="A552" s="48" t="s">
        <v>56</v>
      </c>
      <c r="B552" s="50"/>
      <c r="C552" s="50" t="s">
        <v>35</v>
      </c>
      <c r="D552" s="50" t="s">
        <v>58</v>
      </c>
      <c r="E552" s="50" t="s">
        <v>577</v>
      </c>
      <c r="F552" s="50" t="s">
        <v>101</v>
      </c>
      <c r="G552" s="51">
        <v>250</v>
      </c>
    </row>
    <row r="553" spans="1:7" ht="15.75">
      <c r="A553" s="48" t="s">
        <v>46</v>
      </c>
      <c r="B553" s="50"/>
      <c r="C553" s="50" t="s">
        <v>35</v>
      </c>
      <c r="D553" s="50" t="s">
        <v>58</v>
      </c>
      <c r="E553" s="50" t="s">
        <v>577</v>
      </c>
      <c r="F553" s="50" t="s">
        <v>109</v>
      </c>
      <c r="G553" s="51">
        <v>3010.2</v>
      </c>
    </row>
    <row r="554" spans="1:7" ht="31.5">
      <c r="A554" s="48" t="s">
        <v>578</v>
      </c>
      <c r="B554" s="50"/>
      <c r="C554" s="50" t="s">
        <v>35</v>
      </c>
      <c r="D554" s="50" t="s">
        <v>58</v>
      </c>
      <c r="E554" s="50" t="s">
        <v>579</v>
      </c>
      <c r="F554" s="50"/>
      <c r="G554" s="51">
        <f>G555+G556</f>
        <v>206700</v>
      </c>
    </row>
    <row r="555" spans="1:7" ht="31.5">
      <c r="A555" s="48" t="s">
        <v>56</v>
      </c>
      <c r="B555" s="50"/>
      <c r="C555" s="50" t="s">
        <v>35</v>
      </c>
      <c r="D555" s="50" t="s">
        <v>58</v>
      </c>
      <c r="E555" s="50" t="s">
        <v>579</v>
      </c>
      <c r="F555" s="50" t="s">
        <v>101</v>
      </c>
      <c r="G555" s="51">
        <v>3526.4</v>
      </c>
    </row>
    <row r="556" spans="1:7" ht="15.75">
      <c r="A556" s="48" t="s">
        <v>46</v>
      </c>
      <c r="B556" s="50"/>
      <c r="C556" s="50" t="s">
        <v>35</v>
      </c>
      <c r="D556" s="50" t="s">
        <v>58</v>
      </c>
      <c r="E556" s="50" t="s">
        <v>579</v>
      </c>
      <c r="F556" s="50" t="s">
        <v>109</v>
      </c>
      <c r="G556" s="51">
        <v>203173.6</v>
      </c>
    </row>
    <row r="557" spans="1:7" ht="31.5">
      <c r="A557" s="48" t="s">
        <v>580</v>
      </c>
      <c r="B557" s="50"/>
      <c r="C557" s="50" t="s">
        <v>35</v>
      </c>
      <c r="D557" s="50" t="s">
        <v>58</v>
      </c>
      <c r="E557" s="50" t="s">
        <v>581</v>
      </c>
      <c r="F557" s="50"/>
      <c r="G557" s="51">
        <f>G558+G559</f>
        <v>1971.5</v>
      </c>
    </row>
    <row r="558" spans="1:7" ht="31.5">
      <c r="A558" s="48" t="s">
        <v>56</v>
      </c>
      <c r="B558" s="50"/>
      <c r="C558" s="50" t="s">
        <v>35</v>
      </c>
      <c r="D558" s="50" t="s">
        <v>58</v>
      </c>
      <c r="E558" s="50" t="s">
        <v>581</v>
      </c>
      <c r="F558" s="50" t="s">
        <v>101</v>
      </c>
      <c r="G558" s="51">
        <v>29</v>
      </c>
    </row>
    <row r="559" spans="1:7" ht="15.75">
      <c r="A559" s="48" t="s">
        <v>46</v>
      </c>
      <c r="B559" s="50"/>
      <c r="C559" s="50" t="s">
        <v>35</v>
      </c>
      <c r="D559" s="50" t="s">
        <v>58</v>
      </c>
      <c r="E559" s="50" t="s">
        <v>581</v>
      </c>
      <c r="F559" s="50" t="s">
        <v>109</v>
      </c>
      <c r="G559" s="51">
        <v>1942.5</v>
      </c>
    </row>
    <row r="560" spans="1:7" ht="47.25">
      <c r="A560" s="48" t="s">
        <v>582</v>
      </c>
      <c r="B560" s="50"/>
      <c r="C560" s="50" t="s">
        <v>35</v>
      </c>
      <c r="D560" s="50" t="s">
        <v>58</v>
      </c>
      <c r="E560" s="50" t="s">
        <v>583</v>
      </c>
      <c r="F560" s="50"/>
      <c r="G560" s="51">
        <f>G561+G562</f>
        <v>13459.8</v>
      </c>
    </row>
    <row r="561" spans="1:7" ht="31.5">
      <c r="A561" s="48" t="s">
        <v>56</v>
      </c>
      <c r="B561" s="50"/>
      <c r="C561" s="50" t="s">
        <v>35</v>
      </c>
      <c r="D561" s="50" t="s">
        <v>58</v>
      </c>
      <c r="E561" s="50" t="s">
        <v>583</v>
      </c>
      <c r="F561" s="50" t="s">
        <v>101</v>
      </c>
      <c r="G561" s="51">
        <v>198.9</v>
      </c>
    </row>
    <row r="562" spans="1:7" ht="15.75">
      <c r="A562" s="48" t="s">
        <v>46</v>
      </c>
      <c r="B562" s="50"/>
      <c r="C562" s="50" t="s">
        <v>35</v>
      </c>
      <c r="D562" s="50" t="s">
        <v>58</v>
      </c>
      <c r="E562" s="50" t="s">
        <v>583</v>
      </c>
      <c r="F562" s="50" t="s">
        <v>109</v>
      </c>
      <c r="G562" s="51">
        <v>13260.9</v>
      </c>
    </row>
    <row r="563" spans="1:7" ht="31.5">
      <c r="A563" s="48" t="s">
        <v>584</v>
      </c>
      <c r="B563" s="50"/>
      <c r="C563" s="50" t="s">
        <v>35</v>
      </c>
      <c r="D563" s="50" t="s">
        <v>58</v>
      </c>
      <c r="E563" s="50" t="s">
        <v>585</v>
      </c>
      <c r="F563" s="50"/>
      <c r="G563" s="51">
        <f>G564+G565</f>
        <v>127639.90000000001</v>
      </c>
    </row>
    <row r="564" spans="1:7" ht="31.5">
      <c r="A564" s="48" t="s">
        <v>56</v>
      </c>
      <c r="B564" s="50"/>
      <c r="C564" s="50" t="s">
        <v>35</v>
      </c>
      <c r="D564" s="50" t="s">
        <v>58</v>
      </c>
      <c r="E564" s="50" t="s">
        <v>585</v>
      </c>
      <c r="F564" s="50" t="s">
        <v>101</v>
      </c>
      <c r="G564" s="51">
        <v>1886.3</v>
      </c>
    </row>
    <row r="565" spans="1:7" ht="15.75">
      <c r="A565" s="48" t="s">
        <v>46</v>
      </c>
      <c r="B565" s="50"/>
      <c r="C565" s="50" t="s">
        <v>35</v>
      </c>
      <c r="D565" s="50" t="s">
        <v>58</v>
      </c>
      <c r="E565" s="50" t="s">
        <v>585</v>
      </c>
      <c r="F565" s="50" t="s">
        <v>109</v>
      </c>
      <c r="G565" s="51">
        <v>125753.6</v>
      </c>
    </row>
    <row r="566" spans="1:7" ht="94.5">
      <c r="A566" s="48" t="s">
        <v>586</v>
      </c>
      <c r="B566" s="50"/>
      <c r="C566" s="50" t="s">
        <v>35</v>
      </c>
      <c r="D566" s="50" t="s">
        <v>58</v>
      </c>
      <c r="E566" s="50" t="s">
        <v>587</v>
      </c>
      <c r="F566" s="50"/>
      <c r="G566" s="51">
        <f>G567+G568</f>
        <v>14</v>
      </c>
    </row>
    <row r="567" spans="1:7" ht="31.5">
      <c r="A567" s="48" t="s">
        <v>56</v>
      </c>
      <c r="B567" s="50"/>
      <c r="C567" s="50" t="s">
        <v>35</v>
      </c>
      <c r="D567" s="50" t="s">
        <v>58</v>
      </c>
      <c r="E567" s="50" t="s">
        <v>587</v>
      </c>
      <c r="F567" s="50" t="s">
        <v>101</v>
      </c>
      <c r="G567" s="51">
        <v>0.2</v>
      </c>
    </row>
    <row r="568" spans="1:7" ht="15.75">
      <c r="A568" s="48" t="s">
        <v>46</v>
      </c>
      <c r="B568" s="50"/>
      <c r="C568" s="50" t="s">
        <v>35</v>
      </c>
      <c r="D568" s="50" t="s">
        <v>58</v>
      </c>
      <c r="E568" s="50" t="s">
        <v>587</v>
      </c>
      <c r="F568" s="50" t="s">
        <v>109</v>
      </c>
      <c r="G568" s="51">
        <v>13.8</v>
      </c>
    </row>
    <row r="569" spans="1:7" ht="47.25">
      <c r="A569" s="48" t="s">
        <v>588</v>
      </c>
      <c r="B569" s="50"/>
      <c r="C569" s="50" t="s">
        <v>35</v>
      </c>
      <c r="D569" s="50" t="s">
        <v>58</v>
      </c>
      <c r="E569" s="50" t="s">
        <v>589</v>
      </c>
      <c r="F569" s="50"/>
      <c r="G569" s="51">
        <f>G570+G571</f>
        <v>2553.2999999999997</v>
      </c>
    </row>
    <row r="570" spans="1:7" ht="31.5">
      <c r="A570" s="48" t="s">
        <v>56</v>
      </c>
      <c r="B570" s="50"/>
      <c r="C570" s="50" t="s">
        <v>35</v>
      </c>
      <c r="D570" s="50" t="s">
        <v>58</v>
      </c>
      <c r="E570" s="50" t="s">
        <v>589</v>
      </c>
      <c r="F570" s="50" t="s">
        <v>101</v>
      </c>
      <c r="G570" s="51">
        <v>35.7</v>
      </c>
    </row>
    <row r="571" spans="1:7" ht="15.75">
      <c r="A571" s="48" t="s">
        <v>46</v>
      </c>
      <c r="B571" s="50"/>
      <c r="C571" s="50" t="s">
        <v>35</v>
      </c>
      <c r="D571" s="50" t="s">
        <v>58</v>
      </c>
      <c r="E571" s="50" t="s">
        <v>589</v>
      </c>
      <c r="F571" s="50" t="s">
        <v>109</v>
      </c>
      <c r="G571" s="51">
        <v>2517.6</v>
      </c>
    </row>
    <row r="572" spans="1:7" ht="63">
      <c r="A572" s="48" t="s">
        <v>590</v>
      </c>
      <c r="B572" s="50"/>
      <c r="C572" s="50" t="s">
        <v>35</v>
      </c>
      <c r="D572" s="50" t="s">
        <v>58</v>
      </c>
      <c r="E572" s="50" t="s">
        <v>591</v>
      </c>
      <c r="F572" s="50"/>
      <c r="G572" s="51">
        <f>G573+G574</f>
        <v>1800.2</v>
      </c>
    </row>
    <row r="573" spans="1:7" ht="31.5">
      <c r="A573" s="48" t="s">
        <v>56</v>
      </c>
      <c r="B573" s="50"/>
      <c r="C573" s="50" t="s">
        <v>35</v>
      </c>
      <c r="D573" s="50" t="s">
        <v>58</v>
      </c>
      <c r="E573" s="50" t="s">
        <v>591</v>
      </c>
      <c r="F573" s="50" t="s">
        <v>101</v>
      </c>
      <c r="G573" s="51">
        <v>30.4</v>
      </c>
    </row>
    <row r="574" spans="1:7" ht="15.75">
      <c r="A574" s="48" t="s">
        <v>46</v>
      </c>
      <c r="B574" s="50"/>
      <c r="C574" s="50" t="s">
        <v>35</v>
      </c>
      <c r="D574" s="50" t="s">
        <v>58</v>
      </c>
      <c r="E574" s="50" t="s">
        <v>591</v>
      </c>
      <c r="F574" s="50" t="s">
        <v>109</v>
      </c>
      <c r="G574" s="51">
        <v>1769.8</v>
      </c>
    </row>
    <row r="575" spans="1:7" ht="15.75">
      <c r="A575" s="48" t="s">
        <v>592</v>
      </c>
      <c r="B575" s="50"/>
      <c r="C575" s="50" t="s">
        <v>35</v>
      </c>
      <c r="D575" s="50" t="s">
        <v>58</v>
      </c>
      <c r="E575" s="50" t="s">
        <v>593</v>
      </c>
      <c r="F575" s="50"/>
      <c r="G575" s="51">
        <f>G576+G577</f>
        <v>69.3</v>
      </c>
    </row>
    <row r="576" spans="1:7" ht="31.5">
      <c r="A576" s="48" t="s">
        <v>56</v>
      </c>
      <c r="B576" s="50"/>
      <c r="C576" s="50" t="s">
        <v>35</v>
      </c>
      <c r="D576" s="50" t="s">
        <v>58</v>
      </c>
      <c r="E576" s="50" t="s">
        <v>593</v>
      </c>
      <c r="F576" s="50" t="s">
        <v>101</v>
      </c>
      <c r="G576" s="51">
        <v>1</v>
      </c>
    </row>
    <row r="577" spans="1:7" ht="15.75">
      <c r="A577" s="48" t="s">
        <v>46</v>
      </c>
      <c r="B577" s="50"/>
      <c r="C577" s="50" t="s">
        <v>35</v>
      </c>
      <c r="D577" s="50" t="s">
        <v>58</v>
      </c>
      <c r="E577" s="50" t="s">
        <v>593</v>
      </c>
      <c r="F577" s="50" t="s">
        <v>109</v>
      </c>
      <c r="G577" s="51">
        <v>68.3</v>
      </c>
    </row>
    <row r="578" spans="1:7" ht="47.25">
      <c r="A578" s="48" t="s">
        <v>594</v>
      </c>
      <c r="B578" s="50"/>
      <c r="C578" s="50" t="s">
        <v>35</v>
      </c>
      <c r="D578" s="50" t="s">
        <v>58</v>
      </c>
      <c r="E578" s="50" t="s">
        <v>595</v>
      </c>
      <c r="F578" s="50"/>
      <c r="G578" s="51">
        <f>G579+G580</f>
        <v>690.9000000000001</v>
      </c>
    </row>
    <row r="579" spans="1:7" ht="31.5">
      <c r="A579" s="48" t="s">
        <v>56</v>
      </c>
      <c r="B579" s="50"/>
      <c r="C579" s="50" t="s">
        <v>35</v>
      </c>
      <c r="D579" s="50" t="s">
        <v>58</v>
      </c>
      <c r="E579" s="50" t="s">
        <v>595</v>
      </c>
      <c r="F579" s="50" t="s">
        <v>101</v>
      </c>
      <c r="G579" s="51">
        <v>16.2</v>
      </c>
    </row>
    <row r="580" spans="1:7" ht="15.75">
      <c r="A580" s="48" t="s">
        <v>46</v>
      </c>
      <c r="B580" s="50"/>
      <c r="C580" s="50" t="s">
        <v>35</v>
      </c>
      <c r="D580" s="50" t="s">
        <v>58</v>
      </c>
      <c r="E580" s="50" t="s">
        <v>595</v>
      </c>
      <c r="F580" s="50" t="s">
        <v>109</v>
      </c>
      <c r="G580" s="51">
        <v>674.7</v>
      </c>
    </row>
    <row r="581" spans="1:7" ht="31.5">
      <c r="A581" s="48" t="s">
        <v>705</v>
      </c>
      <c r="B581" s="50"/>
      <c r="C581" s="50" t="s">
        <v>35</v>
      </c>
      <c r="D581" s="50" t="s">
        <v>58</v>
      </c>
      <c r="E581" s="50" t="s">
        <v>706</v>
      </c>
      <c r="F581" s="50"/>
      <c r="G581" s="51">
        <f>SUM(G582:G583)</f>
        <v>15497.2</v>
      </c>
    </row>
    <row r="582" spans="1:7" ht="31.5">
      <c r="A582" s="48" t="s">
        <v>56</v>
      </c>
      <c r="B582" s="50"/>
      <c r="C582" s="50" t="s">
        <v>35</v>
      </c>
      <c r="D582" s="50" t="s">
        <v>58</v>
      </c>
      <c r="E582" s="50" t="s">
        <v>706</v>
      </c>
      <c r="F582" s="50" t="s">
        <v>101</v>
      </c>
      <c r="G582" s="51">
        <v>491.5</v>
      </c>
    </row>
    <row r="583" spans="1:7" ht="15.75">
      <c r="A583" s="48" t="s">
        <v>46</v>
      </c>
      <c r="B583" s="50"/>
      <c r="C583" s="50" t="s">
        <v>35</v>
      </c>
      <c r="D583" s="50" t="s">
        <v>58</v>
      </c>
      <c r="E583" s="50" t="s">
        <v>706</v>
      </c>
      <c r="F583" s="50" t="s">
        <v>109</v>
      </c>
      <c r="G583" s="51">
        <v>15005.7</v>
      </c>
    </row>
    <row r="584" spans="1:7" ht="31.5">
      <c r="A584" s="48" t="s">
        <v>88</v>
      </c>
      <c r="B584" s="50"/>
      <c r="C584" s="50" t="s">
        <v>35</v>
      </c>
      <c r="D584" s="50" t="s">
        <v>58</v>
      </c>
      <c r="E584" s="49" t="s">
        <v>20</v>
      </c>
      <c r="F584" s="49"/>
      <c r="G584" s="51">
        <f>G585+G598+G603</f>
        <v>5528.500000000001</v>
      </c>
    </row>
    <row r="585" spans="1:7" ht="31.5">
      <c r="A585" s="48" t="s">
        <v>89</v>
      </c>
      <c r="B585" s="50"/>
      <c r="C585" s="50" t="s">
        <v>35</v>
      </c>
      <c r="D585" s="50" t="s">
        <v>58</v>
      </c>
      <c r="E585" s="49" t="s">
        <v>21</v>
      </c>
      <c r="F585" s="49"/>
      <c r="G585" s="51">
        <f>G586</f>
        <v>4091.2000000000007</v>
      </c>
    </row>
    <row r="586" spans="1:7" ht="15.75">
      <c r="A586" s="48" t="s">
        <v>39</v>
      </c>
      <c r="B586" s="50"/>
      <c r="C586" s="50" t="s">
        <v>35</v>
      </c>
      <c r="D586" s="50" t="s">
        <v>58</v>
      </c>
      <c r="E586" s="49" t="s">
        <v>40</v>
      </c>
      <c r="F586" s="49"/>
      <c r="G586" s="51">
        <f>SUM(G587+G594)</f>
        <v>4091.2000000000007</v>
      </c>
    </row>
    <row r="587" spans="1:7" ht="15.75">
      <c r="A587" s="48" t="s">
        <v>59</v>
      </c>
      <c r="B587" s="50"/>
      <c r="C587" s="50" t="s">
        <v>35</v>
      </c>
      <c r="D587" s="50" t="s">
        <v>58</v>
      </c>
      <c r="E587" s="49" t="s">
        <v>60</v>
      </c>
      <c r="F587" s="49"/>
      <c r="G587" s="51">
        <f>G588+G590+G592</f>
        <v>2903.0000000000005</v>
      </c>
    </row>
    <row r="588" spans="1:7" ht="15.75">
      <c r="A588" s="48" t="s">
        <v>61</v>
      </c>
      <c r="B588" s="50"/>
      <c r="C588" s="50" t="s">
        <v>35</v>
      </c>
      <c r="D588" s="50" t="s">
        <v>58</v>
      </c>
      <c r="E588" s="49" t="s">
        <v>62</v>
      </c>
      <c r="F588" s="49"/>
      <c r="G588" s="51">
        <f>G589</f>
        <v>1218.7</v>
      </c>
    </row>
    <row r="589" spans="1:7" ht="15.75">
      <c r="A589" s="48" t="s">
        <v>46</v>
      </c>
      <c r="B589" s="50"/>
      <c r="C589" s="50" t="s">
        <v>35</v>
      </c>
      <c r="D589" s="50" t="s">
        <v>58</v>
      </c>
      <c r="E589" s="49" t="s">
        <v>62</v>
      </c>
      <c r="F589" s="49">
        <v>300</v>
      </c>
      <c r="G589" s="51">
        <v>1218.7</v>
      </c>
    </row>
    <row r="590" spans="1:7" ht="31.5">
      <c r="A590" s="48" t="s">
        <v>63</v>
      </c>
      <c r="B590" s="50"/>
      <c r="C590" s="50" t="s">
        <v>35</v>
      </c>
      <c r="D590" s="50" t="s">
        <v>58</v>
      </c>
      <c r="E590" s="49" t="s">
        <v>64</v>
      </c>
      <c r="F590" s="49"/>
      <c r="G590" s="51">
        <f>G591</f>
        <v>1383.4</v>
      </c>
    </row>
    <row r="591" spans="1:7" ht="15.75">
      <c r="A591" s="48" t="s">
        <v>46</v>
      </c>
      <c r="B591" s="50"/>
      <c r="C591" s="50" t="s">
        <v>35</v>
      </c>
      <c r="D591" s="50" t="s">
        <v>58</v>
      </c>
      <c r="E591" s="49" t="s">
        <v>64</v>
      </c>
      <c r="F591" s="49">
        <v>300</v>
      </c>
      <c r="G591" s="51">
        <v>1383.4</v>
      </c>
    </row>
    <row r="592" spans="1:7" ht="31.5">
      <c r="A592" s="174" t="s">
        <v>810</v>
      </c>
      <c r="B592" s="77"/>
      <c r="C592" s="175" t="s">
        <v>35</v>
      </c>
      <c r="D592" s="175" t="s">
        <v>58</v>
      </c>
      <c r="E592" s="77" t="s">
        <v>813</v>
      </c>
      <c r="F592" s="77"/>
      <c r="G592" s="61">
        <f>SUM(G593)</f>
        <v>300.9</v>
      </c>
    </row>
    <row r="593" spans="1:7" ht="15.75">
      <c r="A593" s="174" t="s">
        <v>46</v>
      </c>
      <c r="B593" s="77"/>
      <c r="C593" s="175" t="s">
        <v>35</v>
      </c>
      <c r="D593" s="175" t="s">
        <v>58</v>
      </c>
      <c r="E593" s="77" t="s">
        <v>813</v>
      </c>
      <c r="F593" s="77" t="s">
        <v>109</v>
      </c>
      <c r="G593" s="61">
        <f>315.9-25+10</f>
        <v>300.9</v>
      </c>
    </row>
    <row r="594" spans="1:7" ht="15.75">
      <c r="A594" s="48" t="s">
        <v>65</v>
      </c>
      <c r="B594" s="50"/>
      <c r="C594" s="50" t="s">
        <v>35</v>
      </c>
      <c r="D594" s="50" t="s">
        <v>58</v>
      </c>
      <c r="E594" s="49" t="s">
        <v>66</v>
      </c>
      <c r="F594" s="49"/>
      <c r="G594" s="51">
        <f>G595</f>
        <v>1188.2</v>
      </c>
    </row>
    <row r="595" spans="1:7" ht="15.75">
      <c r="A595" s="48" t="s">
        <v>67</v>
      </c>
      <c r="B595" s="50"/>
      <c r="C595" s="50" t="s">
        <v>35</v>
      </c>
      <c r="D595" s="50" t="s">
        <v>58</v>
      </c>
      <c r="E595" s="49" t="s">
        <v>68</v>
      </c>
      <c r="F595" s="49"/>
      <c r="G595" s="51">
        <f>G596+G597</f>
        <v>1188.2</v>
      </c>
    </row>
    <row r="596" spans="1:7" ht="31.5">
      <c r="A596" s="48" t="s">
        <v>56</v>
      </c>
      <c r="B596" s="50"/>
      <c r="C596" s="50" t="s">
        <v>35</v>
      </c>
      <c r="D596" s="50" t="s">
        <v>58</v>
      </c>
      <c r="E596" s="49" t="s">
        <v>68</v>
      </c>
      <c r="F596" s="49">
        <v>200</v>
      </c>
      <c r="G596" s="51">
        <v>746.7</v>
      </c>
    </row>
    <row r="597" spans="1:7" ht="15.75">
      <c r="A597" s="48" t="s">
        <v>46</v>
      </c>
      <c r="B597" s="50"/>
      <c r="C597" s="50" t="s">
        <v>35</v>
      </c>
      <c r="D597" s="50" t="s">
        <v>58</v>
      </c>
      <c r="E597" s="49" t="s">
        <v>68</v>
      </c>
      <c r="F597" s="49">
        <v>300</v>
      </c>
      <c r="G597" s="51">
        <v>441.5</v>
      </c>
    </row>
    <row r="598" spans="1:7" ht="15.75">
      <c r="A598" s="48" t="s">
        <v>91</v>
      </c>
      <c r="B598" s="50"/>
      <c r="C598" s="50" t="s">
        <v>35</v>
      </c>
      <c r="D598" s="50" t="s">
        <v>58</v>
      </c>
      <c r="E598" s="49" t="s">
        <v>69</v>
      </c>
      <c r="F598" s="49"/>
      <c r="G598" s="51">
        <f>G599</f>
        <v>150.5</v>
      </c>
    </row>
    <row r="599" spans="1:7" ht="15.75">
      <c r="A599" s="48" t="s">
        <v>39</v>
      </c>
      <c r="B599" s="50"/>
      <c r="C599" s="50" t="s">
        <v>35</v>
      </c>
      <c r="D599" s="50" t="s">
        <v>58</v>
      </c>
      <c r="E599" s="49" t="s">
        <v>70</v>
      </c>
      <c r="F599" s="49"/>
      <c r="G599" s="51">
        <f>G600</f>
        <v>150.5</v>
      </c>
    </row>
    <row r="600" spans="1:7" ht="15.75">
      <c r="A600" s="48" t="s">
        <v>41</v>
      </c>
      <c r="B600" s="50"/>
      <c r="C600" s="50" t="s">
        <v>35</v>
      </c>
      <c r="D600" s="50" t="s">
        <v>58</v>
      </c>
      <c r="E600" s="49" t="s">
        <v>71</v>
      </c>
      <c r="F600" s="49"/>
      <c r="G600" s="51">
        <f>G601+G602</f>
        <v>150.5</v>
      </c>
    </row>
    <row r="601" spans="1:7" ht="31.5">
      <c r="A601" s="48" t="s">
        <v>56</v>
      </c>
      <c r="B601" s="50"/>
      <c r="C601" s="50" t="s">
        <v>35</v>
      </c>
      <c r="D601" s="50" t="s">
        <v>58</v>
      </c>
      <c r="E601" s="49" t="s">
        <v>71</v>
      </c>
      <c r="F601" s="49">
        <v>200</v>
      </c>
      <c r="G601" s="51">
        <v>83.5</v>
      </c>
    </row>
    <row r="602" spans="1:7" ht="18.75" customHeight="1">
      <c r="A602" s="48" t="s">
        <v>46</v>
      </c>
      <c r="B602" s="50"/>
      <c r="C602" s="50" t="s">
        <v>35</v>
      </c>
      <c r="D602" s="50" t="s">
        <v>58</v>
      </c>
      <c r="E602" s="49" t="s">
        <v>71</v>
      </c>
      <c r="F602" s="49">
        <v>300</v>
      </c>
      <c r="G602" s="51">
        <v>67</v>
      </c>
    </row>
    <row r="603" spans="1:7" ht="15.75">
      <c r="A603" s="48" t="s">
        <v>92</v>
      </c>
      <c r="B603" s="50"/>
      <c r="C603" s="50" t="s">
        <v>35</v>
      </c>
      <c r="D603" s="50" t="s">
        <v>58</v>
      </c>
      <c r="E603" s="49" t="s">
        <v>72</v>
      </c>
      <c r="F603" s="49"/>
      <c r="G603" s="51">
        <f>G607+G604</f>
        <v>1286.8</v>
      </c>
    </row>
    <row r="604" spans="1:7" ht="15.75">
      <c r="A604" s="48" t="s">
        <v>39</v>
      </c>
      <c r="B604" s="50"/>
      <c r="C604" s="50" t="s">
        <v>35</v>
      </c>
      <c r="D604" s="50" t="s">
        <v>58</v>
      </c>
      <c r="E604" s="49" t="s">
        <v>678</v>
      </c>
      <c r="F604" s="49"/>
      <c r="G604" s="51">
        <f>G605</f>
        <v>411.8</v>
      </c>
    </row>
    <row r="605" spans="1:7" ht="15.75">
      <c r="A605" s="48" t="s">
        <v>41</v>
      </c>
      <c r="B605" s="50"/>
      <c r="C605" s="50" t="s">
        <v>35</v>
      </c>
      <c r="D605" s="50" t="s">
        <v>58</v>
      </c>
      <c r="E605" s="49" t="s">
        <v>679</v>
      </c>
      <c r="F605" s="49"/>
      <c r="G605" s="51">
        <f>SUM(G606)</f>
        <v>411.8</v>
      </c>
    </row>
    <row r="606" spans="1:7" ht="31.5">
      <c r="A606" s="48" t="s">
        <v>56</v>
      </c>
      <c r="B606" s="50"/>
      <c r="C606" s="50" t="s">
        <v>35</v>
      </c>
      <c r="D606" s="50" t="s">
        <v>58</v>
      </c>
      <c r="E606" s="49" t="s">
        <v>679</v>
      </c>
      <c r="F606" s="49">
        <v>200</v>
      </c>
      <c r="G606" s="51">
        <v>411.8</v>
      </c>
    </row>
    <row r="607" spans="1:7" ht="29.25" customHeight="1">
      <c r="A607" s="48" t="s">
        <v>73</v>
      </c>
      <c r="B607" s="50"/>
      <c r="C607" s="50" t="s">
        <v>35</v>
      </c>
      <c r="D607" s="50" t="s">
        <v>58</v>
      </c>
      <c r="E607" s="49" t="s">
        <v>74</v>
      </c>
      <c r="F607" s="49"/>
      <c r="G607" s="51">
        <f>G608</f>
        <v>875</v>
      </c>
    </row>
    <row r="608" spans="1:7" ht="15" customHeight="1">
      <c r="A608" s="48" t="s">
        <v>41</v>
      </c>
      <c r="B608" s="50"/>
      <c r="C608" s="50" t="s">
        <v>35</v>
      </c>
      <c r="D608" s="50" t="s">
        <v>58</v>
      </c>
      <c r="E608" s="49" t="s">
        <v>75</v>
      </c>
      <c r="F608" s="49"/>
      <c r="G608" s="51">
        <f>SUM(G609:G610)</f>
        <v>875</v>
      </c>
    </row>
    <row r="609" spans="1:7" ht="31.5" hidden="1">
      <c r="A609" s="48" t="s">
        <v>56</v>
      </c>
      <c r="B609" s="50"/>
      <c r="C609" s="50" t="s">
        <v>35</v>
      </c>
      <c r="D609" s="50" t="s">
        <v>58</v>
      </c>
      <c r="E609" s="49" t="s">
        <v>75</v>
      </c>
      <c r="F609" s="49">
        <v>200</v>
      </c>
      <c r="G609" s="51"/>
    </row>
    <row r="610" spans="1:7" ht="31.5">
      <c r="A610" s="48" t="s">
        <v>76</v>
      </c>
      <c r="B610" s="50"/>
      <c r="C610" s="50" t="s">
        <v>35</v>
      </c>
      <c r="D610" s="50" t="s">
        <v>58</v>
      </c>
      <c r="E610" s="49" t="s">
        <v>75</v>
      </c>
      <c r="F610" s="49">
        <v>600</v>
      </c>
      <c r="G610" s="51">
        <v>875</v>
      </c>
    </row>
    <row r="611" spans="1:7" ht="47.25">
      <c r="A611" s="48" t="s">
        <v>93</v>
      </c>
      <c r="B611" s="50"/>
      <c r="C611" s="50" t="s">
        <v>35</v>
      </c>
      <c r="D611" s="50" t="s">
        <v>58</v>
      </c>
      <c r="E611" s="49" t="s">
        <v>77</v>
      </c>
      <c r="F611" s="49"/>
      <c r="G611" s="51">
        <f>G612</f>
        <v>3587.4</v>
      </c>
    </row>
    <row r="612" spans="1:7" ht="15.75">
      <c r="A612" s="48" t="s">
        <v>39</v>
      </c>
      <c r="B612" s="50"/>
      <c r="C612" s="50" t="s">
        <v>35</v>
      </c>
      <c r="D612" s="50" t="s">
        <v>58</v>
      </c>
      <c r="E612" s="49" t="s">
        <v>78</v>
      </c>
      <c r="F612" s="49"/>
      <c r="G612" s="51">
        <f>SUM(G613)</f>
        <v>3587.4</v>
      </c>
    </row>
    <row r="613" spans="1:7" ht="31.5">
      <c r="A613" s="48" t="s">
        <v>79</v>
      </c>
      <c r="B613" s="50"/>
      <c r="C613" s="50" t="s">
        <v>35</v>
      </c>
      <c r="D613" s="50" t="s">
        <v>58</v>
      </c>
      <c r="E613" s="49" t="s">
        <v>80</v>
      </c>
      <c r="F613" s="49"/>
      <c r="G613" s="51">
        <f>G614</f>
        <v>3587.4</v>
      </c>
    </row>
    <row r="614" spans="1:7" ht="31.5">
      <c r="A614" s="48" t="s">
        <v>56</v>
      </c>
      <c r="B614" s="50"/>
      <c r="C614" s="50" t="s">
        <v>35</v>
      </c>
      <c r="D614" s="50" t="s">
        <v>58</v>
      </c>
      <c r="E614" s="49" t="s">
        <v>80</v>
      </c>
      <c r="F614" s="49">
        <v>200</v>
      </c>
      <c r="G614" s="51">
        <v>3587.4</v>
      </c>
    </row>
    <row r="615" spans="1:7" ht="47.25">
      <c r="A615" s="48" t="s">
        <v>707</v>
      </c>
      <c r="B615" s="50"/>
      <c r="C615" s="50" t="s">
        <v>35</v>
      </c>
      <c r="D615" s="50" t="s">
        <v>58</v>
      </c>
      <c r="E615" s="49" t="s">
        <v>708</v>
      </c>
      <c r="F615" s="49"/>
      <c r="G615" s="51">
        <f>SUM(G616)</f>
        <v>1600</v>
      </c>
    </row>
    <row r="616" spans="1:7" ht="15.75">
      <c r="A616" s="48" t="s">
        <v>39</v>
      </c>
      <c r="B616" s="50"/>
      <c r="C616" s="50" t="s">
        <v>35</v>
      </c>
      <c r="D616" s="50" t="s">
        <v>58</v>
      </c>
      <c r="E616" s="49" t="s">
        <v>709</v>
      </c>
      <c r="F616" s="49"/>
      <c r="G616" s="51">
        <f>SUM(G617)</f>
        <v>1600</v>
      </c>
    </row>
    <row r="617" spans="1:7" ht="15.75">
      <c r="A617" s="48" t="s">
        <v>59</v>
      </c>
      <c r="B617" s="50"/>
      <c r="C617" s="50" t="s">
        <v>35</v>
      </c>
      <c r="D617" s="50" t="s">
        <v>58</v>
      </c>
      <c r="E617" s="49" t="s">
        <v>710</v>
      </c>
      <c r="F617" s="49"/>
      <c r="G617" s="51">
        <f>SUM(G618)</f>
        <v>1600</v>
      </c>
    </row>
    <row r="618" spans="1:7" ht="94.5">
      <c r="A618" s="48" t="s">
        <v>809</v>
      </c>
      <c r="B618" s="50"/>
      <c r="C618" s="50" t="s">
        <v>35</v>
      </c>
      <c r="D618" s="50" t="s">
        <v>58</v>
      </c>
      <c r="E618" s="49" t="s">
        <v>711</v>
      </c>
      <c r="F618" s="49"/>
      <c r="G618" s="51">
        <f>SUM(G619)</f>
        <v>1600</v>
      </c>
    </row>
    <row r="619" spans="1:7" ht="15.75">
      <c r="A619" s="48" t="s">
        <v>46</v>
      </c>
      <c r="B619" s="50"/>
      <c r="C619" s="50" t="s">
        <v>35</v>
      </c>
      <c r="D619" s="50" t="s">
        <v>58</v>
      </c>
      <c r="E619" s="49" t="s">
        <v>711</v>
      </c>
      <c r="F619" s="49">
        <v>300</v>
      </c>
      <c r="G619" s="51">
        <v>1600</v>
      </c>
    </row>
    <row r="620" spans="1:7" ht="15.75">
      <c r="A620" s="48" t="s">
        <v>209</v>
      </c>
      <c r="B620" s="50"/>
      <c r="C620" s="50" t="s">
        <v>35</v>
      </c>
      <c r="D620" s="50" t="s">
        <v>17</v>
      </c>
      <c r="E620" s="49"/>
      <c r="F620" s="49"/>
      <c r="G620" s="51">
        <f>G621+G644</f>
        <v>213116.80000000005</v>
      </c>
    </row>
    <row r="621" spans="1:7" ht="31.5">
      <c r="A621" s="48" t="s">
        <v>554</v>
      </c>
      <c r="B621" s="50"/>
      <c r="C621" s="50" t="s">
        <v>35</v>
      </c>
      <c r="D621" s="50" t="s">
        <v>17</v>
      </c>
      <c r="E621" s="50" t="s">
        <v>540</v>
      </c>
      <c r="F621" s="49"/>
      <c r="G621" s="51">
        <f>G622</f>
        <v>213116.80000000005</v>
      </c>
    </row>
    <row r="622" spans="1:7" ht="15.75">
      <c r="A622" s="48" t="s">
        <v>560</v>
      </c>
      <c r="B622" s="50"/>
      <c r="C622" s="50" t="s">
        <v>35</v>
      </c>
      <c r="D622" s="50" t="s">
        <v>17</v>
      </c>
      <c r="E622" s="50" t="s">
        <v>541</v>
      </c>
      <c r="F622" s="49"/>
      <c r="G622" s="51">
        <f>G623</f>
        <v>213116.80000000005</v>
      </c>
    </row>
    <row r="623" spans="1:7" ht="78.75">
      <c r="A623" s="48" t="s">
        <v>317</v>
      </c>
      <c r="B623" s="50"/>
      <c r="C623" s="50" t="s">
        <v>35</v>
      </c>
      <c r="D623" s="50" t="s">
        <v>17</v>
      </c>
      <c r="E623" s="50" t="s">
        <v>542</v>
      </c>
      <c r="F623" s="49"/>
      <c r="G623" s="51">
        <f>G624+G629+G632+G635+G638+G641</f>
        <v>213116.80000000005</v>
      </c>
    </row>
    <row r="624" spans="1:7" ht="47.25">
      <c r="A624" s="48" t="s">
        <v>596</v>
      </c>
      <c r="B624" s="50"/>
      <c r="C624" s="50" t="s">
        <v>35</v>
      </c>
      <c r="D624" s="50" t="s">
        <v>17</v>
      </c>
      <c r="E624" s="49" t="s">
        <v>597</v>
      </c>
      <c r="F624" s="49"/>
      <c r="G624" s="51">
        <f>G625+G626+G628+G627</f>
        <v>68024.3</v>
      </c>
    </row>
    <row r="625" spans="1:7" ht="47.25">
      <c r="A625" s="48" t="s">
        <v>55</v>
      </c>
      <c r="B625" s="50"/>
      <c r="C625" s="50" t="s">
        <v>35</v>
      </c>
      <c r="D625" s="50" t="s">
        <v>17</v>
      </c>
      <c r="E625" s="49" t="s">
        <v>597</v>
      </c>
      <c r="F625" s="49">
        <v>100</v>
      </c>
      <c r="G625" s="51">
        <v>46736.3</v>
      </c>
    </row>
    <row r="626" spans="1:7" ht="31.5">
      <c r="A626" s="48" t="s">
        <v>56</v>
      </c>
      <c r="B626" s="50"/>
      <c r="C626" s="50" t="s">
        <v>35</v>
      </c>
      <c r="D626" s="50" t="s">
        <v>17</v>
      </c>
      <c r="E626" s="49" t="s">
        <v>597</v>
      </c>
      <c r="F626" s="49">
        <v>200</v>
      </c>
      <c r="G626" s="51">
        <v>20468.3</v>
      </c>
    </row>
    <row r="627" spans="1:7" ht="15.75">
      <c r="A627" s="48" t="s">
        <v>46</v>
      </c>
      <c r="B627" s="50"/>
      <c r="C627" s="50" t="s">
        <v>35</v>
      </c>
      <c r="D627" s="50" t="s">
        <v>17</v>
      </c>
      <c r="E627" s="49" t="s">
        <v>597</v>
      </c>
      <c r="F627" s="49">
        <v>300</v>
      </c>
      <c r="G627" s="51">
        <v>281</v>
      </c>
    </row>
    <row r="628" spans="1:7" ht="15.75">
      <c r="A628" s="48" t="s">
        <v>26</v>
      </c>
      <c r="B628" s="50"/>
      <c r="C628" s="50" t="s">
        <v>35</v>
      </c>
      <c r="D628" s="50" t="s">
        <v>17</v>
      </c>
      <c r="E628" s="49" t="s">
        <v>597</v>
      </c>
      <c r="F628" s="49">
        <v>800</v>
      </c>
      <c r="G628" s="51">
        <v>538.7</v>
      </c>
    </row>
    <row r="629" spans="1:7" ht="47.25">
      <c r="A629" s="48" t="s">
        <v>598</v>
      </c>
      <c r="B629" s="50"/>
      <c r="C629" s="50" t="s">
        <v>35</v>
      </c>
      <c r="D629" s="50" t="s">
        <v>17</v>
      </c>
      <c r="E629" s="49" t="s">
        <v>599</v>
      </c>
      <c r="F629" s="49"/>
      <c r="G629" s="51">
        <f>G630+G631</f>
        <v>14118.5</v>
      </c>
    </row>
    <row r="630" spans="1:7" ht="31.5">
      <c r="A630" s="48" t="s">
        <v>56</v>
      </c>
      <c r="B630" s="50"/>
      <c r="C630" s="50" t="s">
        <v>35</v>
      </c>
      <c r="D630" s="50" t="s">
        <v>17</v>
      </c>
      <c r="E630" s="49" t="s">
        <v>599</v>
      </c>
      <c r="F630" s="49">
        <v>200</v>
      </c>
      <c r="G630" s="51">
        <v>197.1</v>
      </c>
    </row>
    <row r="631" spans="1:7" ht="15.75">
      <c r="A631" s="48" t="s">
        <v>46</v>
      </c>
      <c r="B631" s="50"/>
      <c r="C631" s="50" t="s">
        <v>35</v>
      </c>
      <c r="D631" s="50" t="s">
        <v>17</v>
      </c>
      <c r="E631" s="49" t="s">
        <v>599</v>
      </c>
      <c r="F631" s="49">
        <v>300</v>
      </c>
      <c r="G631" s="51">
        <v>13921.4</v>
      </c>
    </row>
    <row r="632" spans="1:7" ht="31.5">
      <c r="A632" s="48" t="s">
        <v>600</v>
      </c>
      <c r="B632" s="50"/>
      <c r="C632" s="50" t="s">
        <v>35</v>
      </c>
      <c r="D632" s="50" t="s">
        <v>17</v>
      </c>
      <c r="E632" s="49" t="s">
        <v>601</v>
      </c>
      <c r="F632" s="49"/>
      <c r="G632" s="51">
        <f>G633+G634</f>
        <v>52185.4</v>
      </c>
    </row>
    <row r="633" spans="1:7" ht="31.5">
      <c r="A633" s="48" t="s">
        <v>56</v>
      </c>
      <c r="B633" s="50"/>
      <c r="C633" s="50" t="s">
        <v>35</v>
      </c>
      <c r="D633" s="50" t="s">
        <v>17</v>
      </c>
      <c r="E633" s="49" t="s">
        <v>601</v>
      </c>
      <c r="F633" s="49">
        <v>200</v>
      </c>
      <c r="G633" s="51">
        <v>775.3</v>
      </c>
    </row>
    <row r="634" spans="1:7" ht="15.75">
      <c r="A634" s="48" t="s">
        <v>46</v>
      </c>
      <c r="B634" s="50"/>
      <c r="C634" s="50" t="s">
        <v>35</v>
      </c>
      <c r="D634" s="50" t="s">
        <v>17</v>
      </c>
      <c r="E634" s="49" t="s">
        <v>601</v>
      </c>
      <c r="F634" s="49">
        <v>300</v>
      </c>
      <c r="G634" s="51">
        <v>51410.1</v>
      </c>
    </row>
    <row r="635" spans="1:7" ht="47.25">
      <c r="A635" s="48" t="s">
        <v>602</v>
      </c>
      <c r="B635" s="50"/>
      <c r="C635" s="50" t="s">
        <v>35</v>
      </c>
      <c r="D635" s="50" t="s">
        <v>17</v>
      </c>
      <c r="E635" s="49" t="s">
        <v>603</v>
      </c>
      <c r="F635" s="49"/>
      <c r="G635" s="51">
        <f>G636+G637</f>
        <v>5357.2</v>
      </c>
    </row>
    <row r="636" spans="1:7" ht="15" customHeight="1">
      <c r="A636" s="48" t="s">
        <v>56</v>
      </c>
      <c r="B636" s="50"/>
      <c r="C636" s="50" t="s">
        <v>35</v>
      </c>
      <c r="D636" s="50" t="s">
        <v>17</v>
      </c>
      <c r="E636" s="49" t="s">
        <v>603</v>
      </c>
      <c r="F636" s="49">
        <v>200</v>
      </c>
      <c r="G636" s="51">
        <v>79.2</v>
      </c>
    </row>
    <row r="637" spans="1:7" ht="15.75">
      <c r="A637" s="48" t="s">
        <v>46</v>
      </c>
      <c r="B637" s="50"/>
      <c r="C637" s="50" t="s">
        <v>35</v>
      </c>
      <c r="D637" s="50" t="s">
        <v>17</v>
      </c>
      <c r="E637" s="49" t="s">
        <v>603</v>
      </c>
      <c r="F637" s="49">
        <v>300</v>
      </c>
      <c r="G637" s="51">
        <v>5278</v>
      </c>
    </row>
    <row r="638" spans="1:7" ht="78.75">
      <c r="A638" s="48" t="s">
        <v>604</v>
      </c>
      <c r="B638" s="50"/>
      <c r="C638" s="50" t="s">
        <v>35</v>
      </c>
      <c r="D638" s="50" t="s">
        <v>17</v>
      </c>
      <c r="E638" s="49" t="s">
        <v>605</v>
      </c>
      <c r="F638" s="49"/>
      <c r="G638" s="51">
        <f>G639+G640</f>
        <v>59721.2</v>
      </c>
    </row>
    <row r="639" spans="1:7" ht="31.5">
      <c r="A639" s="48" t="s">
        <v>56</v>
      </c>
      <c r="B639" s="50"/>
      <c r="C639" s="50" t="s">
        <v>35</v>
      </c>
      <c r="D639" s="50" t="s">
        <v>17</v>
      </c>
      <c r="E639" s="49" t="s">
        <v>605</v>
      </c>
      <c r="F639" s="49">
        <v>200</v>
      </c>
      <c r="G639" s="51">
        <v>917.1</v>
      </c>
    </row>
    <row r="640" spans="1:7" ht="15.75">
      <c r="A640" s="48" t="s">
        <v>46</v>
      </c>
      <c r="B640" s="50"/>
      <c r="C640" s="50" t="s">
        <v>35</v>
      </c>
      <c r="D640" s="50" t="s">
        <v>17</v>
      </c>
      <c r="E640" s="49" t="s">
        <v>605</v>
      </c>
      <c r="F640" s="49">
        <v>300</v>
      </c>
      <c r="G640" s="51">
        <v>58804.1</v>
      </c>
    </row>
    <row r="641" spans="1:7" ht="63">
      <c r="A641" s="48" t="s">
        <v>606</v>
      </c>
      <c r="B641" s="50"/>
      <c r="C641" s="50" t="s">
        <v>35</v>
      </c>
      <c r="D641" s="50" t="s">
        <v>17</v>
      </c>
      <c r="E641" s="49" t="s">
        <v>607</v>
      </c>
      <c r="F641" s="49"/>
      <c r="G641" s="51">
        <f>G642+G643</f>
        <v>13710.2</v>
      </c>
    </row>
    <row r="642" spans="1:7" ht="31.5">
      <c r="A642" s="48" t="s">
        <v>56</v>
      </c>
      <c r="B642" s="50"/>
      <c r="C642" s="50" t="s">
        <v>35</v>
      </c>
      <c r="D642" s="50" t="s">
        <v>17</v>
      </c>
      <c r="E642" s="49" t="s">
        <v>607</v>
      </c>
      <c r="F642" s="49">
        <v>200</v>
      </c>
      <c r="G642" s="51">
        <v>200.2</v>
      </c>
    </row>
    <row r="643" spans="1:7" ht="15.75">
      <c r="A643" s="48" t="s">
        <v>46</v>
      </c>
      <c r="B643" s="50"/>
      <c r="C643" s="50" t="s">
        <v>35</v>
      </c>
      <c r="D643" s="50" t="s">
        <v>17</v>
      </c>
      <c r="E643" s="49" t="s">
        <v>607</v>
      </c>
      <c r="F643" s="49">
        <v>300</v>
      </c>
      <c r="G643" s="51">
        <v>13510</v>
      </c>
    </row>
    <row r="644" spans="1:7" ht="31.5" hidden="1">
      <c r="A644" s="48" t="s">
        <v>88</v>
      </c>
      <c r="B644" s="50"/>
      <c r="C644" s="50" t="s">
        <v>35</v>
      </c>
      <c r="D644" s="50" t="s">
        <v>17</v>
      </c>
      <c r="E644" s="49" t="s">
        <v>20</v>
      </c>
      <c r="F644" s="49"/>
      <c r="G644" s="51">
        <f>SUM(G645)</f>
        <v>0</v>
      </c>
    </row>
    <row r="645" spans="1:7" ht="31.5" hidden="1">
      <c r="A645" s="48" t="s">
        <v>89</v>
      </c>
      <c r="B645" s="50"/>
      <c r="C645" s="50" t="s">
        <v>35</v>
      </c>
      <c r="D645" s="50" t="s">
        <v>17</v>
      </c>
      <c r="E645" s="49" t="s">
        <v>21</v>
      </c>
      <c r="F645" s="49"/>
      <c r="G645" s="51">
        <f>G646</f>
        <v>0</v>
      </c>
    </row>
    <row r="646" spans="1:7" ht="31.5" hidden="1">
      <c r="A646" s="48" t="s">
        <v>49</v>
      </c>
      <c r="B646" s="50"/>
      <c r="C646" s="50" t="s">
        <v>35</v>
      </c>
      <c r="D646" s="50" t="s">
        <v>17</v>
      </c>
      <c r="E646" s="49" t="s">
        <v>50</v>
      </c>
      <c r="F646" s="49"/>
      <c r="G646" s="51">
        <f>G647</f>
        <v>0</v>
      </c>
    </row>
    <row r="647" spans="1:7" ht="15.75" hidden="1">
      <c r="A647" s="48" t="s">
        <v>714</v>
      </c>
      <c r="B647" s="50"/>
      <c r="C647" s="50" t="s">
        <v>35</v>
      </c>
      <c r="D647" s="50" t="s">
        <v>17</v>
      </c>
      <c r="E647" s="49" t="s">
        <v>715</v>
      </c>
      <c r="F647" s="49"/>
      <c r="G647" s="51">
        <f>G648</f>
        <v>0</v>
      </c>
    </row>
    <row r="648" spans="1:7" ht="31.5" hidden="1">
      <c r="A648" s="48" t="s">
        <v>53</v>
      </c>
      <c r="B648" s="50"/>
      <c r="C648" s="50" t="s">
        <v>35</v>
      </c>
      <c r="D648" s="50" t="s">
        <v>17</v>
      </c>
      <c r="E648" s="49" t="s">
        <v>716</v>
      </c>
      <c r="F648" s="49"/>
      <c r="G648" s="51">
        <f>G649</f>
        <v>0</v>
      </c>
    </row>
    <row r="649" spans="1:7" ht="31.5" hidden="1">
      <c r="A649" s="48" t="s">
        <v>56</v>
      </c>
      <c r="B649" s="50"/>
      <c r="C649" s="50" t="s">
        <v>35</v>
      </c>
      <c r="D649" s="50" t="s">
        <v>17</v>
      </c>
      <c r="E649" s="49" t="s">
        <v>716</v>
      </c>
      <c r="F649" s="49">
        <v>200</v>
      </c>
      <c r="G649" s="51"/>
    </row>
    <row r="650" spans="1:7" ht="15.75">
      <c r="A650" s="48" t="s">
        <v>81</v>
      </c>
      <c r="B650" s="50"/>
      <c r="C650" s="50" t="s">
        <v>35</v>
      </c>
      <c r="D650" s="50" t="s">
        <v>82</v>
      </c>
      <c r="E650" s="49"/>
      <c r="F650" s="49"/>
      <c r="G650" s="51">
        <f>G667+G651</f>
        <v>32793.3</v>
      </c>
    </row>
    <row r="651" spans="1:7" ht="31.5">
      <c r="A651" s="48" t="s">
        <v>554</v>
      </c>
      <c r="B651" s="50"/>
      <c r="C651" s="50" t="s">
        <v>35</v>
      </c>
      <c r="D651" s="50" t="s">
        <v>82</v>
      </c>
      <c r="E651" s="50" t="s">
        <v>540</v>
      </c>
      <c r="F651" s="49"/>
      <c r="G651" s="51">
        <f>G652+G657+G661</f>
        <v>26987.8</v>
      </c>
    </row>
    <row r="652" spans="1:7" ht="15.75">
      <c r="A652" s="48" t="s">
        <v>560</v>
      </c>
      <c r="B652" s="50"/>
      <c r="C652" s="50" t="s">
        <v>35</v>
      </c>
      <c r="D652" s="50" t="s">
        <v>82</v>
      </c>
      <c r="E652" s="50" t="s">
        <v>541</v>
      </c>
      <c r="F652" s="49"/>
      <c r="G652" s="51">
        <f>G653</f>
        <v>5528</v>
      </c>
    </row>
    <row r="653" spans="1:7" ht="78.75">
      <c r="A653" s="48" t="s">
        <v>317</v>
      </c>
      <c r="B653" s="50"/>
      <c r="C653" s="50" t="s">
        <v>35</v>
      </c>
      <c r="D653" s="50" t="s">
        <v>82</v>
      </c>
      <c r="E653" s="50" t="s">
        <v>542</v>
      </c>
      <c r="F653" s="49"/>
      <c r="G653" s="51">
        <f>G654</f>
        <v>5528</v>
      </c>
    </row>
    <row r="654" spans="1:7" ht="15.75">
      <c r="A654" s="48" t="s">
        <v>608</v>
      </c>
      <c r="B654" s="50"/>
      <c r="C654" s="50" t="s">
        <v>35</v>
      </c>
      <c r="D654" s="50" t="s">
        <v>82</v>
      </c>
      <c r="E654" s="49" t="s">
        <v>609</v>
      </c>
      <c r="F654" s="49"/>
      <c r="G654" s="51">
        <f>G655+G656</f>
        <v>5528</v>
      </c>
    </row>
    <row r="655" spans="1:7" ht="47.25">
      <c r="A655" s="48" t="s">
        <v>55</v>
      </c>
      <c r="B655" s="50"/>
      <c r="C655" s="50" t="s">
        <v>35</v>
      </c>
      <c r="D655" s="50" t="s">
        <v>82</v>
      </c>
      <c r="E655" s="49" t="s">
        <v>609</v>
      </c>
      <c r="F655" s="49">
        <v>100</v>
      </c>
      <c r="G655" s="51">
        <v>4948.6</v>
      </c>
    </row>
    <row r="656" spans="1:7" ht="31.5">
      <c r="A656" s="48" t="s">
        <v>56</v>
      </c>
      <c r="B656" s="50"/>
      <c r="C656" s="50" t="s">
        <v>35</v>
      </c>
      <c r="D656" s="50" t="s">
        <v>82</v>
      </c>
      <c r="E656" s="49" t="s">
        <v>609</v>
      </c>
      <c r="F656" s="49">
        <v>200</v>
      </c>
      <c r="G656" s="51">
        <v>579.4</v>
      </c>
    </row>
    <row r="657" spans="1:7" ht="31.5">
      <c r="A657" s="48" t="s">
        <v>563</v>
      </c>
      <c r="B657" s="50"/>
      <c r="C657" s="50" t="s">
        <v>35</v>
      </c>
      <c r="D657" s="50" t="s">
        <v>82</v>
      </c>
      <c r="E657" s="49" t="s">
        <v>564</v>
      </c>
      <c r="F657" s="49"/>
      <c r="G657" s="51">
        <f>G658</f>
        <v>4237.2</v>
      </c>
    </row>
    <row r="658" spans="1:7" ht="31.5">
      <c r="A658" s="48" t="s">
        <v>610</v>
      </c>
      <c r="B658" s="50"/>
      <c r="C658" s="50" t="s">
        <v>35</v>
      </c>
      <c r="D658" s="50" t="s">
        <v>82</v>
      </c>
      <c r="E658" s="49" t="s">
        <v>611</v>
      </c>
      <c r="F658" s="49"/>
      <c r="G658" s="51">
        <f>G659+G660</f>
        <v>4237.2</v>
      </c>
    </row>
    <row r="659" spans="1:7" ht="47.25">
      <c r="A659" s="48" t="s">
        <v>55</v>
      </c>
      <c r="B659" s="50"/>
      <c r="C659" s="50" t="s">
        <v>35</v>
      </c>
      <c r="D659" s="50" t="s">
        <v>82</v>
      </c>
      <c r="E659" s="49" t="s">
        <v>611</v>
      </c>
      <c r="F659" s="49">
        <v>100</v>
      </c>
      <c r="G659" s="51">
        <v>3602.4</v>
      </c>
    </row>
    <row r="660" spans="1:7" ht="31.5">
      <c r="A660" s="48" t="s">
        <v>56</v>
      </c>
      <c r="B660" s="50"/>
      <c r="C660" s="50" t="s">
        <v>35</v>
      </c>
      <c r="D660" s="50" t="s">
        <v>82</v>
      </c>
      <c r="E660" s="49" t="s">
        <v>611</v>
      </c>
      <c r="F660" s="49">
        <v>200</v>
      </c>
      <c r="G660" s="51">
        <v>634.8</v>
      </c>
    </row>
    <row r="661" spans="1:7" ht="31.5">
      <c r="A661" s="48" t="s">
        <v>555</v>
      </c>
      <c r="B661" s="50"/>
      <c r="C661" s="50" t="s">
        <v>35</v>
      </c>
      <c r="D661" s="50" t="s">
        <v>82</v>
      </c>
      <c r="E661" s="50" t="s">
        <v>556</v>
      </c>
      <c r="F661" s="49"/>
      <c r="G661" s="51">
        <f>G662</f>
        <v>17222.6</v>
      </c>
    </row>
    <row r="662" spans="1:7" ht="47.25">
      <c r="A662" s="48" t="s">
        <v>612</v>
      </c>
      <c r="B662" s="50"/>
      <c r="C662" s="50" t="s">
        <v>35</v>
      </c>
      <c r="D662" s="50" t="s">
        <v>82</v>
      </c>
      <c r="E662" s="49" t="s">
        <v>613</v>
      </c>
      <c r="F662" s="49"/>
      <c r="G662" s="51">
        <f>G663</f>
        <v>17222.6</v>
      </c>
    </row>
    <row r="663" spans="1:7" ht="31.5">
      <c r="A663" s="48" t="s">
        <v>614</v>
      </c>
      <c r="B663" s="50"/>
      <c r="C663" s="50" t="s">
        <v>35</v>
      </c>
      <c r="D663" s="50" t="s">
        <v>82</v>
      </c>
      <c r="E663" s="49" t="s">
        <v>615</v>
      </c>
      <c r="F663" s="49"/>
      <c r="G663" s="51">
        <f>G664+G665+G666</f>
        <v>17222.6</v>
      </c>
    </row>
    <row r="664" spans="1:7" ht="47.25">
      <c r="A664" s="48" t="s">
        <v>55</v>
      </c>
      <c r="B664" s="50"/>
      <c r="C664" s="50" t="s">
        <v>35</v>
      </c>
      <c r="D664" s="50" t="s">
        <v>82</v>
      </c>
      <c r="E664" s="49" t="s">
        <v>615</v>
      </c>
      <c r="F664" s="49">
        <v>100</v>
      </c>
      <c r="G664" s="51">
        <v>14583.1</v>
      </c>
    </row>
    <row r="665" spans="1:7" ht="31.5">
      <c r="A665" s="48" t="s">
        <v>56</v>
      </c>
      <c r="B665" s="50"/>
      <c r="C665" s="50" t="s">
        <v>35</v>
      </c>
      <c r="D665" s="50" t="s">
        <v>82</v>
      </c>
      <c r="E665" s="49" t="s">
        <v>615</v>
      </c>
      <c r="F665" s="49">
        <v>200</v>
      </c>
      <c r="G665" s="51">
        <v>2321.2</v>
      </c>
    </row>
    <row r="666" spans="1:7" s="117" customFormat="1" ht="15.75">
      <c r="A666" s="48" t="s">
        <v>26</v>
      </c>
      <c r="B666" s="50"/>
      <c r="C666" s="50" t="s">
        <v>35</v>
      </c>
      <c r="D666" s="50" t="s">
        <v>82</v>
      </c>
      <c r="E666" s="49" t="s">
        <v>615</v>
      </c>
      <c r="F666" s="49">
        <v>800</v>
      </c>
      <c r="G666" s="51">
        <v>318.3</v>
      </c>
    </row>
    <row r="667" spans="1:7" s="117" customFormat="1" ht="31.5">
      <c r="A667" s="48" t="s">
        <v>88</v>
      </c>
      <c r="B667" s="50"/>
      <c r="C667" s="50" t="s">
        <v>35</v>
      </c>
      <c r="D667" s="50" t="s">
        <v>82</v>
      </c>
      <c r="E667" s="49" t="s">
        <v>20</v>
      </c>
      <c r="F667" s="49"/>
      <c r="G667" s="51">
        <f>G668</f>
        <v>5805.5</v>
      </c>
    </row>
    <row r="668" spans="1:7" s="117" customFormat="1" ht="47.25">
      <c r="A668" s="48" t="s">
        <v>94</v>
      </c>
      <c r="B668" s="50"/>
      <c r="C668" s="50" t="s">
        <v>35</v>
      </c>
      <c r="D668" s="50" t="s">
        <v>82</v>
      </c>
      <c r="E668" s="49" t="s">
        <v>83</v>
      </c>
      <c r="F668" s="49"/>
      <c r="G668" s="51">
        <f>G669</f>
        <v>5805.5</v>
      </c>
    </row>
    <row r="669" spans="1:7" s="117" customFormat="1" ht="31.5">
      <c r="A669" s="48" t="s">
        <v>84</v>
      </c>
      <c r="B669" s="50"/>
      <c r="C669" s="50" t="s">
        <v>35</v>
      </c>
      <c r="D669" s="50" t="s">
        <v>82</v>
      </c>
      <c r="E669" s="49" t="s">
        <v>85</v>
      </c>
      <c r="F669" s="49"/>
      <c r="G669" s="51">
        <f>G670</f>
        <v>5805.5</v>
      </c>
    </row>
    <row r="670" spans="1:7" s="117" customFormat="1" ht="15.75">
      <c r="A670" s="48" t="s">
        <v>86</v>
      </c>
      <c r="B670" s="50"/>
      <c r="C670" s="50" t="s">
        <v>35</v>
      </c>
      <c r="D670" s="50" t="s">
        <v>82</v>
      </c>
      <c r="E670" s="49" t="s">
        <v>87</v>
      </c>
      <c r="F670" s="49"/>
      <c r="G670" s="51">
        <f>G671+G672</f>
        <v>5805.5</v>
      </c>
    </row>
    <row r="671" spans="1:7" s="117" customFormat="1" ht="47.25">
      <c r="A671" s="48" t="s">
        <v>55</v>
      </c>
      <c r="B671" s="50"/>
      <c r="C671" s="50" t="s">
        <v>35</v>
      </c>
      <c r="D671" s="50" t="s">
        <v>82</v>
      </c>
      <c r="E671" s="49" t="s">
        <v>87</v>
      </c>
      <c r="F671" s="49">
        <v>100</v>
      </c>
      <c r="G671" s="51">
        <v>5793.5</v>
      </c>
    </row>
    <row r="672" spans="1:7" s="117" customFormat="1" ht="31.5">
      <c r="A672" s="48" t="s">
        <v>56</v>
      </c>
      <c r="B672" s="50"/>
      <c r="C672" s="50" t="s">
        <v>35</v>
      </c>
      <c r="D672" s="50" t="s">
        <v>82</v>
      </c>
      <c r="E672" s="49" t="s">
        <v>87</v>
      </c>
      <c r="F672" s="49">
        <v>200</v>
      </c>
      <c r="G672" s="51">
        <v>12</v>
      </c>
    </row>
    <row r="673" spans="1:7" s="117" customFormat="1" ht="31.5">
      <c r="A673" s="114" t="s">
        <v>676</v>
      </c>
      <c r="B673" s="93" t="s">
        <v>321</v>
      </c>
      <c r="C673" s="115"/>
      <c r="D673" s="115"/>
      <c r="E673" s="115"/>
      <c r="F673" s="115"/>
      <c r="G673" s="116">
        <f>G688+G674+G681</f>
        <v>115373.99999999999</v>
      </c>
    </row>
    <row r="674" spans="1:7" s="117" customFormat="1" ht="15.75">
      <c r="A674" s="157" t="s">
        <v>124</v>
      </c>
      <c r="B674" s="77"/>
      <c r="C674" s="77" t="s">
        <v>125</v>
      </c>
      <c r="D674" s="77"/>
      <c r="E674" s="77"/>
      <c r="F674" s="77"/>
      <c r="G674" s="61">
        <f aca="true" t="shared" si="5" ref="G674:G679">SUM(G675)</f>
        <v>326</v>
      </c>
    </row>
    <row r="675" spans="1:7" s="117" customFormat="1" ht="15.75">
      <c r="A675" s="157" t="s">
        <v>488</v>
      </c>
      <c r="B675" s="77"/>
      <c r="C675" s="77" t="s">
        <v>125</v>
      </c>
      <c r="D675" s="77" t="s">
        <v>125</v>
      </c>
      <c r="E675" s="49"/>
      <c r="F675" s="49"/>
      <c r="G675" s="61">
        <f t="shared" si="5"/>
        <v>326</v>
      </c>
    </row>
    <row r="676" spans="1:7" s="117" customFormat="1" ht="31.5">
      <c r="A676" s="157" t="s">
        <v>444</v>
      </c>
      <c r="B676" s="158"/>
      <c r="C676" s="158" t="s">
        <v>125</v>
      </c>
      <c r="D676" s="158" t="s">
        <v>125</v>
      </c>
      <c r="E676" s="49" t="s">
        <v>445</v>
      </c>
      <c r="F676" s="49"/>
      <c r="G676" s="61">
        <f t="shared" si="5"/>
        <v>326</v>
      </c>
    </row>
    <row r="677" spans="1:7" s="117" customFormat="1" ht="31.5">
      <c r="A677" s="157" t="s">
        <v>501</v>
      </c>
      <c r="B677" s="77"/>
      <c r="C677" s="77" t="s">
        <v>125</v>
      </c>
      <c r="D677" s="77" t="s">
        <v>125</v>
      </c>
      <c r="E677" s="77" t="s">
        <v>502</v>
      </c>
      <c r="F677" s="77"/>
      <c r="G677" s="61">
        <f t="shared" si="5"/>
        <v>326</v>
      </c>
    </row>
    <row r="678" spans="1:7" s="117" customFormat="1" ht="15.75">
      <c r="A678" s="157" t="s">
        <v>39</v>
      </c>
      <c r="B678" s="77"/>
      <c r="C678" s="77" t="s">
        <v>125</v>
      </c>
      <c r="D678" s="77" t="s">
        <v>125</v>
      </c>
      <c r="E678" s="77" t="s">
        <v>503</v>
      </c>
      <c r="F678" s="77"/>
      <c r="G678" s="61">
        <f t="shared" si="5"/>
        <v>326</v>
      </c>
    </row>
    <row r="679" spans="1:7" s="117" customFormat="1" ht="31.5">
      <c r="A679" s="157" t="s">
        <v>504</v>
      </c>
      <c r="B679" s="49"/>
      <c r="C679" s="77" t="s">
        <v>125</v>
      </c>
      <c r="D679" s="77" t="s">
        <v>125</v>
      </c>
      <c r="E679" s="77" t="s">
        <v>505</v>
      </c>
      <c r="F679" s="77"/>
      <c r="G679" s="61">
        <f t="shared" si="5"/>
        <v>326</v>
      </c>
    </row>
    <row r="680" spans="1:7" s="117" customFormat="1" ht="31.5">
      <c r="A680" s="157" t="s">
        <v>283</v>
      </c>
      <c r="B680" s="93"/>
      <c r="C680" s="77" t="s">
        <v>125</v>
      </c>
      <c r="D680" s="77" t="s">
        <v>125</v>
      </c>
      <c r="E680" s="77" t="s">
        <v>505</v>
      </c>
      <c r="F680" s="83">
        <v>600</v>
      </c>
      <c r="G680" s="61">
        <v>326</v>
      </c>
    </row>
    <row r="681" spans="1:7" ht="15.75">
      <c r="A681" s="157" t="s">
        <v>34</v>
      </c>
      <c r="B681" s="158"/>
      <c r="C681" s="158" t="s">
        <v>35</v>
      </c>
      <c r="D681" s="158" t="s">
        <v>36</v>
      </c>
      <c r="E681" s="49"/>
      <c r="F681" s="49"/>
      <c r="G681" s="51">
        <f aca="true" t="shared" si="6" ref="G681:G686">SUM(G682)</f>
        <v>350</v>
      </c>
    </row>
    <row r="682" spans="1:7" ht="15.75">
      <c r="A682" s="76" t="s">
        <v>81</v>
      </c>
      <c r="B682" s="130"/>
      <c r="C682" s="131" t="s">
        <v>35</v>
      </c>
      <c r="D682" s="131" t="s">
        <v>82</v>
      </c>
      <c r="E682" s="131"/>
      <c r="F682" s="132"/>
      <c r="G682" s="165">
        <f t="shared" si="6"/>
        <v>350</v>
      </c>
    </row>
    <row r="683" spans="1:7" ht="31.5">
      <c r="A683" s="157" t="s">
        <v>88</v>
      </c>
      <c r="B683" s="130"/>
      <c r="C683" s="131" t="s">
        <v>35</v>
      </c>
      <c r="D683" s="131" t="s">
        <v>82</v>
      </c>
      <c r="E683" s="131" t="s">
        <v>20</v>
      </c>
      <c r="F683" s="132"/>
      <c r="G683" s="165">
        <f t="shared" si="6"/>
        <v>350</v>
      </c>
    </row>
    <row r="684" spans="1:7" ht="15.75">
      <c r="A684" s="157" t="s">
        <v>92</v>
      </c>
      <c r="B684" s="130"/>
      <c r="C684" s="131" t="s">
        <v>35</v>
      </c>
      <c r="D684" s="131" t="s">
        <v>82</v>
      </c>
      <c r="E684" s="131" t="s">
        <v>72</v>
      </c>
      <c r="F684" s="132"/>
      <c r="G684" s="165">
        <f t="shared" si="6"/>
        <v>350</v>
      </c>
    </row>
    <row r="685" spans="1:7" ht="15.75">
      <c r="A685" s="157" t="s">
        <v>39</v>
      </c>
      <c r="B685" s="130"/>
      <c r="C685" s="131" t="s">
        <v>35</v>
      </c>
      <c r="D685" s="131" t="s">
        <v>82</v>
      </c>
      <c r="E685" s="131" t="s">
        <v>678</v>
      </c>
      <c r="F685" s="132"/>
      <c r="G685" s="165">
        <f t="shared" si="6"/>
        <v>350</v>
      </c>
    </row>
    <row r="686" spans="1:7" ht="15.75">
      <c r="A686" s="157" t="s">
        <v>41</v>
      </c>
      <c r="B686" s="130"/>
      <c r="C686" s="131" t="s">
        <v>35</v>
      </c>
      <c r="D686" s="131" t="s">
        <v>82</v>
      </c>
      <c r="E686" s="131" t="s">
        <v>679</v>
      </c>
      <c r="F686" s="132"/>
      <c r="G686" s="165">
        <f t="shared" si="6"/>
        <v>350</v>
      </c>
    </row>
    <row r="687" spans="1:7" ht="31.5">
      <c r="A687" s="74" t="s">
        <v>134</v>
      </c>
      <c r="B687" s="130"/>
      <c r="C687" s="131" t="s">
        <v>35</v>
      </c>
      <c r="D687" s="131" t="s">
        <v>82</v>
      </c>
      <c r="E687" s="131" t="s">
        <v>679</v>
      </c>
      <c r="F687" s="132">
        <v>600</v>
      </c>
      <c r="G687" s="165">
        <v>350</v>
      </c>
    </row>
    <row r="688" spans="1:7" ht="15.75">
      <c r="A688" s="48" t="s">
        <v>322</v>
      </c>
      <c r="B688" s="77"/>
      <c r="C688" s="77" t="s">
        <v>189</v>
      </c>
      <c r="D688" s="77"/>
      <c r="E688" s="77"/>
      <c r="F688" s="77"/>
      <c r="G688" s="61">
        <f>+G689+G741+G754</f>
        <v>114697.99999999999</v>
      </c>
    </row>
    <row r="689" spans="1:7" ht="15.75">
      <c r="A689" s="48" t="s">
        <v>323</v>
      </c>
      <c r="B689" s="77"/>
      <c r="C689" s="77" t="s">
        <v>189</v>
      </c>
      <c r="D689" s="77" t="s">
        <v>38</v>
      </c>
      <c r="E689" s="77"/>
      <c r="F689" s="77"/>
      <c r="G689" s="61">
        <f>+G690</f>
        <v>90558.2</v>
      </c>
    </row>
    <row r="690" spans="1:7" ht="31.5">
      <c r="A690" s="48" t="s">
        <v>324</v>
      </c>
      <c r="B690" s="77"/>
      <c r="C690" s="77" t="s">
        <v>189</v>
      </c>
      <c r="D690" s="77" t="s">
        <v>38</v>
      </c>
      <c r="E690" s="77" t="s">
        <v>325</v>
      </c>
      <c r="F690" s="77"/>
      <c r="G690" s="61">
        <f>G691+G697+G712+G720</f>
        <v>90558.2</v>
      </c>
    </row>
    <row r="691" spans="1:7" ht="31.5">
      <c r="A691" s="48" t="s">
        <v>426</v>
      </c>
      <c r="B691" s="77"/>
      <c r="C691" s="77" t="s">
        <v>189</v>
      </c>
      <c r="D691" s="77" t="s">
        <v>38</v>
      </c>
      <c r="E691" s="77" t="s">
        <v>326</v>
      </c>
      <c r="F691" s="77"/>
      <c r="G691" s="61">
        <f>G692</f>
        <v>6002.3</v>
      </c>
    </row>
    <row r="692" spans="1:7" ht="31.5">
      <c r="A692" s="48" t="s">
        <v>49</v>
      </c>
      <c r="B692" s="77"/>
      <c r="C692" s="77" t="s">
        <v>189</v>
      </c>
      <c r="D692" s="77" t="s">
        <v>38</v>
      </c>
      <c r="E692" s="77" t="s">
        <v>327</v>
      </c>
      <c r="F692" s="77"/>
      <c r="G692" s="61">
        <f>G693</f>
        <v>6002.3</v>
      </c>
    </row>
    <row r="693" spans="1:7" ht="15.75">
      <c r="A693" s="48" t="s">
        <v>328</v>
      </c>
      <c r="B693" s="77"/>
      <c r="C693" s="77" t="s">
        <v>189</v>
      </c>
      <c r="D693" s="77" t="s">
        <v>38</v>
      </c>
      <c r="E693" s="77" t="s">
        <v>329</v>
      </c>
      <c r="F693" s="77"/>
      <c r="G693" s="61">
        <f>G694+G695+G696</f>
        <v>6002.3</v>
      </c>
    </row>
    <row r="694" spans="1:7" ht="30.75" customHeight="1">
      <c r="A694" s="67" t="s">
        <v>55</v>
      </c>
      <c r="B694" s="77"/>
      <c r="C694" s="77" t="s">
        <v>189</v>
      </c>
      <c r="D694" s="77" t="s">
        <v>38</v>
      </c>
      <c r="E694" s="77" t="s">
        <v>329</v>
      </c>
      <c r="F694" s="77" t="s">
        <v>99</v>
      </c>
      <c r="G694" s="61">
        <v>5274.4</v>
      </c>
    </row>
    <row r="695" spans="1:7" ht="31.5">
      <c r="A695" s="48" t="s">
        <v>56</v>
      </c>
      <c r="B695" s="77"/>
      <c r="C695" s="77" t="s">
        <v>189</v>
      </c>
      <c r="D695" s="77" t="s">
        <v>38</v>
      </c>
      <c r="E695" s="77" t="s">
        <v>329</v>
      </c>
      <c r="F695" s="77" t="s">
        <v>101</v>
      </c>
      <c r="G695" s="51">
        <v>726.1</v>
      </c>
    </row>
    <row r="696" spans="1:7" ht="15.75">
      <c r="A696" s="48" t="s">
        <v>26</v>
      </c>
      <c r="B696" s="77"/>
      <c r="C696" s="77" t="s">
        <v>189</v>
      </c>
      <c r="D696" s="77" t="s">
        <v>38</v>
      </c>
      <c r="E696" s="77" t="s">
        <v>329</v>
      </c>
      <c r="F696" s="77" t="s">
        <v>106</v>
      </c>
      <c r="G696" s="61">
        <v>1.8</v>
      </c>
    </row>
    <row r="697" spans="1:7" ht="31.5">
      <c r="A697" s="48" t="s">
        <v>342</v>
      </c>
      <c r="B697" s="77"/>
      <c r="C697" s="77" t="s">
        <v>189</v>
      </c>
      <c r="D697" s="77" t="s">
        <v>38</v>
      </c>
      <c r="E697" s="77" t="s">
        <v>330</v>
      </c>
      <c r="F697" s="77"/>
      <c r="G697" s="61">
        <f>G698</f>
        <v>5733</v>
      </c>
    </row>
    <row r="698" spans="1:7" ht="15.75">
      <c r="A698" s="48" t="s">
        <v>39</v>
      </c>
      <c r="B698" s="77"/>
      <c r="C698" s="77" t="s">
        <v>189</v>
      </c>
      <c r="D698" s="77" t="s">
        <v>38</v>
      </c>
      <c r="E698" s="77" t="s">
        <v>427</v>
      </c>
      <c r="F698" s="77"/>
      <c r="G698" s="61">
        <f>G699+G705+G710+G703+G708</f>
        <v>5733</v>
      </c>
    </row>
    <row r="699" spans="1:7" ht="15.75">
      <c r="A699" s="48" t="s">
        <v>328</v>
      </c>
      <c r="B699" s="77"/>
      <c r="C699" s="77" t="s">
        <v>189</v>
      </c>
      <c r="D699" s="77" t="s">
        <v>38</v>
      </c>
      <c r="E699" s="77" t="s">
        <v>428</v>
      </c>
      <c r="F699" s="77"/>
      <c r="G699" s="61">
        <f>+G700+G701+G702</f>
        <v>3424</v>
      </c>
    </row>
    <row r="700" spans="1:7" ht="47.25">
      <c r="A700" s="67" t="s">
        <v>55</v>
      </c>
      <c r="B700" s="77"/>
      <c r="C700" s="77" t="s">
        <v>189</v>
      </c>
      <c r="D700" s="77" t="s">
        <v>38</v>
      </c>
      <c r="E700" s="77" t="s">
        <v>428</v>
      </c>
      <c r="F700" s="77" t="s">
        <v>99</v>
      </c>
      <c r="G700" s="61">
        <v>1494</v>
      </c>
    </row>
    <row r="701" spans="1:7" ht="31.5">
      <c r="A701" s="48" t="s">
        <v>56</v>
      </c>
      <c r="B701" s="77"/>
      <c r="C701" s="77" t="s">
        <v>189</v>
      </c>
      <c r="D701" s="77" t="s">
        <v>38</v>
      </c>
      <c r="E701" s="77" t="s">
        <v>428</v>
      </c>
      <c r="F701" s="77" t="s">
        <v>101</v>
      </c>
      <c r="G701" s="61">
        <v>1810</v>
      </c>
    </row>
    <row r="702" spans="1:7" ht="31.5">
      <c r="A702" s="48" t="s">
        <v>283</v>
      </c>
      <c r="B702" s="77"/>
      <c r="C702" s="77" t="s">
        <v>189</v>
      </c>
      <c r="D702" s="77" t="s">
        <v>38</v>
      </c>
      <c r="E702" s="77" t="s">
        <v>428</v>
      </c>
      <c r="F702" s="77" t="s">
        <v>135</v>
      </c>
      <c r="G702" s="61">
        <v>120</v>
      </c>
    </row>
    <row r="703" spans="1:7" ht="47.25">
      <c r="A703" s="48" t="s">
        <v>683</v>
      </c>
      <c r="B703" s="77"/>
      <c r="C703" s="77" t="s">
        <v>189</v>
      </c>
      <c r="D703" s="77" t="s">
        <v>38</v>
      </c>
      <c r="E703" s="77" t="s">
        <v>684</v>
      </c>
      <c r="F703" s="77"/>
      <c r="G703" s="61">
        <f>SUM(G704)</f>
        <v>1760</v>
      </c>
    </row>
    <row r="704" spans="1:7" ht="31.5">
      <c r="A704" s="48" t="s">
        <v>283</v>
      </c>
      <c r="B704" s="77"/>
      <c r="C704" s="77" t="s">
        <v>189</v>
      </c>
      <c r="D704" s="77" t="s">
        <v>38</v>
      </c>
      <c r="E704" s="77" t="s">
        <v>684</v>
      </c>
      <c r="F704" s="77" t="s">
        <v>135</v>
      </c>
      <c r="G704" s="61">
        <v>1760</v>
      </c>
    </row>
    <row r="705" spans="1:7" ht="31.5">
      <c r="A705" s="48" t="s">
        <v>338</v>
      </c>
      <c r="B705" s="77"/>
      <c r="C705" s="77" t="s">
        <v>189</v>
      </c>
      <c r="D705" s="77" t="s">
        <v>38</v>
      </c>
      <c r="E705" s="77" t="s">
        <v>429</v>
      </c>
      <c r="F705" s="77"/>
      <c r="G705" s="61">
        <f>SUM(G706:G707)</f>
        <v>499</v>
      </c>
    </row>
    <row r="706" spans="1:7" ht="47.25">
      <c r="A706" s="67" t="s">
        <v>55</v>
      </c>
      <c r="B706" s="77"/>
      <c r="C706" s="77" t="s">
        <v>189</v>
      </c>
      <c r="D706" s="77" t="s">
        <v>38</v>
      </c>
      <c r="E706" s="77" t="s">
        <v>429</v>
      </c>
      <c r="F706" s="77" t="s">
        <v>99</v>
      </c>
      <c r="G706" s="61">
        <v>50</v>
      </c>
    </row>
    <row r="707" spans="1:7" ht="31.5">
      <c r="A707" s="48" t="s">
        <v>56</v>
      </c>
      <c r="B707" s="77"/>
      <c r="C707" s="77" t="s">
        <v>189</v>
      </c>
      <c r="D707" s="77" t="s">
        <v>38</v>
      </c>
      <c r="E707" s="77" t="s">
        <v>429</v>
      </c>
      <c r="F707" s="77" t="s">
        <v>101</v>
      </c>
      <c r="G707" s="61">
        <v>449</v>
      </c>
    </row>
    <row r="708" spans="1:7" ht="63">
      <c r="A708" s="99" t="s">
        <v>685</v>
      </c>
      <c r="B708" s="54"/>
      <c r="C708" s="54" t="s">
        <v>189</v>
      </c>
      <c r="D708" s="54" t="s">
        <v>38</v>
      </c>
      <c r="E708" s="54" t="s">
        <v>686</v>
      </c>
      <c r="F708" s="54"/>
      <c r="G708" s="57">
        <f>G709</f>
        <v>50</v>
      </c>
    </row>
    <row r="709" spans="1:7" ht="31.5">
      <c r="A709" s="99" t="s">
        <v>283</v>
      </c>
      <c r="B709" s="54"/>
      <c r="C709" s="54" t="s">
        <v>189</v>
      </c>
      <c r="D709" s="54" t="s">
        <v>38</v>
      </c>
      <c r="E709" s="54" t="s">
        <v>686</v>
      </c>
      <c r="F709" s="54" t="s">
        <v>135</v>
      </c>
      <c r="G709" s="57">
        <v>50</v>
      </c>
    </row>
    <row r="710" spans="1:7" ht="47.25" hidden="1">
      <c r="A710" s="48" t="s">
        <v>339</v>
      </c>
      <c r="B710" s="77"/>
      <c r="C710" s="77" t="s">
        <v>189</v>
      </c>
      <c r="D710" s="77" t="s">
        <v>38</v>
      </c>
      <c r="E710" s="77" t="s">
        <v>430</v>
      </c>
      <c r="F710" s="77"/>
      <c r="G710" s="61">
        <f>G711</f>
        <v>0</v>
      </c>
    </row>
    <row r="711" spans="1:7" ht="31.5" hidden="1">
      <c r="A711" s="48" t="s">
        <v>283</v>
      </c>
      <c r="B711" s="77"/>
      <c r="C711" s="77" t="s">
        <v>189</v>
      </c>
      <c r="D711" s="77" t="s">
        <v>38</v>
      </c>
      <c r="E711" s="77" t="s">
        <v>430</v>
      </c>
      <c r="F711" s="77" t="s">
        <v>135</v>
      </c>
      <c r="G711" s="61"/>
    </row>
    <row r="712" spans="1:7" ht="63">
      <c r="A712" s="48" t="s">
        <v>340</v>
      </c>
      <c r="B712" s="77"/>
      <c r="C712" s="77" t="s">
        <v>189</v>
      </c>
      <c r="D712" s="77" t="s">
        <v>38</v>
      </c>
      <c r="E712" s="83" t="s">
        <v>333</v>
      </c>
      <c r="F712" s="77"/>
      <c r="G712" s="61">
        <f>G713+G716</f>
        <v>76695.9</v>
      </c>
    </row>
    <row r="713" spans="1:7" ht="29.25" customHeight="1">
      <c r="A713" s="48" t="s">
        <v>331</v>
      </c>
      <c r="B713" s="77"/>
      <c r="C713" s="77" t="s">
        <v>189</v>
      </c>
      <c r="D713" s="77" t="s">
        <v>38</v>
      </c>
      <c r="E713" s="83" t="s">
        <v>431</v>
      </c>
      <c r="F713" s="77"/>
      <c r="G713" s="61">
        <f>G714</f>
        <v>76595.9</v>
      </c>
    </row>
    <row r="714" spans="1:7" ht="32.25" customHeight="1">
      <c r="A714" s="48" t="s">
        <v>328</v>
      </c>
      <c r="B714" s="77"/>
      <c r="C714" s="77" t="s">
        <v>189</v>
      </c>
      <c r="D714" s="77" t="s">
        <v>38</v>
      </c>
      <c r="E714" s="83" t="s">
        <v>432</v>
      </c>
      <c r="F714" s="77"/>
      <c r="G714" s="61">
        <f>G715</f>
        <v>76595.9</v>
      </c>
    </row>
    <row r="715" spans="1:7" ht="29.25" customHeight="1">
      <c r="A715" s="48" t="s">
        <v>76</v>
      </c>
      <c r="B715" s="77"/>
      <c r="C715" s="77" t="s">
        <v>189</v>
      </c>
      <c r="D715" s="77" t="s">
        <v>38</v>
      </c>
      <c r="E715" s="83" t="s">
        <v>432</v>
      </c>
      <c r="F715" s="77" t="s">
        <v>135</v>
      </c>
      <c r="G715" s="61">
        <v>76595.9</v>
      </c>
    </row>
    <row r="716" spans="1:7" ht="29.25" customHeight="1">
      <c r="A716" s="181" t="s">
        <v>166</v>
      </c>
      <c r="B716" s="77"/>
      <c r="C716" s="77" t="s">
        <v>189</v>
      </c>
      <c r="D716" s="77" t="s">
        <v>38</v>
      </c>
      <c r="E716" s="83" t="s">
        <v>815</v>
      </c>
      <c r="F716" s="77"/>
      <c r="G716" s="61">
        <f>G717</f>
        <v>100</v>
      </c>
    </row>
    <row r="717" spans="1:7" ht="29.25" customHeight="1">
      <c r="A717" s="181" t="s">
        <v>335</v>
      </c>
      <c r="B717" s="77"/>
      <c r="C717" s="77" t="s">
        <v>189</v>
      </c>
      <c r="D717" s="77" t="s">
        <v>38</v>
      </c>
      <c r="E717" s="83" t="s">
        <v>816</v>
      </c>
      <c r="F717" s="77"/>
      <c r="G717" s="61">
        <f>G718</f>
        <v>100</v>
      </c>
    </row>
    <row r="718" spans="1:7" ht="29.25" customHeight="1">
      <c r="A718" s="181" t="s">
        <v>328</v>
      </c>
      <c r="B718" s="77"/>
      <c r="C718" s="77" t="s">
        <v>189</v>
      </c>
      <c r="D718" s="77" t="s">
        <v>38</v>
      </c>
      <c r="E718" s="83" t="s">
        <v>817</v>
      </c>
      <c r="F718" s="77"/>
      <c r="G718" s="61">
        <f>G719</f>
        <v>100</v>
      </c>
    </row>
    <row r="719" spans="1:7" ht="29.25" customHeight="1">
      <c r="A719" s="181" t="s">
        <v>76</v>
      </c>
      <c r="B719" s="77"/>
      <c r="C719" s="77" t="s">
        <v>189</v>
      </c>
      <c r="D719" s="77" t="s">
        <v>38</v>
      </c>
      <c r="E719" s="83" t="s">
        <v>817</v>
      </c>
      <c r="F719" s="77" t="s">
        <v>135</v>
      </c>
      <c r="G719" s="61">
        <v>100</v>
      </c>
    </row>
    <row r="720" spans="1:7" ht="29.25" customHeight="1">
      <c r="A720" s="48" t="s">
        <v>341</v>
      </c>
      <c r="B720" s="77"/>
      <c r="C720" s="77" t="s">
        <v>189</v>
      </c>
      <c r="D720" s="77" t="s">
        <v>38</v>
      </c>
      <c r="E720" s="77" t="s">
        <v>337</v>
      </c>
      <c r="F720" s="77"/>
      <c r="G720" s="61">
        <f>SUM(G721)</f>
        <v>2127</v>
      </c>
    </row>
    <row r="721" spans="1:7" ht="29.25" customHeight="1">
      <c r="A721" s="48" t="s">
        <v>166</v>
      </c>
      <c r="B721" s="77"/>
      <c r="C721" s="77" t="s">
        <v>189</v>
      </c>
      <c r="D721" s="77" t="s">
        <v>38</v>
      </c>
      <c r="E721" s="77" t="s">
        <v>433</v>
      </c>
      <c r="F721" s="77"/>
      <c r="G721" s="61">
        <f>SUM(G722+G730+G733+G736)</f>
        <v>2127</v>
      </c>
    </row>
    <row r="722" spans="1:7" ht="29.25" customHeight="1">
      <c r="A722" s="48" t="s">
        <v>527</v>
      </c>
      <c r="B722" s="77"/>
      <c r="C722" s="77" t="s">
        <v>189</v>
      </c>
      <c r="D722" s="77" t="s">
        <v>38</v>
      </c>
      <c r="E722" s="77" t="s">
        <v>528</v>
      </c>
      <c r="F722" s="77"/>
      <c r="G722" s="61">
        <f>G723+G725</f>
        <v>1000</v>
      </c>
    </row>
    <row r="723" spans="1:7" ht="23.25" customHeight="1" hidden="1">
      <c r="A723" s="48" t="s">
        <v>328</v>
      </c>
      <c r="B723" s="77"/>
      <c r="C723" s="77" t="s">
        <v>189</v>
      </c>
      <c r="D723" s="77" t="s">
        <v>38</v>
      </c>
      <c r="E723" s="77" t="s">
        <v>529</v>
      </c>
      <c r="F723" s="77"/>
      <c r="G723" s="61">
        <f>G724</f>
        <v>0</v>
      </c>
    </row>
    <row r="724" spans="1:7" ht="31.5" hidden="1">
      <c r="A724" s="48" t="s">
        <v>76</v>
      </c>
      <c r="B724" s="77"/>
      <c r="C724" s="77" t="s">
        <v>189</v>
      </c>
      <c r="D724" s="77" t="s">
        <v>38</v>
      </c>
      <c r="E724" s="77" t="s">
        <v>529</v>
      </c>
      <c r="F724" s="77" t="s">
        <v>135</v>
      </c>
      <c r="G724" s="61"/>
    </row>
    <row r="725" spans="1:7" ht="47.25">
      <c r="A725" s="48" t="s">
        <v>683</v>
      </c>
      <c r="B725" s="77"/>
      <c r="C725" s="77" t="s">
        <v>189</v>
      </c>
      <c r="D725" s="77" t="s">
        <v>38</v>
      </c>
      <c r="E725" s="77" t="s">
        <v>687</v>
      </c>
      <c r="F725" s="77"/>
      <c r="G725" s="61">
        <f>SUM(G726)</f>
        <v>1000</v>
      </c>
    </row>
    <row r="726" spans="1:7" ht="30" customHeight="1">
      <c r="A726" s="48" t="s">
        <v>283</v>
      </c>
      <c r="B726" s="77"/>
      <c r="C726" s="77" t="s">
        <v>189</v>
      </c>
      <c r="D726" s="77" t="s">
        <v>38</v>
      </c>
      <c r="E726" s="77" t="s">
        <v>687</v>
      </c>
      <c r="F726" s="77" t="s">
        <v>135</v>
      </c>
      <c r="G726" s="61">
        <v>1000</v>
      </c>
    </row>
    <row r="727" spans="1:7" ht="15.75" hidden="1">
      <c r="A727" s="48"/>
      <c r="B727" s="77"/>
      <c r="C727" s="77"/>
      <c r="D727" s="77"/>
      <c r="E727" s="77"/>
      <c r="F727" s="77"/>
      <c r="G727" s="61"/>
    </row>
    <row r="728" spans="1:7" ht="15.75" hidden="1">
      <c r="A728" s="48"/>
      <c r="B728" s="77"/>
      <c r="C728" s="77"/>
      <c r="D728" s="77"/>
      <c r="E728" s="77"/>
      <c r="F728" s="77"/>
      <c r="G728" s="61"/>
    </row>
    <row r="729" spans="1:7" ht="18.75" customHeight="1" hidden="1">
      <c r="A729" s="48"/>
      <c r="B729" s="77"/>
      <c r="C729" s="77"/>
      <c r="D729" s="77"/>
      <c r="E729" s="77"/>
      <c r="F729" s="77"/>
      <c r="G729" s="61"/>
    </row>
    <row r="730" spans="1:7" ht="15.75">
      <c r="A730" s="48" t="s">
        <v>334</v>
      </c>
      <c r="B730" s="77"/>
      <c r="C730" s="77" t="s">
        <v>189</v>
      </c>
      <c r="D730" s="77" t="s">
        <v>38</v>
      </c>
      <c r="E730" s="77" t="s">
        <v>434</v>
      </c>
      <c r="F730" s="77"/>
      <c r="G730" s="61">
        <f>G731</f>
        <v>657</v>
      </c>
    </row>
    <row r="731" spans="1:7" ht="30.75" customHeight="1">
      <c r="A731" s="48" t="s">
        <v>328</v>
      </c>
      <c r="B731" s="77"/>
      <c r="C731" s="77" t="s">
        <v>189</v>
      </c>
      <c r="D731" s="77" t="s">
        <v>38</v>
      </c>
      <c r="E731" s="77" t="s">
        <v>435</v>
      </c>
      <c r="F731" s="77"/>
      <c r="G731" s="61">
        <f>G732</f>
        <v>657</v>
      </c>
    </row>
    <row r="732" spans="1:7" ht="30.75" customHeight="1">
      <c r="A732" s="48" t="s">
        <v>76</v>
      </c>
      <c r="B732" s="77"/>
      <c r="C732" s="77" t="s">
        <v>189</v>
      </c>
      <c r="D732" s="77" t="s">
        <v>38</v>
      </c>
      <c r="E732" s="77" t="s">
        <v>435</v>
      </c>
      <c r="F732" s="77" t="s">
        <v>135</v>
      </c>
      <c r="G732" s="61">
        <v>657</v>
      </c>
    </row>
    <row r="733" spans="1:7" ht="31.5" hidden="1">
      <c r="A733" s="48" t="s">
        <v>335</v>
      </c>
      <c r="B733" s="77"/>
      <c r="C733" s="77" t="s">
        <v>189</v>
      </c>
      <c r="D733" s="77" t="s">
        <v>38</v>
      </c>
      <c r="E733" s="77" t="s">
        <v>436</v>
      </c>
      <c r="F733" s="77"/>
      <c r="G733" s="61">
        <f>+G734</f>
        <v>0</v>
      </c>
    </row>
    <row r="734" spans="1:7" ht="15.75" hidden="1">
      <c r="A734" s="48" t="s">
        <v>328</v>
      </c>
      <c r="B734" s="77"/>
      <c r="C734" s="77" t="s">
        <v>189</v>
      </c>
      <c r="D734" s="77" t="s">
        <v>38</v>
      </c>
      <c r="E734" s="77" t="s">
        <v>437</v>
      </c>
      <c r="F734" s="77"/>
      <c r="G734" s="61">
        <f>G735</f>
        <v>0</v>
      </c>
    </row>
    <row r="735" spans="1:7" ht="31.5" hidden="1">
      <c r="A735" s="48" t="s">
        <v>76</v>
      </c>
      <c r="B735" s="77"/>
      <c r="C735" s="77" t="s">
        <v>189</v>
      </c>
      <c r="D735" s="77" t="s">
        <v>38</v>
      </c>
      <c r="E735" s="77" t="s">
        <v>437</v>
      </c>
      <c r="F735" s="77" t="s">
        <v>135</v>
      </c>
      <c r="G735" s="61"/>
    </row>
    <row r="736" spans="1:7" ht="21.75" customHeight="1">
      <c r="A736" s="48" t="s">
        <v>336</v>
      </c>
      <c r="B736" s="77"/>
      <c r="C736" s="77" t="s">
        <v>189</v>
      </c>
      <c r="D736" s="77" t="s">
        <v>38</v>
      </c>
      <c r="E736" s="77" t="s">
        <v>438</v>
      </c>
      <c r="F736" s="77"/>
      <c r="G736" s="61">
        <f>+G739+G737</f>
        <v>470</v>
      </c>
    </row>
    <row r="737" spans="1:7" ht="47.25">
      <c r="A737" s="48" t="s">
        <v>683</v>
      </c>
      <c r="B737" s="77"/>
      <c r="C737" s="77" t="s">
        <v>189</v>
      </c>
      <c r="D737" s="77" t="s">
        <v>38</v>
      </c>
      <c r="E737" s="77" t="s">
        <v>688</v>
      </c>
      <c r="F737" s="77"/>
      <c r="G737" s="61">
        <f>SUM(G738)</f>
        <v>470</v>
      </c>
    </row>
    <row r="738" spans="1:7" ht="30.75" customHeight="1">
      <c r="A738" s="48" t="s">
        <v>283</v>
      </c>
      <c r="B738" s="77"/>
      <c r="C738" s="77" t="s">
        <v>189</v>
      </c>
      <c r="D738" s="77" t="s">
        <v>38</v>
      </c>
      <c r="E738" s="77" t="s">
        <v>688</v>
      </c>
      <c r="F738" s="77" t="s">
        <v>135</v>
      </c>
      <c r="G738" s="61">
        <v>470</v>
      </c>
    </row>
    <row r="739" spans="1:7" ht="15.75" hidden="1">
      <c r="A739" s="48" t="s">
        <v>328</v>
      </c>
      <c r="B739" s="77"/>
      <c r="C739" s="77" t="s">
        <v>189</v>
      </c>
      <c r="D739" s="77" t="s">
        <v>38</v>
      </c>
      <c r="E739" s="77" t="s">
        <v>439</v>
      </c>
      <c r="F739" s="77"/>
      <c r="G739" s="61">
        <f>G740</f>
        <v>0</v>
      </c>
    </row>
    <row r="740" spans="1:7" ht="15.75" hidden="1">
      <c r="A740" s="48" t="s">
        <v>332</v>
      </c>
      <c r="B740" s="77"/>
      <c r="C740" s="77" t="s">
        <v>189</v>
      </c>
      <c r="D740" s="77" t="s">
        <v>38</v>
      </c>
      <c r="E740" s="77" t="s">
        <v>439</v>
      </c>
      <c r="F740" s="77" t="s">
        <v>135</v>
      </c>
      <c r="G740" s="61"/>
    </row>
    <row r="741" spans="1:7" ht="15.75">
      <c r="A741" s="48" t="s">
        <v>211</v>
      </c>
      <c r="B741" s="77"/>
      <c r="C741" s="54" t="s">
        <v>189</v>
      </c>
      <c r="D741" s="54" t="s">
        <v>48</v>
      </c>
      <c r="E741" s="77"/>
      <c r="F741" s="77"/>
      <c r="G741" s="61">
        <f>SUM(G742)</f>
        <v>22167.6</v>
      </c>
    </row>
    <row r="742" spans="1:7" ht="31.5">
      <c r="A742" s="74" t="s">
        <v>689</v>
      </c>
      <c r="B742" s="54"/>
      <c r="C742" s="54" t="s">
        <v>189</v>
      </c>
      <c r="D742" s="54" t="s">
        <v>48</v>
      </c>
      <c r="E742" s="54" t="s">
        <v>690</v>
      </c>
      <c r="F742" s="54"/>
      <c r="G742" s="57">
        <f>G743+G750</f>
        <v>22167.6</v>
      </c>
    </row>
    <row r="743" spans="1:7" ht="31.5">
      <c r="A743" s="74" t="s">
        <v>691</v>
      </c>
      <c r="B743" s="54"/>
      <c r="C743" s="54" t="s">
        <v>189</v>
      </c>
      <c r="D743" s="54" t="s">
        <v>48</v>
      </c>
      <c r="E743" s="54" t="s">
        <v>692</v>
      </c>
      <c r="F743" s="54"/>
      <c r="G743" s="61">
        <f>+G744</f>
        <v>21463.3</v>
      </c>
    </row>
    <row r="744" spans="1:7" ht="47.25">
      <c r="A744" s="74" t="s">
        <v>700</v>
      </c>
      <c r="B744" s="54"/>
      <c r="C744" s="54" t="s">
        <v>189</v>
      </c>
      <c r="D744" s="54" t="s">
        <v>48</v>
      </c>
      <c r="E744" s="54" t="s">
        <v>693</v>
      </c>
      <c r="F744" s="54"/>
      <c r="G744" s="61">
        <f>G748+G745</f>
        <v>21463.3</v>
      </c>
    </row>
    <row r="745" spans="1:7" ht="15.75">
      <c r="A745" s="74" t="s">
        <v>694</v>
      </c>
      <c r="B745" s="54"/>
      <c r="C745" s="54" t="s">
        <v>189</v>
      </c>
      <c r="D745" s="54" t="s">
        <v>48</v>
      </c>
      <c r="E745" s="54" t="s">
        <v>695</v>
      </c>
      <c r="F745" s="54"/>
      <c r="G745" s="61">
        <f>SUM(G746:G747)</f>
        <v>9197.8</v>
      </c>
    </row>
    <row r="746" spans="1:7" ht="31.5">
      <c r="A746" s="177" t="s">
        <v>56</v>
      </c>
      <c r="B746" s="54"/>
      <c r="C746" s="54" t="s">
        <v>189</v>
      </c>
      <c r="D746" s="54" t="s">
        <v>48</v>
      </c>
      <c r="E746" s="54" t="s">
        <v>695</v>
      </c>
      <c r="F746" s="54" t="s">
        <v>101</v>
      </c>
      <c r="G746" s="61">
        <v>469.5</v>
      </c>
    </row>
    <row r="747" spans="1:7" ht="31.5">
      <c r="A747" s="74" t="s">
        <v>76</v>
      </c>
      <c r="B747" s="54"/>
      <c r="C747" s="54" t="s">
        <v>189</v>
      </c>
      <c r="D747" s="54" t="s">
        <v>48</v>
      </c>
      <c r="E747" s="54" t="s">
        <v>695</v>
      </c>
      <c r="F747" s="54" t="s">
        <v>135</v>
      </c>
      <c r="G747" s="61">
        <v>8728.3</v>
      </c>
    </row>
    <row r="748" spans="1:7" ht="15.75">
      <c r="A748" s="74" t="s">
        <v>782</v>
      </c>
      <c r="B748" s="54"/>
      <c r="C748" s="54" t="s">
        <v>189</v>
      </c>
      <c r="D748" s="54" t="s">
        <v>48</v>
      </c>
      <c r="E748" s="54" t="s">
        <v>783</v>
      </c>
      <c r="F748" s="54"/>
      <c r="G748" s="61">
        <f>SUM(G749)</f>
        <v>12265.5</v>
      </c>
    </row>
    <row r="749" spans="1:7" ht="31.5">
      <c r="A749" s="74" t="s">
        <v>283</v>
      </c>
      <c r="B749" s="54"/>
      <c r="C749" s="54" t="s">
        <v>189</v>
      </c>
      <c r="D749" s="54" t="s">
        <v>48</v>
      </c>
      <c r="E749" s="54" t="s">
        <v>783</v>
      </c>
      <c r="F749" s="54" t="s">
        <v>135</v>
      </c>
      <c r="G749" s="61">
        <v>12265.5</v>
      </c>
    </row>
    <row r="750" spans="1:7" ht="15.75">
      <c r="A750" s="74" t="s">
        <v>696</v>
      </c>
      <c r="B750" s="54"/>
      <c r="C750" s="54" t="s">
        <v>189</v>
      </c>
      <c r="D750" s="54" t="s">
        <v>48</v>
      </c>
      <c r="E750" s="54" t="s">
        <v>697</v>
      </c>
      <c r="F750" s="54"/>
      <c r="G750" s="61">
        <f>G751</f>
        <v>704.3</v>
      </c>
    </row>
    <row r="751" spans="1:7" ht="47.25">
      <c r="A751" s="74" t="s">
        <v>612</v>
      </c>
      <c r="B751" s="54"/>
      <c r="C751" s="54" t="s">
        <v>189</v>
      </c>
      <c r="D751" s="54" t="s">
        <v>48</v>
      </c>
      <c r="E751" s="54" t="s">
        <v>698</v>
      </c>
      <c r="F751" s="54"/>
      <c r="G751" s="61">
        <f>+G752</f>
        <v>704.3</v>
      </c>
    </row>
    <row r="752" spans="1:7" ht="15.75">
      <c r="A752" s="74" t="s">
        <v>694</v>
      </c>
      <c r="B752" s="54"/>
      <c r="C752" s="54" t="s">
        <v>189</v>
      </c>
      <c r="D752" s="54" t="s">
        <v>48</v>
      </c>
      <c r="E752" s="54" t="s">
        <v>699</v>
      </c>
      <c r="F752" s="54"/>
      <c r="G752" s="57">
        <f>+G753</f>
        <v>704.3</v>
      </c>
    </row>
    <row r="753" spans="1:7" ht="31.5">
      <c r="A753" s="74" t="s">
        <v>283</v>
      </c>
      <c r="B753" s="54"/>
      <c r="C753" s="54" t="s">
        <v>189</v>
      </c>
      <c r="D753" s="54" t="s">
        <v>48</v>
      </c>
      <c r="E753" s="54" t="s">
        <v>699</v>
      </c>
      <c r="F753" s="54" t="s">
        <v>135</v>
      </c>
      <c r="G753" s="57">
        <v>704.3</v>
      </c>
    </row>
    <row r="754" spans="1:7" ht="15.75">
      <c r="A754" s="74" t="s">
        <v>212</v>
      </c>
      <c r="B754" s="54"/>
      <c r="C754" s="54" t="s">
        <v>189</v>
      </c>
      <c r="D754" s="54" t="s">
        <v>58</v>
      </c>
      <c r="E754" s="54"/>
      <c r="F754" s="54"/>
      <c r="G754" s="57">
        <f>SUM(G755)</f>
        <v>1972.2</v>
      </c>
    </row>
    <row r="755" spans="1:7" s="117" customFormat="1" ht="31.5">
      <c r="A755" s="74" t="s">
        <v>689</v>
      </c>
      <c r="B755" s="54"/>
      <c r="C755" s="54" t="s">
        <v>189</v>
      </c>
      <c r="D755" s="54" t="s">
        <v>58</v>
      </c>
      <c r="E755" s="54" t="s">
        <v>690</v>
      </c>
      <c r="F755" s="54"/>
      <c r="G755" s="57">
        <f>SUM(G756)</f>
        <v>1972.2</v>
      </c>
    </row>
    <row r="756" spans="1:7" ht="15.75">
      <c r="A756" s="74" t="s">
        <v>765</v>
      </c>
      <c r="B756" s="54"/>
      <c r="C756" s="54" t="s">
        <v>189</v>
      </c>
      <c r="D756" s="54" t="s">
        <v>58</v>
      </c>
      <c r="E756" s="54" t="s">
        <v>762</v>
      </c>
      <c r="F756" s="54"/>
      <c r="G756" s="57">
        <f>SUM(G757)</f>
        <v>1972.2</v>
      </c>
    </row>
    <row r="757" spans="1:7" ht="47.25">
      <c r="A757" s="74" t="s">
        <v>612</v>
      </c>
      <c r="B757" s="54"/>
      <c r="C757" s="54" t="s">
        <v>189</v>
      </c>
      <c r="D757" s="54" t="s">
        <v>58</v>
      </c>
      <c r="E757" s="54" t="s">
        <v>763</v>
      </c>
      <c r="F757" s="54"/>
      <c r="G757" s="57">
        <f>SUM(G758)+G760</f>
        <v>1972.2</v>
      </c>
    </row>
    <row r="758" spans="1:7" ht="15.75">
      <c r="A758" s="74" t="s">
        <v>694</v>
      </c>
      <c r="B758" s="54"/>
      <c r="C758" s="54" t="s">
        <v>189</v>
      </c>
      <c r="D758" s="54" t="s">
        <v>58</v>
      </c>
      <c r="E758" s="54" t="s">
        <v>764</v>
      </c>
      <c r="F758" s="54"/>
      <c r="G758" s="57">
        <f>SUM(G759)</f>
        <v>1533.2</v>
      </c>
    </row>
    <row r="759" spans="1:7" ht="31.5">
      <c r="A759" s="74" t="s">
        <v>283</v>
      </c>
      <c r="B759" s="54"/>
      <c r="C759" s="54" t="s">
        <v>189</v>
      </c>
      <c r="D759" s="54" t="s">
        <v>58</v>
      </c>
      <c r="E759" s="54" t="s">
        <v>764</v>
      </c>
      <c r="F759" s="54" t="s">
        <v>135</v>
      </c>
      <c r="G759" s="57">
        <v>1533.2</v>
      </c>
    </row>
    <row r="760" spans="1:7" ht="47.25">
      <c r="A760" s="74" t="s">
        <v>784</v>
      </c>
      <c r="B760" s="54"/>
      <c r="C760" s="54" t="s">
        <v>189</v>
      </c>
      <c r="D760" s="54" t="s">
        <v>58</v>
      </c>
      <c r="E760" s="54" t="s">
        <v>785</v>
      </c>
      <c r="F760" s="54"/>
      <c r="G760" s="57">
        <f>SUM(G761)</f>
        <v>439</v>
      </c>
    </row>
    <row r="761" spans="1:7" ht="31.5">
      <c r="A761" s="74" t="s">
        <v>283</v>
      </c>
      <c r="B761" s="54"/>
      <c r="C761" s="54" t="s">
        <v>189</v>
      </c>
      <c r="D761" s="54" t="s">
        <v>58</v>
      </c>
      <c r="E761" s="54" t="s">
        <v>785</v>
      </c>
      <c r="F761" s="54" t="s">
        <v>135</v>
      </c>
      <c r="G761" s="57">
        <v>439</v>
      </c>
    </row>
    <row r="762" spans="1:7" ht="15.75">
      <c r="A762" s="114" t="s">
        <v>442</v>
      </c>
      <c r="B762" s="93" t="s">
        <v>443</v>
      </c>
      <c r="C762" s="115"/>
      <c r="D762" s="115"/>
      <c r="E762" s="54"/>
      <c r="F762" s="115"/>
      <c r="G762" s="116">
        <f>G763+G943</f>
        <v>1991673.4000000001</v>
      </c>
    </row>
    <row r="763" spans="1:7" ht="15.75">
      <c r="A763" s="48" t="s">
        <v>124</v>
      </c>
      <c r="B763" s="77"/>
      <c r="C763" s="77" t="s">
        <v>125</v>
      </c>
      <c r="D763" s="77"/>
      <c r="E763" s="77"/>
      <c r="F763" s="77"/>
      <c r="G763" s="61">
        <f>G764+G805+G874+G885+G919</f>
        <v>1928584.3</v>
      </c>
    </row>
    <row r="764" spans="1:7" ht="15.75">
      <c r="A764" s="48" t="s">
        <v>200</v>
      </c>
      <c r="B764" s="77"/>
      <c r="C764" s="77" t="s">
        <v>125</v>
      </c>
      <c r="D764" s="77" t="s">
        <v>38</v>
      </c>
      <c r="E764" s="77"/>
      <c r="F764" s="77"/>
      <c r="G764" s="61">
        <f>G774+G765</f>
        <v>761288.1</v>
      </c>
    </row>
    <row r="765" spans="1:7" ht="31.5">
      <c r="A765" s="48" t="s">
        <v>616</v>
      </c>
      <c r="B765" s="77"/>
      <c r="C765" s="77" t="s">
        <v>125</v>
      </c>
      <c r="D765" s="77" t="s">
        <v>38</v>
      </c>
      <c r="E765" s="125" t="s">
        <v>617</v>
      </c>
      <c r="F765" s="121"/>
      <c r="G765" s="61">
        <f>G769+G766</f>
        <v>516961.6</v>
      </c>
    </row>
    <row r="766" spans="1:7" ht="47.25">
      <c r="A766" s="74" t="s">
        <v>612</v>
      </c>
      <c r="B766" s="77"/>
      <c r="C766" s="77" t="s">
        <v>125</v>
      </c>
      <c r="D766" s="77" t="s">
        <v>38</v>
      </c>
      <c r="E766" s="125" t="s">
        <v>773</v>
      </c>
      <c r="F766" s="121"/>
      <c r="G766" s="61">
        <f>SUM(G767)</f>
        <v>5850</v>
      </c>
    </row>
    <row r="767" spans="1:7" ht="63">
      <c r="A767" s="154" t="s">
        <v>775</v>
      </c>
      <c r="B767" s="77"/>
      <c r="C767" s="77" t="s">
        <v>125</v>
      </c>
      <c r="D767" s="77" t="s">
        <v>38</v>
      </c>
      <c r="E767" s="125" t="s">
        <v>774</v>
      </c>
      <c r="F767" s="121"/>
      <c r="G767" s="61">
        <f>SUM(G768)</f>
        <v>5850</v>
      </c>
    </row>
    <row r="768" spans="1:7" ht="31.5">
      <c r="A768" s="74" t="s">
        <v>283</v>
      </c>
      <c r="B768" s="77"/>
      <c r="C768" s="77" t="s">
        <v>125</v>
      </c>
      <c r="D768" s="77" t="s">
        <v>38</v>
      </c>
      <c r="E768" s="125" t="s">
        <v>774</v>
      </c>
      <c r="F768" s="121">
        <v>600</v>
      </c>
      <c r="G768" s="61">
        <v>5850</v>
      </c>
    </row>
    <row r="769" spans="1:7" ht="78.75">
      <c r="A769" s="48" t="s">
        <v>618</v>
      </c>
      <c r="B769" s="77"/>
      <c r="C769" s="77" t="s">
        <v>125</v>
      </c>
      <c r="D769" s="77" t="s">
        <v>38</v>
      </c>
      <c r="E769" s="125" t="s">
        <v>619</v>
      </c>
      <c r="F769" s="121"/>
      <c r="G769" s="61">
        <f>G770</f>
        <v>511111.6</v>
      </c>
    </row>
    <row r="770" spans="1:7" ht="58.5" customHeight="1">
      <c r="A770" s="48" t="s">
        <v>620</v>
      </c>
      <c r="B770" s="77"/>
      <c r="C770" s="77" t="s">
        <v>125</v>
      </c>
      <c r="D770" s="77" t="s">
        <v>38</v>
      </c>
      <c r="E770" s="125" t="s">
        <v>621</v>
      </c>
      <c r="F770" s="121"/>
      <c r="G770" s="61">
        <f>G771+G772+G773</f>
        <v>511111.6</v>
      </c>
    </row>
    <row r="771" spans="1:7" ht="47.25">
      <c r="A771" s="48" t="s">
        <v>55</v>
      </c>
      <c r="B771" s="77"/>
      <c r="C771" s="77" t="s">
        <v>125</v>
      </c>
      <c r="D771" s="77" t="s">
        <v>38</v>
      </c>
      <c r="E771" s="126" t="s">
        <v>621</v>
      </c>
      <c r="F771" s="77" t="s">
        <v>99</v>
      </c>
      <c r="G771" s="61">
        <v>81202.6</v>
      </c>
    </row>
    <row r="772" spans="1:7" ht="31.5">
      <c r="A772" s="48" t="s">
        <v>56</v>
      </c>
      <c r="B772" s="77"/>
      <c r="C772" s="77" t="s">
        <v>125</v>
      </c>
      <c r="D772" s="77" t="s">
        <v>38</v>
      </c>
      <c r="E772" s="126" t="s">
        <v>621</v>
      </c>
      <c r="F772" s="77" t="s">
        <v>101</v>
      </c>
      <c r="G772" s="61">
        <f>916.1+1468.3</f>
        <v>2384.4</v>
      </c>
    </row>
    <row r="773" spans="1:7" ht="31.5">
      <c r="A773" s="48" t="s">
        <v>283</v>
      </c>
      <c r="B773" s="77"/>
      <c r="C773" s="77" t="s">
        <v>125</v>
      </c>
      <c r="D773" s="77" t="s">
        <v>38</v>
      </c>
      <c r="E773" s="126" t="s">
        <v>621</v>
      </c>
      <c r="F773" s="77" t="s">
        <v>135</v>
      </c>
      <c r="G773" s="61">
        <v>427524.6</v>
      </c>
    </row>
    <row r="774" spans="1:7" ht="31.5">
      <c r="A774" s="48" t="s">
        <v>444</v>
      </c>
      <c r="B774" s="77"/>
      <c r="C774" s="77" t="s">
        <v>125</v>
      </c>
      <c r="D774" s="77" t="s">
        <v>38</v>
      </c>
      <c r="E774" s="49" t="s">
        <v>445</v>
      </c>
      <c r="F774" s="77"/>
      <c r="G774" s="61">
        <f>G775+G785+G788+G797+G801</f>
        <v>244326.5</v>
      </c>
    </row>
    <row r="775" spans="1:7" ht="15.75">
      <c r="A775" s="48" t="s">
        <v>39</v>
      </c>
      <c r="B775" s="77"/>
      <c r="C775" s="77" t="s">
        <v>125</v>
      </c>
      <c r="D775" s="77" t="s">
        <v>38</v>
      </c>
      <c r="E775" s="83" t="s">
        <v>446</v>
      </c>
      <c r="F775" s="77"/>
      <c r="G775" s="61">
        <f>SUM(G781+G783)+G776</f>
        <v>4435.299999999999</v>
      </c>
    </row>
    <row r="776" spans="1:7" ht="15.75">
      <c r="A776" s="48" t="s">
        <v>453</v>
      </c>
      <c r="B776" s="77"/>
      <c r="C776" s="77" t="s">
        <v>125</v>
      </c>
      <c r="D776" s="77" t="s">
        <v>38</v>
      </c>
      <c r="E776" s="82" t="s">
        <v>622</v>
      </c>
      <c r="F776" s="77"/>
      <c r="G776" s="61">
        <f>SUM(G777:G780)</f>
        <v>3785.2999999999997</v>
      </c>
    </row>
    <row r="777" spans="1:7" ht="20.25" customHeight="1" hidden="1">
      <c r="A777" s="48" t="s">
        <v>55</v>
      </c>
      <c r="B777" s="77"/>
      <c r="C777" s="77" t="s">
        <v>125</v>
      </c>
      <c r="D777" s="77" t="s">
        <v>38</v>
      </c>
      <c r="E777" s="82" t="s">
        <v>622</v>
      </c>
      <c r="F777" s="77" t="s">
        <v>99</v>
      </c>
      <c r="G777" s="61"/>
    </row>
    <row r="778" spans="1:7" ht="31.5">
      <c r="A778" s="48" t="s">
        <v>56</v>
      </c>
      <c r="B778" s="77"/>
      <c r="C778" s="77" t="s">
        <v>125</v>
      </c>
      <c r="D778" s="77" t="s">
        <v>38</v>
      </c>
      <c r="E778" s="82" t="s">
        <v>622</v>
      </c>
      <c r="F778" s="77" t="s">
        <v>101</v>
      </c>
      <c r="G778" s="61">
        <v>345.6</v>
      </c>
    </row>
    <row r="779" spans="1:7" ht="15.75">
      <c r="A779" s="48" t="s">
        <v>46</v>
      </c>
      <c r="B779" s="77"/>
      <c r="C779" s="77" t="s">
        <v>125</v>
      </c>
      <c r="D779" s="77" t="s">
        <v>38</v>
      </c>
      <c r="E779" s="82" t="s">
        <v>622</v>
      </c>
      <c r="F779" s="77" t="s">
        <v>109</v>
      </c>
      <c r="G779" s="61">
        <v>6</v>
      </c>
    </row>
    <row r="780" spans="1:7" ht="27.75" customHeight="1">
      <c r="A780" s="48" t="s">
        <v>283</v>
      </c>
      <c r="B780" s="77"/>
      <c r="C780" s="77" t="s">
        <v>125</v>
      </c>
      <c r="D780" s="77" t="s">
        <v>38</v>
      </c>
      <c r="E780" s="82" t="s">
        <v>622</v>
      </c>
      <c r="F780" s="77" t="s">
        <v>135</v>
      </c>
      <c r="G780" s="61">
        <v>3433.7</v>
      </c>
    </row>
    <row r="781" spans="1:7" ht="31.5" hidden="1">
      <c r="A781" s="48" t="s">
        <v>447</v>
      </c>
      <c r="B781" s="77"/>
      <c r="C781" s="77" t="s">
        <v>125</v>
      </c>
      <c r="D781" s="77" t="s">
        <v>38</v>
      </c>
      <c r="E781" s="49" t="s">
        <v>448</v>
      </c>
      <c r="F781" s="77"/>
      <c r="G781" s="61">
        <f>G782</f>
        <v>0</v>
      </c>
    </row>
    <row r="782" spans="1:7" ht="14.25" customHeight="1" hidden="1">
      <c r="A782" s="48" t="s">
        <v>46</v>
      </c>
      <c r="B782" s="77"/>
      <c r="C782" s="77" t="s">
        <v>125</v>
      </c>
      <c r="D782" s="77" t="s">
        <v>38</v>
      </c>
      <c r="E782" s="49" t="s">
        <v>448</v>
      </c>
      <c r="F782" s="77" t="s">
        <v>109</v>
      </c>
      <c r="G782" s="61">
        <v>0</v>
      </c>
    </row>
    <row r="783" spans="1:7" ht="94.5">
      <c r="A783" s="48" t="s">
        <v>449</v>
      </c>
      <c r="B783" s="77"/>
      <c r="C783" s="77" t="s">
        <v>125</v>
      </c>
      <c r="D783" s="77" t="s">
        <v>38</v>
      </c>
      <c r="E783" s="83" t="s">
        <v>450</v>
      </c>
      <c r="F783" s="77"/>
      <c r="G783" s="61">
        <f>G784</f>
        <v>650</v>
      </c>
    </row>
    <row r="784" spans="1:7" ht="31.5">
      <c r="A784" s="48" t="s">
        <v>76</v>
      </c>
      <c r="B784" s="77"/>
      <c r="C784" s="77" t="s">
        <v>125</v>
      </c>
      <c r="D784" s="77" t="s">
        <v>38</v>
      </c>
      <c r="E784" s="83" t="s">
        <v>450</v>
      </c>
      <c r="F784" s="77" t="s">
        <v>135</v>
      </c>
      <c r="G784" s="61">
        <v>650</v>
      </c>
    </row>
    <row r="785" spans="1:7" ht="47.25">
      <c r="A785" s="48" t="s">
        <v>30</v>
      </c>
      <c r="B785" s="77"/>
      <c r="C785" s="77" t="s">
        <v>125</v>
      </c>
      <c r="D785" s="77" t="s">
        <v>38</v>
      </c>
      <c r="E785" s="49" t="s">
        <v>451</v>
      </c>
      <c r="F785" s="77"/>
      <c r="G785" s="61">
        <f>SUM(G786)</f>
        <v>188674.1</v>
      </c>
    </row>
    <row r="786" spans="1:7" ht="15.75">
      <c r="A786" s="48" t="s">
        <v>453</v>
      </c>
      <c r="B786" s="77"/>
      <c r="C786" s="77" t="s">
        <v>125</v>
      </c>
      <c r="D786" s="77" t="s">
        <v>38</v>
      </c>
      <c r="E786" s="49" t="s">
        <v>454</v>
      </c>
      <c r="F786" s="77"/>
      <c r="G786" s="61">
        <f>G787</f>
        <v>188674.1</v>
      </c>
    </row>
    <row r="787" spans="1:7" ht="31.5">
      <c r="A787" s="48" t="s">
        <v>76</v>
      </c>
      <c r="B787" s="77"/>
      <c r="C787" s="77" t="s">
        <v>125</v>
      </c>
      <c r="D787" s="77" t="s">
        <v>38</v>
      </c>
      <c r="E787" s="49" t="s">
        <v>454</v>
      </c>
      <c r="F787" s="77" t="s">
        <v>135</v>
      </c>
      <c r="G787" s="61">
        <v>188674.1</v>
      </c>
    </row>
    <row r="788" spans="1:7" ht="15.75">
      <c r="A788" s="48" t="s">
        <v>166</v>
      </c>
      <c r="B788" s="77"/>
      <c r="C788" s="77" t="s">
        <v>125</v>
      </c>
      <c r="D788" s="77" t="s">
        <v>38</v>
      </c>
      <c r="E788" s="49" t="s">
        <v>517</v>
      </c>
      <c r="F788" s="77"/>
      <c r="G788" s="61">
        <f>SUM(G789)</f>
        <v>2306.4</v>
      </c>
    </row>
    <row r="789" spans="1:7" ht="15.75">
      <c r="A789" s="48" t="s">
        <v>453</v>
      </c>
      <c r="B789" s="77"/>
      <c r="C789" s="77" t="s">
        <v>125</v>
      </c>
      <c r="D789" s="77" t="s">
        <v>38</v>
      </c>
      <c r="E789" s="49" t="s">
        <v>455</v>
      </c>
      <c r="F789" s="77"/>
      <c r="G789" s="61">
        <f>SUM(G790+G792+G794)</f>
        <v>2306.4</v>
      </c>
    </row>
    <row r="790" spans="1:7" ht="15.75" hidden="1">
      <c r="A790" s="48" t="s">
        <v>456</v>
      </c>
      <c r="B790" s="77"/>
      <c r="C790" s="77" t="s">
        <v>125</v>
      </c>
      <c r="D790" s="77" t="s">
        <v>38</v>
      </c>
      <c r="E790" s="49" t="s">
        <v>457</v>
      </c>
      <c r="F790" s="77"/>
      <c r="G790" s="61">
        <f>G791</f>
        <v>0</v>
      </c>
    </row>
    <row r="791" spans="1:7" ht="31.5" hidden="1">
      <c r="A791" s="48" t="s">
        <v>76</v>
      </c>
      <c r="B791" s="77"/>
      <c r="C791" s="77" t="s">
        <v>125</v>
      </c>
      <c r="D791" s="77" t="s">
        <v>38</v>
      </c>
      <c r="E791" s="49" t="s">
        <v>457</v>
      </c>
      <c r="F791" s="77" t="s">
        <v>135</v>
      </c>
      <c r="G791" s="61">
        <v>0</v>
      </c>
    </row>
    <row r="792" spans="1:7" ht="31.5">
      <c r="A792" s="48" t="s">
        <v>458</v>
      </c>
      <c r="B792" s="77"/>
      <c r="C792" s="77" t="s">
        <v>125</v>
      </c>
      <c r="D792" s="77" t="s">
        <v>38</v>
      </c>
      <c r="E792" s="49" t="s">
        <v>459</v>
      </c>
      <c r="F792" s="77"/>
      <c r="G792" s="61">
        <f>G793</f>
        <v>126</v>
      </c>
    </row>
    <row r="793" spans="1:7" ht="31.5">
      <c r="A793" s="48" t="s">
        <v>76</v>
      </c>
      <c r="B793" s="77"/>
      <c r="C793" s="77" t="s">
        <v>125</v>
      </c>
      <c r="D793" s="77" t="s">
        <v>38</v>
      </c>
      <c r="E793" s="49" t="s">
        <v>459</v>
      </c>
      <c r="F793" s="77" t="s">
        <v>135</v>
      </c>
      <c r="G793" s="61">
        <v>126</v>
      </c>
    </row>
    <row r="794" spans="1:7" ht="15.75">
      <c r="A794" s="48" t="s">
        <v>460</v>
      </c>
      <c r="B794" s="77"/>
      <c r="C794" s="77" t="s">
        <v>125</v>
      </c>
      <c r="D794" s="77" t="s">
        <v>38</v>
      </c>
      <c r="E794" s="49" t="s">
        <v>461</v>
      </c>
      <c r="F794" s="77"/>
      <c r="G794" s="61">
        <f>G795</f>
        <v>2180.4</v>
      </c>
    </row>
    <row r="795" spans="1:7" ht="31.5">
      <c r="A795" s="48" t="s">
        <v>76</v>
      </c>
      <c r="B795" s="77"/>
      <c r="C795" s="77" t="s">
        <v>125</v>
      </c>
      <c r="D795" s="77" t="s">
        <v>38</v>
      </c>
      <c r="E795" s="49" t="s">
        <v>461</v>
      </c>
      <c r="F795" s="77" t="s">
        <v>135</v>
      </c>
      <c r="G795" s="61">
        <v>2180.4</v>
      </c>
    </row>
    <row r="796" spans="1:7" ht="31.5">
      <c r="A796" s="48" t="s">
        <v>49</v>
      </c>
      <c r="B796" s="77"/>
      <c r="C796" s="77" t="s">
        <v>125</v>
      </c>
      <c r="D796" s="77" t="s">
        <v>38</v>
      </c>
      <c r="E796" s="49" t="s">
        <v>462</v>
      </c>
      <c r="F796" s="77"/>
      <c r="G796" s="61">
        <f>SUM(G797)</f>
        <v>43915.6</v>
      </c>
    </row>
    <row r="797" spans="1:7" ht="15.75">
      <c r="A797" s="48" t="s">
        <v>453</v>
      </c>
      <c r="B797" s="49"/>
      <c r="C797" s="77" t="s">
        <v>125</v>
      </c>
      <c r="D797" s="77" t="s">
        <v>38</v>
      </c>
      <c r="E797" s="49" t="s">
        <v>463</v>
      </c>
      <c r="F797" s="77"/>
      <c r="G797" s="61">
        <f>G798+G799+G800</f>
        <v>43915.6</v>
      </c>
    </row>
    <row r="798" spans="1:7" ht="47.25">
      <c r="A798" s="67" t="s">
        <v>55</v>
      </c>
      <c r="B798" s="77"/>
      <c r="C798" s="77" t="s">
        <v>125</v>
      </c>
      <c r="D798" s="77" t="s">
        <v>38</v>
      </c>
      <c r="E798" s="49" t="s">
        <v>463</v>
      </c>
      <c r="F798" s="77" t="s">
        <v>99</v>
      </c>
      <c r="G798" s="61">
        <v>13364.2</v>
      </c>
    </row>
    <row r="799" spans="1:7" ht="31.5">
      <c r="A799" s="48" t="s">
        <v>56</v>
      </c>
      <c r="B799" s="77"/>
      <c r="C799" s="77" t="s">
        <v>125</v>
      </c>
      <c r="D799" s="77" t="s">
        <v>38</v>
      </c>
      <c r="E799" s="49" t="s">
        <v>463</v>
      </c>
      <c r="F799" s="77" t="s">
        <v>101</v>
      </c>
      <c r="G799" s="61">
        <v>28950.3</v>
      </c>
    </row>
    <row r="800" spans="1:7" ht="15.75">
      <c r="A800" s="48" t="s">
        <v>26</v>
      </c>
      <c r="B800" s="77"/>
      <c r="C800" s="77" t="s">
        <v>125</v>
      </c>
      <c r="D800" s="77" t="s">
        <v>38</v>
      </c>
      <c r="E800" s="49" t="s">
        <v>463</v>
      </c>
      <c r="F800" s="77" t="s">
        <v>106</v>
      </c>
      <c r="G800" s="61">
        <v>1601.1</v>
      </c>
    </row>
    <row r="801" spans="1:7" ht="31.5">
      <c r="A801" s="48" t="s">
        <v>464</v>
      </c>
      <c r="B801" s="77"/>
      <c r="C801" s="77" t="s">
        <v>125</v>
      </c>
      <c r="D801" s="77" t="s">
        <v>38</v>
      </c>
      <c r="E801" s="49" t="s">
        <v>465</v>
      </c>
      <c r="F801" s="77"/>
      <c r="G801" s="61">
        <f>G802</f>
        <v>4995.1</v>
      </c>
    </row>
    <row r="802" spans="1:7" ht="15.75">
      <c r="A802" s="48" t="s">
        <v>39</v>
      </c>
      <c r="B802" s="77"/>
      <c r="C802" s="77" t="s">
        <v>125</v>
      </c>
      <c r="D802" s="77" t="s">
        <v>38</v>
      </c>
      <c r="E802" s="49" t="s">
        <v>466</v>
      </c>
      <c r="F802" s="77"/>
      <c r="G802" s="61">
        <f>SUM(G803:G804)</f>
        <v>4995.1</v>
      </c>
    </row>
    <row r="803" spans="1:7" ht="31.5">
      <c r="A803" s="48" t="s">
        <v>56</v>
      </c>
      <c r="B803" s="77"/>
      <c r="C803" s="77" t="s">
        <v>125</v>
      </c>
      <c r="D803" s="77" t="s">
        <v>38</v>
      </c>
      <c r="E803" s="49" t="s">
        <v>466</v>
      </c>
      <c r="F803" s="77" t="s">
        <v>101</v>
      </c>
      <c r="G803" s="61">
        <v>958.6</v>
      </c>
    </row>
    <row r="804" spans="1:7" ht="31.5">
      <c r="A804" s="48" t="s">
        <v>76</v>
      </c>
      <c r="B804" s="77"/>
      <c r="C804" s="77" t="s">
        <v>125</v>
      </c>
      <c r="D804" s="77" t="s">
        <v>38</v>
      </c>
      <c r="E804" s="49" t="s">
        <v>466</v>
      </c>
      <c r="F804" s="77" t="s">
        <v>135</v>
      </c>
      <c r="G804" s="61">
        <v>4036.5</v>
      </c>
    </row>
    <row r="805" spans="1:7" ht="15.75">
      <c r="A805" s="48" t="s">
        <v>201</v>
      </c>
      <c r="B805" s="77"/>
      <c r="C805" s="77" t="s">
        <v>125</v>
      </c>
      <c r="D805" s="77" t="s">
        <v>48</v>
      </c>
      <c r="E805" s="83"/>
      <c r="F805" s="77"/>
      <c r="G805" s="61">
        <f>G825+G806</f>
        <v>1026041.8</v>
      </c>
    </row>
    <row r="806" spans="1:7" ht="31.5">
      <c r="A806" s="48" t="s">
        <v>244</v>
      </c>
      <c r="B806" s="77"/>
      <c r="C806" s="77" t="s">
        <v>125</v>
      </c>
      <c r="D806" s="77" t="s">
        <v>48</v>
      </c>
      <c r="E806" s="125" t="s">
        <v>245</v>
      </c>
      <c r="F806" s="121"/>
      <c r="G806" s="61">
        <f>G815+G807</f>
        <v>780772.1000000001</v>
      </c>
    </row>
    <row r="807" spans="1:7" ht="47.25">
      <c r="A807" s="74" t="s">
        <v>612</v>
      </c>
      <c r="B807" s="77"/>
      <c r="C807" s="77" t="s">
        <v>125</v>
      </c>
      <c r="D807" s="77" t="s">
        <v>48</v>
      </c>
      <c r="E807" s="125" t="s">
        <v>776</v>
      </c>
      <c r="F807" s="121"/>
      <c r="G807" s="61">
        <f>SUM(G808)+G811+G813</f>
        <v>8153.800000000001</v>
      </c>
    </row>
    <row r="808" spans="1:7" ht="47.25">
      <c r="A808" s="154" t="s">
        <v>778</v>
      </c>
      <c r="B808" s="77"/>
      <c r="C808" s="77" t="s">
        <v>125</v>
      </c>
      <c r="D808" s="77" t="s">
        <v>48</v>
      </c>
      <c r="E808" s="125" t="s">
        <v>777</v>
      </c>
      <c r="F808" s="121"/>
      <c r="G808" s="61">
        <f>SUM(G809:G810)</f>
        <v>4298.3</v>
      </c>
    </row>
    <row r="809" spans="1:7" ht="31.5">
      <c r="A809" s="154" t="s">
        <v>56</v>
      </c>
      <c r="B809" s="77"/>
      <c r="C809" s="77" t="s">
        <v>125</v>
      </c>
      <c r="D809" s="77" t="s">
        <v>48</v>
      </c>
      <c r="E809" s="125" t="s">
        <v>777</v>
      </c>
      <c r="F809" s="77" t="s">
        <v>101</v>
      </c>
      <c r="G809" s="61">
        <v>2394.6</v>
      </c>
    </row>
    <row r="810" spans="1:7" ht="31.5">
      <c r="A810" s="154" t="s">
        <v>76</v>
      </c>
      <c r="B810" s="77"/>
      <c r="C810" s="77" t="s">
        <v>125</v>
      </c>
      <c r="D810" s="77" t="s">
        <v>48</v>
      </c>
      <c r="E810" s="125" t="s">
        <v>777</v>
      </c>
      <c r="F810" s="77" t="s">
        <v>135</v>
      </c>
      <c r="G810" s="61">
        <v>1903.7</v>
      </c>
    </row>
    <row r="811" spans="1:7" ht="31.5">
      <c r="A811" s="159" t="s">
        <v>799</v>
      </c>
      <c r="B811" s="77"/>
      <c r="C811" s="77" t="s">
        <v>125</v>
      </c>
      <c r="D811" s="77" t="s">
        <v>48</v>
      </c>
      <c r="E811" s="125" t="s">
        <v>800</v>
      </c>
      <c r="F811" s="77"/>
      <c r="G811" s="61">
        <f>SUM(G812)</f>
        <v>496.1</v>
      </c>
    </row>
    <row r="812" spans="1:7" ht="31.5">
      <c r="A812" s="159" t="s">
        <v>76</v>
      </c>
      <c r="B812" s="77"/>
      <c r="C812" s="77" t="s">
        <v>125</v>
      </c>
      <c r="D812" s="77" t="s">
        <v>48</v>
      </c>
      <c r="E812" s="125" t="s">
        <v>800</v>
      </c>
      <c r="F812" s="77" t="s">
        <v>135</v>
      </c>
      <c r="G812" s="61">
        <v>496.1</v>
      </c>
    </row>
    <row r="813" spans="1:7" ht="63">
      <c r="A813" s="159" t="s">
        <v>801</v>
      </c>
      <c r="B813" s="77"/>
      <c r="C813" s="77" t="s">
        <v>125</v>
      </c>
      <c r="D813" s="77" t="s">
        <v>48</v>
      </c>
      <c r="E813" s="125" t="s">
        <v>802</v>
      </c>
      <c r="F813" s="77"/>
      <c r="G813" s="61">
        <f>SUM(G814)</f>
        <v>3359.4</v>
      </c>
    </row>
    <row r="814" spans="1:7" ht="31.5">
      <c r="A814" s="159" t="s">
        <v>56</v>
      </c>
      <c r="B814" s="77"/>
      <c r="C814" s="77" t="s">
        <v>125</v>
      </c>
      <c r="D814" s="77" t="s">
        <v>48</v>
      </c>
      <c r="E814" s="125" t="s">
        <v>802</v>
      </c>
      <c r="F814" s="77" t="s">
        <v>101</v>
      </c>
      <c r="G814" s="61">
        <v>3359.4</v>
      </c>
    </row>
    <row r="815" spans="1:7" ht="78.75">
      <c r="A815" s="48" t="s">
        <v>317</v>
      </c>
      <c r="B815" s="77"/>
      <c r="C815" s="77" t="s">
        <v>125</v>
      </c>
      <c r="D815" s="77" t="s">
        <v>48</v>
      </c>
      <c r="E815" s="126" t="s">
        <v>247</v>
      </c>
      <c r="F815" s="77"/>
      <c r="G815" s="61">
        <f>G816+G818+G821</f>
        <v>772618.3</v>
      </c>
    </row>
    <row r="816" spans="1:7" ht="47.25">
      <c r="A816" s="48" t="s">
        <v>623</v>
      </c>
      <c r="B816" s="77"/>
      <c r="C816" s="77" t="s">
        <v>125</v>
      </c>
      <c r="D816" s="77" t="s">
        <v>48</v>
      </c>
      <c r="E816" s="126" t="s">
        <v>624</v>
      </c>
      <c r="F816" s="77"/>
      <c r="G816" s="61">
        <f>G817</f>
        <v>6950.5</v>
      </c>
    </row>
    <row r="817" spans="1:7" ht="31.5">
      <c r="A817" s="48" t="s">
        <v>134</v>
      </c>
      <c r="B817" s="77"/>
      <c r="C817" s="77" t="s">
        <v>125</v>
      </c>
      <c r="D817" s="77" t="s">
        <v>48</v>
      </c>
      <c r="E817" s="126" t="s">
        <v>624</v>
      </c>
      <c r="F817" s="77" t="s">
        <v>135</v>
      </c>
      <c r="G817" s="61">
        <v>6950.5</v>
      </c>
    </row>
    <row r="818" spans="1:7" ht="78.75">
      <c r="A818" s="48" t="s">
        <v>625</v>
      </c>
      <c r="B818" s="77"/>
      <c r="C818" s="77" t="s">
        <v>125</v>
      </c>
      <c r="D818" s="77" t="s">
        <v>48</v>
      </c>
      <c r="E818" s="126" t="s">
        <v>626</v>
      </c>
      <c r="F818" s="77"/>
      <c r="G818" s="61">
        <f>G819+G820</f>
        <v>47087.299999999996</v>
      </c>
    </row>
    <row r="819" spans="1:7" ht="47.25">
      <c r="A819" s="67" t="s">
        <v>55</v>
      </c>
      <c r="B819" s="77"/>
      <c r="C819" s="77" t="s">
        <v>125</v>
      </c>
      <c r="D819" s="77" t="s">
        <v>48</v>
      </c>
      <c r="E819" s="126" t="s">
        <v>626</v>
      </c>
      <c r="F819" s="77" t="s">
        <v>99</v>
      </c>
      <c r="G819" s="61">
        <v>43826.6</v>
      </c>
    </row>
    <row r="820" spans="1:7" ht="31.5">
      <c r="A820" s="48" t="s">
        <v>56</v>
      </c>
      <c r="B820" s="77"/>
      <c r="C820" s="77" t="s">
        <v>125</v>
      </c>
      <c r="D820" s="77" t="s">
        <v>48</v>
      </c>
      <c r="E820" s="126" t="s">
        <v>626</v>
      </c>
      <c r="F820" s="77" t="s">
        <v>101</v>
      </c>
      <c r="G820" s="61">
        <v>3260.7</v>
      </c>
    </row>
    <row r="821" spans="1:7" ht="63">
      <c r="A821" s="48" t="s">
        <v>627</v>
      </c>
      <c r="B821" s="77"/>
      <c r="C821" s="77" t="s">
        <v>125</v>
      </c>
      <c r="D821" s="77" t="s">
        <v>48</v>
      </c>
      <c r="E821" s="126" t="s">
        <v>628</v>
      </c>
      <c r="F821" s="77"/>
      <c r="G821" s="61">
        <f>G822+G823+G824</f>
        <v>718580.5</v>
      </c>
    </row>
    <row r="822" spans="1:7" ht="47.25">
      <c r="A822" s="48" t="s">
        <v>55</v>
      </c>
      <c r="B822" s="77"/>
      <c r="C822" s="77" t="s">
        <v>125</v>
      </c>
      <c r="D822" s="77" t="s">
        <v>48</v>
      </c>
      <c r="E822" s="126" t="s">
        <v>628</v>
      </c>
      <c r="F822" s="77" t="s">
        <v>99</v>
      </c>
      <c r="G822" s="61">
        <v>334439.4</v>
      </c>
    </row>
    <row r="823" spans="1:7" ht="31.5">
      <c r="A823" s="48" t="s">
        <v>56</v>
      </c>
      <c r="B823" s="77"/>
      <c r="C823" s="77" t="s">
        <v>125</v>
      </c>
      <c r="D823" s="77" t="s">
        <v>48</v>
      </c>
      <c r="E823" s="126" t="s">
        <v>628</v>
      </c>
      <c r="F823" s="77" t="s">
        <v>101</v>
      </c>
      <c r="G823" s="61">
        <v>10268.1</v>
      </c>
    </row>
    <row r="824" spans="1:7" ht="29.25" customHeight="1">
      <c r="A824" s="48" t="s">
        <v>134</v>
      </c>
      <c r="B824" s="77"/>
      <c r="C824" s="77" t="s">
        <v>125</v>
      </c>
      <c r="D824" s="77" t="s">
        <v>48</v>
      </c>
      <c r="E824" s="126" t="s">
        <v>628</v>
      </c>
      <c r="F824" s="77" t="s">
        <v>135</v>
      </c>
      <c r="G824" s="61">
        <v>373873</v>
      </c>
    </row>
    <row r="825" spans="1:7" ht="31.5">
      <c r="A825" s="48" t="s">
        <v>444</v>
      </c>
      <c r="B825" s="77"/>
      <c r="C825" s="77" t="s">
        <v>125</v>
      </c>
      <c r="D825" s="77" t="s">
        <v>48</v>
      </c>
      <c r="E825" s="49" t="s">
        <v>445</v>
      </c>
      <c r="F825" s="77"/>
      <c r="G825" s="61">
        <f>G826+G849+G852+G860+G870</f>
        <v>245269.69999999998</v>
      </c>
    </row>
    <row r="826" spans="1:7" ht="15.75">
      <c r="A826" s="48" t="s">
        <v>39</v>
      </c>
      <c r="B826" s="77"/>
      <c r="C826" s="77" t="s">
        <v>125</v>
      </c>
      <c r="D826" s="77" t="s">
        <v>48</v>
      </c>
      <c r="E826" s="83" t="s">
        <v>446</v>
      </c>
      <c r="F826" s="83"/>
      <c r="G826" s="61">
        <f>G832+G839+G847+G842+G844+G827+G835+G837</f>
        <v>13637.4</v>
      </c>
    </row>
    <row r="827" spans="1:7" ht="15.75">
      <c r="A827" s="48" t="s">
        <v>477</v>
      </c>
      <c r="B827" s="77"/>
      <c r="C827" s="77" t="s">
        <v>125</v>
      </c>
      <c r="D827" s="77" t="s">
        <v>48</v>
      </c>
      <c r="E827" s="82" t="s">
        <v>629</v>
      </c>
      <c r="F827" s="83"/>
      <c r="G827" s="61">
        <f>SUM(G828:G831)</f>
        <v>1536.8999999999999</v>
      </c>
    </row>
    <row r="828" spans="1:7" ht="47.25" hidden="1">
      <c r="A828" s="48" t="s">
        <v>55</v>
      </c>
      <c r="B828" s="77"/>
      <c r="C828" s="77" t="s">
        <v>125</v>
      </c>
      <c r="D828" s="77" t="s">
        <v>48</v>
      </c>
      <c r="E828" s="82" t="s">
        <v>629</v>
      </c>
      <c r="F828" s="83">
        <v>100</v>
      </c>
      <c r="G828" s="61"/>
    </row>
    <row r="829" spans="1:7" ht="31.5">
      <c r="A829" s="48" t="s">
        <v>56</v>
      </c>
      <c r="B829" s="77"/>
      <c r="C829" s="77" t="s">
        <v>125</v>
      </c>
      <c r="D829" s="77" t="s">
        <v>48</v>
      </c>
      <c r="E829" s="82" t="s">
        <v>629</v>
      </c>
      <c r="F829" s="83">
        <v>200</v>
      </c>
      <c r="G829" s="61">
        <v>849.3</v>
      </c>
    </row>
    <row r="830" spans="1:7" ht="15.75">
      <c r="A830" s="48" t="s">
        <v>46</v>
      </c>
      <c r="B830" s="77"/>
      <c r="C830" s="77" t="s">
        <v>125</v>
      </c>
      <c r="D830" s="77" t="s">
        <v>48</v>
      </c>
      <c r="E830" s="82" t="s">
        <v>629</v>
      </c>
      <c r="F830" s="83">
        <v>300</v>
      </c>
      <c r="G830" s="61">
        <v>124.8</v>
      </c>
    </row>
    <row r="831" spans="1:7" ht="30.75" customHeight="1">
      <c r="A831" s="48" t="s">
        <v>76</v>
      </c>
      <c r="B831" s="77"/>
      <c r="C831" s="77" t="s">
        <v>125</v>
      </c>
      <c r="D831" s="77" t="s">
        <v>48</v>
      </c>
      <c r="E831" s="82" t="s">
        <v>629</v>
      </c>
      <c r="F831" s="83">
        <v>600</v>
      </c>
      <c r="G831" s="61">
        <v>562.8</v>
      </c>
    </row>
    <row r="832" spans="1:7" ht="47.25" hidden="1">
      <c r="A832" s="48" t="s">
        <v>467</v>
      </c>
      <c r="B832" s="77"/>
      <c r="C832" s="77" t="s">
        <v>125</v>
      </c>
      <c r="D832" s="77" t="s">
        <v>48</v>
      </c>
      <c r="E832" s="83" t="s">
        <v>468</v>
      </c>
      <c r="F832" s="83"/>
      <c r="G832" s="61">
        <f>G833+G834</f>
        <v>0</v>
      </c>
    </row>
    <row r="833" spans="1:7" ht="31.5" hidden="1">
      <c r="A833" s="48" t="s">
        <v>56</v>
      </c>
      <c r="B833" s="77"/>
      <c r="C833" s="77" t="s">
        <v>125</v>
      </c>
      <c r="D833" s="77" t="s">
        <v>48</v>
      </c>
      <c r="E833" s="83" t="s">
        <v>468</v>
      </c>
      <c r="F833" s="83">
        <v>200</v>
      </c>
      <c r="G833" s="61">
        <v>0</v>
      </c>
    </row>
    <row r="834" spans="1:7" ht="31.5" hidden="1">
      <c r="A834" s="48" t="s">
        <v>76</v>
      </c>
      <c r="B834" s="77"/>
      <c r="C834" s="77" t="s">
        <v>125</v>
      </c>
      <c r="D834" s="77" t="s">
        <v>48</v>
      </c>
      <c r="E834" s="83" t="s">
        <v>468</v>
      </c>
      <c r="F834" s="83">
        <v>600</v>
      </c>
      <c r="G834" s="61">
        <v>0</v>
      </c>
    </row>
    <row r="835" spans="1:7" ht="18" customHeight="1">
      <c r="A835" s="48" t="s">
        <v>484</v>
      </c>
      <c r="B835" s="77"/>
      <c r="C835" s="77" t="s">
        <v>125</v>
      </c>
      <c r="D835" s="77" t="s">
        <v>48</v>
      </c>
      <c r="E835" s="82" t="s">
        <v>630</v>
      </c>
      <c r="F835" s="83"/>
      <c r="G835" s="61">
        <f>G836</f>
        <v>22.3</v>
      </c>
    </row>
    <row r="836" spans="1:7" ht="31.5">
      <c r="A836" s="48" t="s">
        <v>56</v>
      </c>
      <c r="B836" s="77"/>
      <c r="C836" s="77" t="s">
        <v>499</v>
      </c>
      <c r="D836" s="77" t="s">
        <v>48</v>
      </c>
      <c r="E836" s="82" t="s">
        <v>630</v>
      </c>
      <c r="F836" s="83">
        <v>200</v>
      </c>
      <c r="G836" s="61">
        <v>22.3</v>
      </c>
    </row>
    <row r="837" spans="1:7" ht="47.25">
      <c r="A837" s="48" t="s">
        <v>656</v>
      </c>
      <c r="B837" s="77"/>
      <c r="C837" s="77" t="s">
        <v>499</v>
      </c>
      <c r="D837" s="77" t="s">
        <v>48</v>
      </c>
      <c r="E837" s="82" t="s">
        <v>657</v>
      </c>
      <c r="F837" s="83"/>
      <c r="G837" s="61">
        <f>G838</f>
        <v>250</v>
      </c>
    </row>
    <row r="838" spans="1:7" ht="31.5">
      <c r="A838" s="48" t="s">
        <v>76</v>
      </c>
      <c r="B838" s="77"/>
      <c r="C838" s="77" t="s">
        <v>499</v>
      </c>
      <c r="D838" s="77" t="s">
        <v>48</v>
      </c>
      <c r="E838" s="82" t="s">
        <v>657</v>
      </c>
      <c r="F838" s="83">
        <v>600</v>
      </c>
      <c r="G838" s="61">
        <v>250</v>
      </c>
    </row>
    <row r="839" spans="1:7" ht="31.5" customHeight="1">
      <c r="A839" s="48" t="s">
        <v>469</v>
      </c>
      <c r="B839" s="77"/>
      <c r="C839" s="77" t="s">
        <v>125</v>
      </c>
      <c r="D839" s="77" t="s">
        <v>48</v>
      </c>
      <c r="E839" s="83" t="s">
        <v>470</v>
      </c>
      <c r="F839" s="83"/>
      <c r="G839" s="61">
        <f>G840+G841</f>
        <v>11788.2</v>
      </c>
    </row>
    <row r="840" spans="1:7" ht="31.5">
      <c r="A840" s="48" t="s">
        <v>56</v>
      </c>
      <c r="B840" s="77"/>
      <c r="C840" s="77" t="s">
        <v>125</v>
      </c>
      <c r="D840" s="77" t="s">
        <v>48</v>
      </c>
      <c r="E840" s="83" t="s">
        <v>470</v>
      </c>
      <c r="F840" s="83">
        <v>200</v>
      </c>
      <c r="G840" s="61">
        <v>6216</v>
      </c>
    </row>
    <row r="841" spans="1:7" ht="30.75" customHeight="1">
      <c r="A841" s="48" t="s">
        <v>76</v>
      </c>
      <c r="B841" s="77"/>
      <c r="C841" s="77" t="s">
        <v>125</v>
      </c>
      <c r="D841" s="77" t="s">
        <v>48</v>
      </c>
      <c r="E841" s="83" t="s">
        <v>470</v>
      </c>
      <c r="F841" s="83">
        <v>600</v>
      </c>
      <c r="G841" s="61">
        <v>5572.2</v>
      </c>
    </row>
    <row r="842" spans="1:7" ht="47.25" hidden="1">
      <c r="A842" s="48" t="s">
        <v>473</v>
      </c>
      <c r="B842" s="77"/>
      <c r="C842" s="77" t="s">
        <v>125</v>
      </c>
      <c r="D842" s="77" t="s">
        <v>48</v>
      </c>
      <c r="E842" s="83" t="s">
        <v>474</v>
      </c>
      <c r="F842" s="83"/>
      <c r="G842" s="61">
        <f>G843</f>
        <v>0</v>
      </c>
    </row>
    <row r="843" spans="1:7" ht="31.5" hidden="1">
      <c r="A843" s="48" t="s">
        <v>56</v>
      </c>
      <c r="B843" s="77"/>
      <c r="C843" s="77" t="s">
        <v>125</v>
      </c>
      <c r="D843" s="77" t="s">
        <v>48</v>
      </c>
      <c r="E843" s="83" t="s">
        <v>474</v>
      </c>
      <c r="F843" s="83">
        <v>200</v>
      </c>
      <c r="G843" s="61"/>
    </row>
    <row r="844" spans="1:7" ht="78.75" hidden="1">
      <c r="A844" s="48" t="s">
        <v>475</v>
      </c>
      <c r="B844" s="77"/>
      <c r="C844" s="77" t="s">
        <v>125</v>
      </c>
      <c r="D844" s="77" t="s">
        <v>48</v>
      </c>
      <c r="E844" s="83" t="s">
        <v>476</v>
      </c>
      <c r="F844" s="83"/>
      <c r="G844" s="61">
        <f>G845+G846</f>
        <v>0</v>
      </c>
    </row>
    <row r="845" spans="1:7" ht="31.5" hidden="1">
      <c r="A845" s="48" t="s">
        <v>56</v>
      </c>
      <c r="B845" s="77"/>
      <c r="C845" s="77" t="s">
        <v>125</v>
      </c>
      <c r="D845" s="77" t="s">
        <v>48</v>
      </c>
      <c r="E845" s="83" t="s">
        <v>476</v>
      </c>
      <c r="F845" s="83">
        <v>200</v>
      </c>
      <c r="G845" s="61"/>
    </row>
    <row r="846" spans="1:7" ht="14.25" customHeight="1" hidden="1">
      <c r="A846" s="48" t="s">
        <v>76</v>
      </c>
      <c r="B846" s="77"/>
      <c r="C846" s="77" t="s">
        <v>125</v>
      </c>
      <c r="D846" s="77" t="s">
        <v>48</v>
      </c>
      <c r="E846" s="83" t="s">
        <v>476</v>
      </c>
      <c r="F846" s="83">
        <v>600</v>
      </c>
      <c r="G846" s="61"/>
    </row>
    <row r="847" spans="1:7" ht="47.25">
      <c r="A847" s="48" t="s">
        <v>471</v>
      </c>
      <c r="B847" s="77"/>
      <c r="C847" s="77" t="s">
        <v>125</v>
      </c>
      <c r="D847" s="77" t="s">
        <v>48</v>
      </c>
      <c r="E847" s="83" t="s">
        <v>472</v>
      </c>
      <c r="F847" s="83"/>
      <c r="G847" s="61">
        <f>G848</f>
        <v>40</v>
      </c>
    </row>
    <row r="848" spans="1:7" ht="31.5">
      <c r="A848" s="48" t="s">
        <v>56</v>
      </c>
      <c r="B848" s="77"/>
      <c r="C848" s="77" t="s">
        <v>125</v>
      </c>
      <c r="D848" s="77" t="s">
        <v>48</v>
      </c>
      <c r="E848" s="83" t="s">
        <v>472</v>
      </c>
      <c r="F848" s="83">
        <v>200</v>
      </c>
      <c r="G848" s="61">
        <v>40</v>
      </c>
    </row>
    <row r="849" spans="1:7" ht="47.25">
      <c r="A849" s="48" t="s">
        <v>30</v>
      </c>
      <c r="B849" s="77"/>
      <c r="C849" s="77" t="s">
        <v>125</v>
      </c>
      <c r="D849" s="77" t="s">
        <v>48</v>
      </c>
      <c r="E849" s="83" t="s">
        <v>451</v>
      </c>
      <c r="F849" s="77"/>
      <c r="G849" s="61">
        <f>SUM(G850)</f>
        <v>110999.2</v>
      </c>
    </row>
    <row r="850" spans="1:7" ht="15.75">
      <c r="A850" s="48" t="s">
        <v>477</v>
      </c>
      <c r="B850" s="77"/>
      <c r="C850" s="77" t="s">
        <v>125</v>
      </c>
      <c r="D850" s="77" t="s">
        <v>48</v>
      </c>
      <c r="E850" s="83" t="s">
        <v>478</v>
      </c>
      <c r="F850" s="77"/>
      <c r="G850" s="61">
        <f>G851</f>
        <v>110999.2</v>
      </c>
    </row>
    <row r="851" spans="1:7" ht="31.5">
      <c r="A851" s="48" t="s">
        <v>76</v>
      </c>
      <c r="B851" s="77"/>
      <c r="C851" s="77" t="s">
        <v>125</v>
      </c>
      <c r="D851" s="77" t="s">
        <v>48</v>
      </c>
      <c r="E851" s="83" t="s">
        <v>478</v>
      </c>
      <c r="F851" s="77" t="s">
        <v>135</v>
      </c>
      <c r="G851" s="61">
        <v>110999.2</v>
      </c>
    </row>
    <row r="852" spans="1:7" ht="15.75">
      <c r="A852" s="48" t="s">
        <v>166</v>
      </c>
      <c r="B852" s="77"/>
      <c r="C852" s="77" t="s">
        <v>125</v>
      </c>
      <c r="D852" s="77" t="s">
        <v>48</v>
      </c>
      <c r="E852" s="49" t="s">
        <v>520</v>
      </c>
      <c r="F852" s="77"/>
      <c r="G852" s="61">
        <f>SUM(G853)</f>
        <v>231.1</v>
      </c>
    </row>
    <row r="853" spans="1:7" ht="15.75">
      <c r="A853" s="48" t="s">
        <v>477</v>
      </c>
      <c r="B853" s="77"/>
      <c r="C853" s="77" t="s">
        <v>125</v>
      </c>
      <c r="D853" s="77" t="s">
        <v>48</v>
      </c>
      <c r="E853" s="49" t="s">
        <v>479</v>
      </c>
      <c r="F853" s="77"/>
      <c r="G853" s="61">
        <f>G855+G857+G859</f>
        <v>231.1</v>
      </c>
    </row>
    <row r="854" spans="1:7" ht="15.75" hidden="1">
      <c r="A854" s="48" t="s">
        <v>456</v>
      </c>
      <c r="B854" s="77"/>
      <c r="C854" s="77" t="s">
        <v>125</v>
      </c>
      <c r="D854" s="77" t="s">
        <v>48</v>
      </c>
      <c r="E854" s="49" t="s">
        <v>480</v>
      </c>
      <c r="F854" s="77"/>
      <c r="G854" s="61">
        <f>G855</f>
        <v>0</v>
      </c>
    </row>
    <row r="855" spans="1:7" ht="31.5" hidden="1">
      <c r="A855" s="48" t="s">
        <v>76</v>
      </c>
      <c r="B855" s="77"/>
      <c r="C855" s="77" t="s">
        <v>125</v>
      </c>
      <c r="D855" s="77" t="s">
        <v>48</v>
      </c>
      <c r="E855" s="49" t="s">
        <v>480</v>
      </c>
      <c r="F855" s="77" t="s">
        <v>135</v>
      </c>
      <c r="G855" s="61"/>
    </row>
    <row r="856" spans="1:7" ht="31.5">
      <c r="A856" s="48" t="s">
        <v>458</v>
      </c>
      <c r="B856" s="77"/>
      <c r="C856" s="77" t="s">
        <v>125</v>
      </c>
      <c r="D856" s="77" t="s">
        <v>48</v>
      </c>
      <c r="E856" s="49" t="s">
        <v>481</v>
      </c>
      <c r="F856" s="77"/>
      <c r="G856" s="61">
        <f>G857</f>
        <v>79</v>
      </c>
    </row>
    <row r="857" spans="1:7" ht="31.5">
      <c r="A857" s="48" t="s">
        <v>76</v>
      </c>
      <c r="B857" s="77"/>
      <c r="C857" s="77" t="s">
        <v>125</v>
      </c>
      <c r="D857" s="77" t="s">
        <v>48</v>
      </c>
      <c r="E857" s="49" t="s">
        <v>481</v>
      </c>
      <c r="F857" s="77" t="s">
        <v>135</v>
      </c>
      <c r="G857" s="61">
        <v>79</v>
      </c>
    </row>
    <row r="858" spans="1:7" ht="15.75">
      <c r="A858" s="48" t="s">
        <v>460</v>
      </c>
      <c r="B858" s="77"/>
      <c r="C858" s="77" t="s">
        <v>125</v>
      </c>
      <c r="D858" s="77" t="s">
        <v>48</v>
      </c>
      <c r="E858" s="49" t="s">
        <v>482</v>
      </c>
      <c r="F858" s="77"/>
      <c r="G858" s="61">
        <f>G859</f>
        <v>152.1</v>
      </c>
    </row>
    <row r="859" spans="1:7" ht="31.5">
      <c r="A859" s="48" t="s">
        <v>76</v>
      </c>
      <c r="B859" s="77"/>
      <c r="C859" s="77" t="s">
        <v>125</v>
      </c>
      <c r="D859" s="77" t="s">
        <v>48</v>
      </c>
      <c r="E859" s="49" t="s">
        <v>482</v>
      </c>
      <c r="F859" s="77" t="s">
        <v>135</v>
      </c>
      <c r="G859" s="61">
        <v>152.1</v>
      </c>
    </row>
    <row r="860" spans="1:7" ht="31.5">
      <c r="A860" s="48" t="s">
        <v>49</v>
      </c>
      <c r="B860" s="77"/>
      <c r="C860" s="77" t="s">
        <v>125</v>
      </c>
      <c r="D860" s="77" t="s">
        <v>48</v>
      </c>
      <c r="E860" s="49" t="s">
        <v>462</v>
      </c>
      <c r="F860" s="49"/>
      <c r="G860" s="61">
        <f>SUM(G861+G866)</f>
        <v>113047.1</v>
      </c>
    </row>
    <row r="861" spans="1:7" ht="15.75">
      <c r="A861" s="48" t="s">
        <v>477</v>
      </c>
      <c r="B861" s="77"/>
      <c r="C861" s="77" t="s">
        <v>125</v>
      </c>
      <c r="D861" s="77" t="s">
        <v>48</v>
      </c>
      <c r="E861" s="49" t="s">
        <v>483</v>
      </c>
      <c r="F861" s="49"/>
      <c r="G861" s="61">
        <f>G862+G863+G865+G864</f>
        <v>105148.8</v>
      </c>
    </row>
    <row r="862" spans="1:7" ht="47.25">
      <c r="A862" s="67" t="s">
        <v>55</v>
      </c>
      <c r="B862" s="77"/>
      <c r="C862" s="77" t="s">
        <v>125</v>
      </c>
      <c r="D862" s="77" t="s">
        <v>48</v>
      </c>
      <c r="E862" s="49" t="s">
        <v>483</v>
      </c>
      <c r="F862" s="77" t="s">
        <v>99</v>
      </c>
      <c r="G862" s="61">
        <v>44118</v>
      </c>
    </row>
    <row r="863" spans="1:7" ht="31.5">
      <c r="A863" s="48" t="s">
        <v>56</v>
      </c>
      <c r="B863" s="77"/>
      <c r="C863" s="77" t="s">
        <v>125</v>
      </c>
      <c r="D863" s="77" t="s">
        <v>48</v>
      </c>
      <c r="E863" s="49" t="s">
        <v>483</v>
      </c>
      <c r="F863" s="77" t="s">
        <v>101</v>
      </c>
      <c r="G863" s="61">
        <v>47086.5</v>
      </c>
    </row>
    <row r="864" spans="1:7" ht="15.75">
      <c r="A864" s="179" t="s">
        <v>46</v>
      </c>
      <c r="B864" s="77"/>
      <c r="C864" s="77" t="s">
        <v>125</v>
      </c>
      <c r="D864" s="77" t="s">
        <v>48</v>
      </c>
      <c r="E864" s="49" t="s">
        <v>483</v>
      </c>
      <c r="F864" s="77" t="s">
        <v>109</v>
      </c>
      <c r="G864" s="61">
        <v>3</v>
      </c>
    </row>
    <row r="865" spans="1:7" ht="15.75">
      <c r="A865" s="48" t="s">
        <v>26</v>
      </c>
      <c r="B865" s="77"/>
      <c r="C865" s="77" t="s">
        <v>125</v>
      </c>
      <c r="D865" s="77" t="s">
        <v>48</v>
      </c>
      <c r="E865" s="49" t="s">
        <v>483</v>
      </c>
      <c r="F865" s="77" t="s">
        <v>106</v>
      </c>
      <c r="G865" s="61">
        <v>13941.3</v>
      </c>
    </row>
    <row r="866" spans="1:7" ht="15.75">
      <c r="A866" s="48" t="s">
        <v>484</v>
      </c>
      <c r="B866" s="77"/>
      <c r="C866" s="77" t="s">
        <v>125</v>
      </c>
      <c r="D866" s="77" t="s">
        <v>48</v>
      </c>
      <c r="E866" s="83" t="s">
        <v>485</v>
      </c>
      <c r="F866" s="83"/>
      <c r="G866" s="61">
        <f>G867+G868+G869</f>
        <v>7898.3</v>
      </c>
    </row>
    <row r="867" spans="1:7" ht="47.25">
      <c r="A867" s="67" t="s">
        <v>55</v>
      </c>
      <c r="B867" s="77"/>
      <c r="C867" s="77" t="s">
        <v>125</v>
      </c>
      <c r="D867" s="77" t="s">
        <v>48</v>
      </c>
      <c r="E867" s="83" t="s">
        <v>485</v>
      </c>
      <c r="F867" s="83">
        <v>100</v>
      </c>
      <c r="G867" s="61">
        <v>3349.9</v>
      </c>
    </row>
    <row r="868" spans="1:7" ht="31.5">
      <c r="A868" s="48" t="s">
        <v>56</v>
      </c>
      <c r="B868" s="77"/>
      <c r="C868" s="77" t="s">
        <v>125</v>
      </c>
      <c r="D868" s="77" t="s">
        <v>48</v>
      </c>
      <c r="E868" s="83" t="s">
        <v>485</v>
      </c>
      <c r="F868" s="83">
        <v>200</v>
      </c>
      <c r="G868" s="61">
        <v>3327.7</v>
      </c>
    </row>
    <row r="869" spans="1:7" ht="15.75">
      <c r="A869" s="48" t="s">
        <v>26</v>
      </c>
      <c r="B869" s="77"/>
      <c r="C869" s="77" t="s">
        <v>125</v>
      </c>
      <c r="D869" s="77" t="s">
        <v>48</v>
      </c>
      <c r="E869" s="83" t="s">
        <v>485</v>
      </c>
      <c r="F869" s="83">
        <v>800</v>
      </c>
      <c r="G869" s="61">
        <v>1220.7</v>
      </c>
    </row>
    <row r="870" spans="1:7" ht="31.5">
      <c r="A870" s="48" t="s">
        <v>464</v>
      </c>
      <c r="B870" s="77"/>
      <c r="C870" s="77" t="s">
        <v>125</v>
      </c>
      <c r="D870" s="77" t="s">
        <v>48</v>
      </c>
      <c r="E870" s="49" t="s">
        <v>465</v>
      </c>
      <c r="F870" s="77"/>
      <c r="G870" s="61">
        <f>G871</f>
        <v>7354.9</v>
      </c>
    </row>
    <row r="871" spans="1:7" ht="15.75">
      <c r="A871" s="48" t="s">
        <v>39</v>
      </c>
      <c r="B871" s="77"/>
      <c r="C871" s="77" t="s">
        <v>125</v>
      </c>
      <c r="D871" s="77" t="s">
        <v>48</v>
      </c>
      <c r="E871" s="49" t="s">
        <v>466</v>
      </c>
      <c r="F871" s="77"/>
      <c r="G871" s="61">
        <f>SUM(G872:G873)</f>
        <v>7354.9</v>
      </c>
    </row>
    <row r="872" spans="1:7" ht="31.5">
      <c r="A872" s="48" t="s">
        <v>56</v>
      </c>
      <c r="B872" s="77"/>
      <c r="C872" s="77" t="s">
        <v>125</v>
      </c>
      <c r="D872" s="77" t="s">
        <v>48</v>
      </c>
      <c r="E872" s="49" t="s">
        <v>466</v>
      </c>
      <c r="F872" s="77" t="s">
        <v>101</v>
      </c>
      <c r="G872" s="61">
        <v>5299.5</v>
      </c>
    </row>
    <row r="873" spans="1:7" ht="31.5">
      <c r="A873" s="48" t="s">
        <v>76</v>
      </c>
      <c r="B873" s="77"/>
      <c r="C873" s="77" t="s">
        <v>125</v>
      </c>
      <c r="D873" s="77" t="s">
        <v>48</v>
      </c>
      <c r="E873" s="49" t="s">
        <v>466</v>
      </c>
      <c r="F873" s="77" t="s">
        <v>135</v>
      </c>
      <c r="G873" s="61">
        <v>2055.4</v>
      </c>
    </row>
    <row r="874" spans="1:7" ht="15.75">
      <c r="A874" s="48" t="s">
        <v>126</v>
      </c>
      <c r="B874" s="77"/>
      <c r="C874" s="77" t="s">
        <v>125</v>
      </c>
      <c r="D874" s="77" t="s">
        <v>58</v>
      </c>
      <c r="E874" s="77"/>
      <c r="F874" s="77"/>
      <c r="G874" s="61">
        <f>G875</f>
        <v>66254.6</v>
      </c>
    </row>
    <row r="875" spans="1:7" ht="31.5">
      <c r="A875" s="48" t="s">
        <v>444</v>
      </c>
      <c r="B875" s="77"/>
      <c r="C875" s="77" t="s">
        <v>125</v>
      </c>
      <c r="D875" s="77" t="s">
        <v>58</v>
      </c>
      <c r="E875" s="127" t="s">
        <v>445</v>
      </c>
      <c r="F875" s="77"/>
      <c r="G875" s="61">
        <f>G879+G876+G882</f>
        <v>66254.6</v>
      </c>
    </row>
    <row r="876" spans="1:7" ht="15.75">
      <c r="A876" s="48" t="s">
        <v>39</v>
      </c>
      <c r="B876" s="77"/>
      <c r="C876" s="77" t="s">
        <v>125</v>
      </c>
      <c r="D876" s="77" t="s">
        <v>58</v>
      </c>
      <c r="E876" s="82" t="s">
        <v>446</v>
      </c>
      <c r="F876" s="77"/>
      <c r="G876" s="61">
        <f>G877</f>
        <v>10</v>
      </c>
    </row>
    <row r="877" spans="1:7" ht="15.75">
      <c r="A877" s="48" t="s">
        <v>486</v>
      </c>
      <c r="B877" s="77"/>
      <c r="C877" s="77" t="s">
        <v>125</v>
      </c>
      <c r="D877" s="77" t="s">
        <v>58</v>
      </c>
      <c r="E877" s="127" t="s">
        <v>631</v>
      </c>
      <c r="F877" s="77"/>
      <c r="G877" s="61">
        <f>G878</f>
        <v>10</v>
      </c>
    </row>
    <row r="878" spans="1:7" ht="31.5">
      <c r="A878" s="48" t="s">
        <v>76</v>
      </c>
      <c r="B878" s="77"/>
      <c r="C878" s="77" t="s">
        <v>125</v>
      </c>
      <c r="D878" s="77" t="s">
        <v>58</v>
      </c>
      <c r="E878" s="127" t="s">
        <v>631</v>
      </c>
      <c r="F878" s="77" t="s">
        <v>135</v>
      </c>
      <c r="G878" s="61">
        <v>10</v>
      </c>
    </row>
    <row r="879" spans="1:7" ht="47.25">
      <c r="A879" s="48" t="s">
        <v>30</v>
      </c>
      <c r="B879" s="77"/>
      <c r="C879" s="77" t="s">
        <v>125</v>
      </c>
      <c r="D879" s="77" t="s">
        <v>58</v>
      </c>
      <c r="E879" s="82" t="s">
        <v>451</v>
      </c>
      <c r="F879" s="77"/>
      <c r="G879" s="61">
        <f>SUM(G880)</f>
        <v>66244.6</v>
      </c>
    </row>
    <row r="880" spans="1:7" ht="15.75">
      <c r="A880" s="48" t="s">
        <v>486</v>
      </c>
      <c r="B880" s="77"/>
      <c r="C880" s="77" t="s">
        <v>125</v>
      </c>
      <c r="D880" s="77" t="s">
        <v>58</v>
      </c>
      <c r="E880" s="82" t="s">
        <v>487</v>
      </c>
      <c r="F880" s="77"/>
      <c r="G880" s="61">
        <f>G881</f>
        <v>66244.6</v>
      </c>
    </row>
    <row r="881" spans="1:7" ht="31.5">
      <c r="A881" s="48" t="s">
        <v>779</v>
      </c>
      <c r="B881" s="77"/>
      <c r="C881" s="77" t="s">
        <v>125</v>
      </c>
      <c r="D881" s="77" t="s">
        <v>58</v>
      </c>
      <c r="E881" s="82" t="s">
        <v>487</v>
      </c>
      <c r="F881" s="77" t="s">
        <v>135</v>
      </c>
      <c r="G881" s="61">
        <v>66244.6</v>
      </c>
    </row>
    <row r="882" spans="1:7" ht="31.5" hidden="1">
      <c r="A882" s="48" t="s">
        <v>464</v>
      </c>
      <c r="B882" s="77"/>
      <c r="C882" s="77" t="s">
        <v>125</v>
      </c>
      <c r="D882" s="77" t="s">
        <v>58</v>
      </c>
      <c r="E882" s="127" t="s">
        <v>465</v>
      </c>
      <c r="F882" s="77"/>
      <c r="G882" s="61">
        <f>G883</f>
        <v>0</v>
      </c>
    </row>
    <row r="883" spans="1:7" ht="15.75" hidden="1">
      <c r="A883" s="48" t="s">
        <v>39</v>
      </c>
      <c r="B883" s="77"/>
      <c r="C883" s="77" t="s">
        <v>125</v>
      </c>
      <c r="D883" s="77" t="s">
        <v>58</v>
      </c>
      <c r="E883" s="127" t="s">
        <v>466</v>
      </c>
      <c r="F883" s="77"/>
      <c r="G883" s="61">
        <f>SUM(G884)</f>
        <v>0</v>
      </c>
    </row>
    <row r="884" spans="1:7" ht="31.5" hidden="1">
      <c r="A884" s="48" t="s">
        <v>76</v>
      </c>
      <c r="B884" s="77"/>
      <c r="C884" s="77" t="s">
        <v>125</v>
      </c>
      <c r="D884" s="77" t="s">
        <v>58</v>
      </c>
      <c r="E884" s="127" t="s">
        <v>466</v>
      </c>
      <c r="F884" s="77" t="s">
        <v>135</v>
      </c>
      <c r="G884" s="61"/>
    </row>
    <row r="885" spans="1:7" ht="15.75">
      <c r="A885" s="48" t="s">
        <v>488</v>
      </c>
      <c r="B885" s="77"/>
      <c r="C885" s="77" t="s">
        <v>125</v>
      </c>
      <c r="D885" s="77" t="s">
        <v>125</v>
      </c>
      <c r="E885" s="77"/>
      <c r="F885" s="77"/>
      <c r="G885" s="61">
        <f>SUM(G892+G895+G898)+G886</f>
        <v>25449.199999999997</v>
      </c>
    </row>
    <row r="886" spans="1:7" ht="31.5">
      <c r="A886" s="159" t="s">
        <v>244</v>
      </c>
      <c r="B886" s="77"/>
      <c r="C886" s="77" t="s">
        <v>125</v>
      </c>
      <c r="D886" s="77" t="s">
        <v>125</v>
      </c>
      <c r="E886" s="125" t="s">
        <v>245</v>
      </c>
      <c r="F886" s="77"/>
      <c r="G886" s="61">
        <f>SUM(G887)</f>
        <v>16665.6</v>
      </c>
    </row>
    <row r="887" spans="1:7" ht="47.25">
      <c r="A887" s="159" t="s">
        <v>612</v>
      </c>
      <c r="B887" s="77"/>
      <c r="C887" s="77" t="s">
        <v>125</v>
      </c>
      <c r="D887" s="77" t="s">
        <v>125</v>
      </c>
      <c r="E887" s="125" t="s">
        <v>776</v>
      </c>
      <c r="F887" s="77"/>
      <c r="G887" s="61">
        <f>SUM(G888)</f>
        <v>16665.6</v>
      </c>
    </row>
    <row r="888" spans="1:7" ht="15.75">
      <c r="A888" s="159" t="s">
        <v>803</v>
      </c>
      <c r="B888" s="77"/>
      <c r="C888" s="77" t="s">
        <v>125</v>
      </c>
      <c r="D888" s="77" t="s">
        <v>125</v>
      </c>
      <c r="E888" s="77" t="s">
        <v>804</v>
      </c>
      <c r="F888" s="77"/>
      <c r="G888" s="61">
        <f>SUM(G889:G891)</f>
        <v>16665.6</v>
      </c>
    </row>
    <row r="889" spans="1:7" ht="31.5">
      <c r="A889" s="159" t="s">
        <v>56</v>
      </c>
      <c r="B889" s="77"/>
      <c r="C889" s="77" t="s">
        <v>125</v>
      </c>
      <c r="D889" s="77" t="s">
        <v>125</v>
      </c>
      <c r="E889" s="77" t="s">
        <v>804</v>
      </c>
      <c r="F889" s="160" t="s">
        <v>101</v>
      </c>
      <c r="G889" s="61">
        <v>2131.6</v>
      </c>
    </row>
    <row r="890" spans="1:7" ht="31.5">
      <c r="A890" s="159" t="s">
        <v>779</v>
      </c>
      <c r="B890" s="77"/>
      <c r="C890" s="77" t="s">
        <v>125</v>
      </c>
      <c r="D890" s="77" t="s">
        <v>125</v>
      </c>
      <c r="E890" s="77" t="s">
        <v>804</v>
      </c>
      <c r="F890" s="160" t="s">
        <v>135</v>
      </c>
      <c r="G890" s="61">
        <v>4334.6</v>
      </c>
    </row>
    <row r="891" spans="1:7" ht="15.75">
      <c r="A891" s="159" t="s">
        <v>26</v>
      </c>
      <c r="B891" s="77"/>
      <c r="C891" s="77" t="s">
        <v>125</v>
      </c>
      <c r="D891" s="77" t="s">
        <v>125</v>
      </c>
      <c r="E891" s="77" t="s">
        <v>804</v>
      </c>
      <c r="F891" s="160" t="s">
        <v>106</v>
      </c>
      <c r="G891" s="61">
        <v>10199.4</v>
      </c>
    </row>
    <row r="892" spans="1:7" ht="31.5">
      <c r="A892" s="48" t="s">
        <v>489</v>
      </c>
      <c r="B892" s="50"/>
      <c r="C892" s="50" t="s">
        <v>125</v>
      </c>
      <c r="D892" s="50" t="s">
        <v>125</v>
      </c>
      <c r="E892" s="50" t="s">
        <v>275</v>
      </c>
      <c r="F892" s="50"/>
      <c r="G892" s="51">
        <f>G893</f>
        <v>78</v>
      </c>
    </row>
    <row r="893" spans="1:7" ht="15.75">
      <c r="A893" s="48" t="s">
        <v>39</v>
      </c>
      <c r="B893" s="50"/>
      <c r="C893" s="50" t="s">
        <v>125</v>
      </c>
      <c r="D893" s="50" t="s">
        <v>125</v>
      </c>
      <c r="E893" s="50" t="s">
        <v>490</v>
      </c>
      <c r="F893" s="50"/>
      <c r="G893" s="51">
        <f>SUM(G894)</f>
        <v>78</v>
      </c>
    </row>
    <row r="894" spans="1:7" ht="31.5">
      <c r="A894" s="48" t="s">
        <v>56</v>
      </c>
      <c r="B894" s="50"/>
      <c r="C894" s="50" t="s">
        <v>125</v>
      </c>
      <c r="D894" s="50" t="s">
        <v>125</v>
      </c>
      <c r="E894" s="50" t="s">
        <v>490</v>
      </c>
      <c r="F894" s="50" t="s">
        <v>101</v>
      </c>
      <c r="G894" s="51">
        <v>78</v>
      </c>
    </row>
    <row r="895" spans="1:7" ht="47.25">
      <c r="A895" s="48" t="s">
        <v>492</v>
      </c>
      <c r="B895" s="50"/>
      <c r="C895" s="50" t="s">
        <v>125</v>
      </c>
      <c r="D895" s="50" t="s">
        <v>125</v>
      </c>
      <c r="E895" s="50" t="s">
        <v>493</v>
      </c>
      <c r="F895" s="50"/>
      <c r="G895" s="51">
        <f>G896</f>
        <v>78.5</v>
      </c>
    </row>
    <row r="896" spans="1:7" ht="15.75">
      <c r="A896" s="48" t="s">
        <v>39</v>
      </c>
      <c r="B896" s="50"/>
      <c r="C896" s="50" t="s">
        <v>125</v>
      </c>
      <c r="D896" s="50" t="s">
        <v>125</v>
      </c>
      <c r="E896" s="50" t="s">
        <v>494</v>
      </c>
      <c r="F896" s="50"/>
      <c r="G896" s="51">
        <f>SUM(G897)</f>
        <v>78.5</v>
      </c>
    </row>
    <row r="897" spans="1:7" ht="31.5">
      <c r="A897" s="48" t="s">
        <v>56</v>
      </c>
      <c r="B897" s="50"/>
      <c r="C897" s="50" t="s">
        <v>125</v>
      </c>
      <c r="D897" s="50" t="s">
        <v>125</v>
      </c>
      <c r="E897" s="50" t="s">
        <v>494</v>
      </c>
      <c r="F897" s="50" t="s">
        <v>101</v>
      </c>
      <c r="G897" s="51">
        <v>78.5</v>
      </c>
    </row>
    <row r="898" spans="1:7" ht="31.5">
      <c r="A898" s="48" t="s">
        <v>444</v>
      </c>
      <c r="B898" s="50"/>
      <c r="C898" s="50" t="s">
        <v>125</v>
      </c>
      <c r="D898" s="50" t="s">
        <v>125</v>
      </c>
      <c r="E898" s="49" t="s">
        <v>445</v>
      </c>
      <c r="F898" s="50"/>
      <c r="G898" s="51">
        <f>G899+G907</f>
        <v>8627.099999999999</v>
      </c>
    </row>
    <row r="899" spans="1:7" ht="15.75">
      <c r="A899" s="48" t="s">
        <v>39</v>
      </c>
      <c r="B899" s="50"/>
      <c r="C899" s="50" t="s">
        <v>125</v>
      </c>
      <c r="D899" s="50" t="s">
        <v>125</v>
      </c>
      <c r="E899" s="49" t="s">
        <v>446</v>
      </c>
      <c r="F899" s="50"/>
      <c r="G899" s="51">
        <f>SUM(G900+G903)</f>
        <v>6000</v>
      </c>
    </row>
    <row r="900" spans="1:7" ht="15.75">
      <c r="A900" s="122" t="s">
        <v>496</v>
      </c>
      <c r="B900" s="77"/>
      <c r="C900" s="77" t="s">
        <v>125</v>
      </c>
      <c r="D900" s="77" t="s">
        <v>125</v>
      </c>
      <c r="E900" s="77" t="s">
        <v>497</v>
      </c>
      <c r="F900" s="50"/>
      <c r="G900" s="51">
        <f>SUM(G901:G902)</f>
        <v>3043.8</v>
      </c>
    </row>
    <row r="901" spans="1:7" ht="31.5">
      <c r="A901" s="48" t="s">
        <v>56</v>
      </c>
      <c r="B901" s="50"/>
      <c r="C901" s="50" t="s">
        <v>125</v>
      </c>
      <c r="D901" s="50" t="s">
        <v>125</v>
      </c>
      <c r="E901" s="83" t="s">
        <v>497</v>
      </c>
      <c r="F901" s="50" t="s">
        <v>101</v>
      </c>
      <c r="G901" s="51">
        <v>1114.6</v>
      </c>
    </row>
    <row r="902" spans="1:7" ht="31.5">
      <c r="A902" s="159" t="s">
        <v>779</v>
      </c>
      <c r="B902" s="160"/>
      <c r="C902" s="160" t="s">
        <v>125</v>
      </c>
      <c r="D902" s="160" t="s">
        <v>125</v>
      </c>
      <c r="E902" s="83" t="s">
        <v>497</v>
      </c>
      <c r="F902" s="160" t="s">
        <v>135</v>
      </c>
      <c r="G902" s="51">
        <v>1929.2</v>
      </c>
    </row>
    <row r="903" spans="1:7" ht="47.25">
      <c r="A903" s="48" t="s">
        <v>498</v>
      </c>
      <c r="B903" s="50"/>
      <c r="C903" s="50" t="s">
        <v>499</v>
      </c>
      <c r="D903" s="50" t="s">
        <v>125</v>
      </c>
      <c r="E903" s="49" t="s">
        <v>500</v>
      </c>
      <c r="F903" s="50"/>
      <c r="G903" s="51">
        <f>SUM(G904:G906)</f>
        <v>2956.2000000000003</v>
      </c>
    </row>
    <row r="904" spans="1:7" ht="31.5">
      <c r="A904" s="48" t="s">
        <v>56</v>
      </c>
      <c r="B904" s="50"/>
      <c r="C904" s="50" t="s">
        <v>499</v>
      </c>
      <c r="D904" s="50" t="s">
        <v>125</v>
      </c>
      <c r="E904" s="49" t="s">
        <v>500</v>
      </c>
      <c r="F904" s="50" t="s">
        <v>101</v>
      </c>
      <c r="G904" s="51">
        <v>236.8</v>
      </c>
    </row>
    <row r="905" spans="1:7" ht="31.5">
      <c r="A905" s="154" t="s">
        <v>76</v>
      </c>
      <c r="B905" s="155"/>
      <c r="C905" s="155" t="s">
        <v>499</v>
      </c>
      <c r="D905" s="155" t="s">
        <v>125</v>
      </c>
      <c r="E905" s="49" t="s">
        <v>500</v>
      </c>
      <c r="F905" s="155" t="s">
        <v>135</v>
      </c>
      <c r="G905" s="51">
        <v>481.6</v>
      </c>
    </row>
    <row r="906" spans="1:7" ht="15.75">
      <c r="A906" s="154" t="s">
        <v>26</v>
      </c>
      <c r="B906" s="155"/>
      <c r="C906" s="155" t="s">
        <v>499</v>
      </c>
      <c r="D906" s="155" t="s">
        <v>125</v>
      </c>
      <c r="E906" s="49" t="s">
        <v>500</v>
      </c>
      <c r="F906" s="155" t="s">
        <v>106</v>
      </c>
      <c r="G906" s="51">
        <v>2237.8</v>
      </c>
    </row>
    <row r="907" spans="1:7" ht="31.5">
      <c r="A907" s="48" t="s">
        <v>501</v>
      </c>
      <c r="B907" s="77"/>
      <c r="C907" s="77" t="s">
        <v>125</v>
      </c>
      <c r="D907" s="77" t="s">
        <v>125</v>
      </c>
      <c r="E907" s="77" t="s">
        <v>502</v>
      </c>
      <c r="F907" s="77"/>
      <c r="G907" s="61">
        <f>G908+G914</f>
        <v>2627.0999999999995</v>
      </c>
    </row>
    <row r="908" spans="1:7" ht="15.75">
      <c r="A908" s="48" t="s">
        <v>39</v>
      </c>
      <c r="B908" s="77"/>
      <c r="C908" s="77" t="s">
        <v>125</v>
      </c>
      <c r="D908" s="77" t="s">
        <v>125</v>
      </c>
      <c r="E908" s="77" t="s">
        <v>503</v>
      </c>
      <c r="F908" s="77"/>
      <c r="G908" s="61">
        <f>G909+G912</f>
        <v>550.2</v>
      </c>
    </row>
    <row r="909" spans="1:7" ht="31.5">
      <c r="A909" s="48" t="s">
        <v>504</v>
      </c>
      <c r="B909" s="49"/>
      <c r="C909" s="77" t="s">
        <v>125</v>
      </c>
      <c r="D909" s="77" t="s">
        <v>125</v>
      </c>
      <c r="E909" s="77" t="s">
        <v>505</v>
      </c>
      <c r="F909" s="77"/>
      <c r="G909" s="61">
        <f>SUM(G910:G911)</f>
        <v>250.2</v>
      </c>
    </row>
    <row r="910" spans="1:7" ht="31.5">
      <c r="A910" s="48" t="s">
        <v>56</v>
      </c>
      <c r="B910" s="49"/>
      <c r="C910" s="77" t="s">
        <v>125</v>
      </c>
      <c r="D910" s="77" t="s">
        <v>125</v>
      </c>
      <c r="E910" s="77" t="s">
        <v>505</v>
      </c>
      <c r="F910" s="77" t="s">
        <v>101</v>
      </c>
      <c r="G910" s="61">
        <v>119.7</v>
      </c>
    </row>
    <row r="911" spans="1:7" ht="31.5">
      <c r="A911" s="159" t="s">
        <v>76</v>
      </c>
      <c r="B911" s="49"/>
      <c r="C911" s="77" t="s">
        <v>125</v>
      </c>
      <c r="D911" s="77" t="s">
        <v>125</v>
      </c>
      <c r="E911" s="77" t="s">
        <v>505</v>
      </c>
      <c r="F911" s="77" t="s">
        <v>135</v>
      </c>
      <c r="G911" s="61">
        <v>130.5</v>
      </c>
    </row>
    <row r="912" spans="1:7" ht="63">
      <c r="A912" s="48" t="s">
        <v>506</v>
      </c>
      <c r="B912" s="77"/>
      <c r="C912" s="77" t="s">
        <v>125</v>
      </c>
      <c r="D912" s="77" t="s">
        <v>125</v>
      </c>
      <c r="E912" s="83" t="s">
        <v>507</v>
      </c>
      <c r="F912" s="77"/>
      <c r="G912" s="61">
        <v>300</v>
      </c>
    </row>
    <row r="913" spans="1:7" ht="31.5">
      <c r="A913" s="48" t="s">
        <v>56</v>
      </c>
      <c r="B913" s="77"/>
      <c r="C913" s="77" t="s">
        <v>125</v>
      </c>
      <c r="D913" s="77" t="s">
        <v>125</v>
      </c>
      <c r="E913" s="83" t="s">
        <v>507</v>
      </c>
      <c r="F913" s="77" t="s">
        <v>101</v>
      </c>
      <c r="G913" s="61">
        <v>300</v>
      </c>
    </row>
    <row r="914" spans="1:7" ht="31.5">
      <c r="A914" s="48" t="s">
        <v>49</v>
      </c>
      <c r="B914" s="77"/>
      <c r="C914" s="77" t="s">
        <v>125</v>
      </c>
      <c r="D914" s="77" t="s">
        <v>125</v>
      </c>
      <c r="E914" s="49" t="s">
        <v>508</v>
      </c>
      <c r="F914" s="77"/>
      <c r="G914" s="61">
        <f>SUM(G915)</f>
        <v>2076.8999999999996</v>
      </c>
    </row>
    <row r="915" spans="1:7" ht="15.75">
      <c r="A915" s="52" t="s">
        <v>509</v>
      </c>
      <c r="B915" s="77"/>
      <c r="C915" s="77" t="s">
        <v>125</v>
      </c>
      <c r="D915" s="77" t="s">
        <v>125</v>
      </c>
      <c r="E915" s="49" t="s">
        <v>510</v>
      </c>
      <c r="F915" s="77"/>
      <c r="G915" s="61">
        <f>G916+G917+G918</f>
        <v>2076.8999999999996</v>
      </c>
    </row>
    <row r="916" spans="1:7" ht="47.25">
      <c r="A916" s="67" t="s">
        <v>55</v>
      </c>
      <c r="B916" s="77"/>
      <c r="C916" s="77" t="s">
        <v>125</v>
      </c>
      <c r="D916" s="77" t="s">
        <v>125</v>
      </c>
      <c r="E916" s="49" t="s">
        <v>510</v>
      </c>
      <c r="F916" s="77" t="s">
        <v>99</v>
      </c>
      <c r="G916" s="61">
        <v>1890</v>
      </c>
    </row>
    <row r="917" spans="1:7" ht="31.5">
      <c r="A917" s="48" t="s">
        <v>56</v>
      </c>
      <c r="B917" s="77"/>
      <c r="C917" s="77" t="s">
        <v>125</v>
      </c>
      <c r="D917" s="77" t="s">
        <v>125</v>
      </c>
      <c r="E917" s="49" t="s">
        <v>510</v>
      </c>
      <c r="F917" s="77" t="s">
        <v>101</v>
      </c>
      <c r="G917" s="61">
        <v>183.7</v>
      </c>
    </row>
    <row r="918" spans="1:7" ht="15.75">
      <c r="A918" s="48" t="s">
        <v>26</v>
      </c>
      <c r="B918" s="77"/>
      <c r="C918" s="77" t="s">
        <v>125</v>
      </c>
      <c r="D918" s="77" t="s">
        <v>125</v>
      </c>
      <c r="E918" s="49" t="s">
        <v>510</v>
      </c>
      <c r="F918" s="77" t="s">
        <v>106</v>
      </c>
      <c r="G918" s="61">
        <v>3.2</v>
      </c>
    </row>
    <row r="919" spans="1:7" ht="15.75">
      <c r="A919" s="48" t="s">
        <v>203</v>
      </c>
      <c r="B919" s="49"/>
      <c r="C919" s="77" t="s">
        <v>125</v>
      </c>
      <c r="D919" s="77" t="s">
        <v>192</v>
      </c>
      <c r="E919" s="49"/>
      <c r="F919" s="49"/>
      <c r="G919" s="51">
        <f>G928+G920</f>
        <v>49550.59999999999</v>
      </c>
    </row>
    <row r="920" spans="1:7" ht="31.5">
      <c r="A920" s="48" t="s">
        <v>244</v>
      </c>
      <c r="B920" s="77"/>
      <c r="C920" s="77" t="s">
        <v>125</v>
      </c>
      <c r="D920" s="77" t="s">
        <v>192</v>
      </c>
      <c r="E920" s="125" t="s">
        <v>245</v>
      </c>
      <c r="F920" s="121"/>
      <c r="G920" s="51">
        <f>G924+G921</f>
        <v>7037.6</v>
      </c>
    </row>
    <row r="921" spans="1:7" ht="47.25">
      <c r="A921" s="159" t="s">
        <v>612</v>
      </c>
      <c r="B921" s="77"/>
      <c r="C921" s="77" t="s">
        <v>125</v>
      </c>
      <c r="D921" s="77" t="s">
        <v>192</v>
      </c>
      <c r="E921" s="125" t="s">
        <v>776</v>
      </c>
      <c r="F921" s="121"/>
      <c r="G921" s="51">
        <f>SUM(G922)</f>
        <v>1631.4</v>
      </c>
    </row>
    <row r="922" spans="1:7" ht="15.75">
      <c r="A922" s="159" t="s">
        <v>805</v>
      </c>
      <c r="B922" s="77"/>
      <c r="C922" s="77" t="s">
        <v>125</v>
      </c>
      <c r="D922" s="77" t="s">
        <v>192</v>
      </c>
      <c r="E922" s="125" t="s">
        <v>806</v>
      </c>
      <c r="F922" s="121"/>
      <c r="G922" s="51">
        <f>SUM(G923)</f>
        <v>1631.4</v>
      </c>
    </row>
    <row r="923" spans="1:7" ht="31.5">
      <c r="A923" s="159" t="s">
        <v>56</v>
      </c>
      <c r="B923" s="77"/>
      <c r="C923" s="77" t="s">
        <v>125</v>
      </c>
      <c r="D923" s="77" t="s">
        <v>192</v>
      </c>
      <c r="E923" s="125" t="s">
        <v>806</v>
      </c>
      <c r="F923" s="121">
        <v>200</v>
      </c>
      <c r="G923" s="51">
        <v>1631.4</v>
      </c>
    </row>
    <row r="924" spans="1:7" ht="78.75">
      <c r="A924" s="48" t="s">
        <v>632</v>
      </c>
      <c r="B924" s="77"/>
      <c r="C924" s="77" t="s">
        <v>125</v>
      </c>
      <c r="D924" s="77" t="s">
        <v>192</v>
      </c>
      <c r="E924" s="82" t="s">
        <v>247</v>
      </c>
      <c r="F924" s="77"/>
      <c r="G924" s="51">
        <f>G925</f>
        <v>5406.200000000001</v>
      </c>
    </row>
    <row r="925" spans="1:7" ht="63">
      <c r="A925" s="48" t="s">
        <v>633</v>
      </c>
      <c r="B925" s="77"/>
      <c r="C925" s="77" t="s">
        <v>125</v>
      </c>
      <c r="D925" s="77" t="s">
        <v>192</v>
      </c>
      <c r="E925" s="82" t="s">
        <v>634</v>
      </c>
      <c r="F925" s="77"/>
      <c r="G925" s="51">
        <f>G926+G927</f>
        <v>5406.200000000001</v>
      </c>
    </row>
    <row r="926" spans="1:7" ht="47.25">
      <c r="A926" s="48" t="s">
        <v>55</v>
      </c>
      <c r="B926" s="77"/>
      <c r="C926" s="77" t="s">
        <v>125</v>
      </c>
      <c r="D926" s="77" t="s">
        <v>192</v>
      </c>
      <c r="E926" s="82" t="s">
        <v>634</v>
      </c>
      <c r="F926" s="77" t="s">
        <v>99</v>
      </c>
      <c r="G926" s="51">
        <v>4769.6</v>
      </c>
    </row>
    <row r="927" spans="1:7" ht="31.5">
      <c r="A927" s="48" t="s">
        <v>56</v>
      </c>
      <c r="B927" s="77"/>
      <c r="C927" s="77" t="s">
        <v>125</v>
      </c>
      <c r="D927" s="77" t="s">
        <v>192</v>
      </c>
      <c r="E927" s="82" t="s">
        <v>634</v>
      </c>
      <c r="F927" s="77" t="s">
        <v>101</v>
      </c>
      <c r="G927" s="51">
        <v>636.6</v>
      </c>
    </row>
    <row r="928" spans="1:7" ht="31.5">
      <c r="A928" s="48" t="s">
        <v>444</v>
      </c>
      <c r="B928" s="50"/>
      <c r="C928" s="50" t="s">
        <v>125</v>
      </c>
      <c r="D928" s="50" t="s">
        <v>192</v>
      </c>
      <c r="E928" s="49" t="s">
        <v>445</v>
      </c>
      <c r="F928" s="49"/>
      <c r="G928" s="51">
        <f>SUM(G937)+G929+G934</f>
        <v>42512.99999999999</v>
      </c>
    </row>
    <row r="929" spans="1:7" ht="15.75">
      <c r="A929" s="48" t="s">
        <v>39</v>
      </c>
      <c r="B929" s="77"/>
      <c r="C929" s="77" t="s">
        <v>125</v>
      </c>
      <c r="D929" s="77" t="s">
        <v>192</v>
      </c>
      <c r="E929" s="82" t="s">
        <v>446</v>
      </c>
      <c r="F929" s="77"/>
      <c r="G929" s="61">
        <f>SUM(G930+G932)</f>
        <v>375</v>
      </c>
    </row>
    <row r="930" spans="1:7" ht="15.75">
      <c r="A930" s="48" t="s">
        <v>636</v>
      </c>
      <c r="B930" s="77"/>
      <c r="C930" s="77" t="s">
        <v>125</v>
      </c>
      <c r="D930" s="77" t="s">
        <v>192</v>
      </c>
      <c r="E930" s="82" t="s">
        <v>643</v>
      </c>
      <c r="F930" s="77"/>
      <c r="G930" s="61">
        <f>G931</f>
        <v>195</v>
      </c>
    </row>
    <row r="931" spans="1:7" ht="31.5">
      <c r="A931" s="48" t="s">
        <v>56</v>
      </c>
      <c r="B931" s="77"/>
      <c r="C931" s="77" t="s">
        <v>125</v>
      </c>
      <c r="D931" s="77" t="s">
        <v>192</v>
      </c>
      <c r="E931" s="82" t="s">
        <v>643</v>
      </c>
      <c r="F931" s="77" t="s">
        <v>101</v>
      </c>
      <c r="G931" s="61">
        <v>195</v>
      </c>
    </row>
    <row r="932" spans="1:7" ht="47.25">
      <c r="A932" s="48" t="s">
        <v>473</v>
      </c>
      <c r="B932" s="77"/>
      <c r="C932" s="77" t="s">
        <v>125</v>
      </c>
      <c r="D932" s="77" t="s">
        <v>192</v>
      </c>
      <c r="E932" s="82" t="s">
        <v>474</v>
      </c>
      <c r="F932" s="83"/>
      <c r="G932" s="61">
        <f>G933</f>
        <v>180</v>
      </c>
    </row>
    <row r="933" spans="1:7" ht="31.5">
      <c r="A933" s="48" t="s">
        <v>56</v>
      </c>
      <c r="B933" s="77"/>
      <c r="C933" s="77" t="s">
        <v>125</v>
      </c>
      <c r="D933" s="77" t="s">
        <v>192</v>
      </c>
      <c r="E933" s="82" t="s">
        <v>474</v>
      </c>
      <c r="F933" s="83">
        <v>200</v>
      </c>
      <c r="G933" s="61">
        <v>180</v>
      </c>
    </row>
    <row r="934" spans="1:7" ht="31.5">
      <c r="A934" s="159" t="s">
        <v>464</v>
      </c>
      <c r="B934" s="77"/>
      <c r="C934" s="77" t="s">
        <v>125</v>
      </c>
      <c r="D934" s="77" t="s">
        <v>192</v>
      </c>
      <c r="E934" s="49" t="s">
        <v>465</v>
      </c>
      <c r="F934" s="83"/>
      <c r="G934" s="61">
        <f>SUM(G935)</f>
        <v>250</v>
      </c>
    </row>
    <row r="935" spans="1:7" ht="15.75">
      <c r="A935" s="159" t="s">
        <v>39</v>
      </c>
      <c r="B935" s="77"/>
      <c r="C935" s="77" t="s">
        <v>125</v>
      </c>
      <c r="D935" s="77" t="s">
        <v>192</v>
      </c>
      <c r="E935" s="49" t="s">
        <v>466</v>
      </c>
      <c r="F935" s="83"/>
      <c r="G935" s="61">
        <f>SUM(G936)</f>
        <v>250</v>
      </c>
    </row>
    <row r="936" spans="1:7" ht="31.5">
      <c r="A936" s="159" t="s">
        <v>56</v>
      </c>
      <c r="B936" s="77"/>
      <c r="C936" s="77" t="s">
        <v>125</v>
      </c>
      <c r="D936" s="77" t="s">
        <v>192</v>
      </c>
      <c r="E936" s="49" t="s">
        <v>466</v>
      </c>
      <c r="F936" s="83">
        <v>200</v>
      </c>
      <c r="G936" s="61">
        <v>250</v>
      </c>
    </row>
    <row r="937" spans="1:7" ht="31.5">
      <c r="A937" s="48" t="s">
        <v>511</v>
      </c>
      <c r="B937" s="77"/>
      <c r="C937" s="77" t="s">
        <v>125</v>
      </c>
      <c r="D937" s="77" t="s">
        <v>192</v>
      </c>
      <c r="E937" s="127" t="s">
        <v>512</v>
      </c>
      <c r="F937" s="77"/>
      <c r="G937" s="61">
        <f>SUM(G938)</f>
        <v>41887.99999999999</v>
      </c>
    </row>
    <row r="938" spans="1:7" ht="31.5">
      <c r="A938" s="48" t="s">
        <v>49</v>
      </c>
      <c r="B938" s="77"/>
      <c r="C938" s="77" t="s">
        <v>125</v>
      </c>
      <c r="D938" s="77" t="s">
        <v>192</v>
      </c>
      <c r="E938" s="83" t="s">
        <v>513</v>
      </c>
      <c r="F938" s="77"/>
      <c r="G938" s="61">
        <f>SUM(G939)</f>
        <v>41887.99999999999</v>
      </c>
    </row>
    <row r="939" spans="1:7" ht="15.75">
      <c r="A939" s="122" t="s">
        <v>521</v>
      </c>
      <c r="B939" s="77"/>
      <c r="C939" s="77" t="s">
        <v>125</v>
      </c>
      <c r="D939" s="77" t="s">
        <v>192</v>
      </c>
      <c r="E939" s="83" t="s">
        <v>514</v>
      </c>
      <c r="F939" s="77"/>
      <c r="G939" s="61">
        <f>G940+G941+G942</f>
        <v>41887.99999999999</v>
      </c>
    </row>
    <row r="940" spans="1:7" ht="47.25">
      <c r="A940" s="67" t="s">
        <v>55</v>
      </c>
      <c r="B940" s="77"/>
      <c r="C940" s="77" t="s">
        <v>125</v>
      </c>
      <c r="D940" s="77" t="s">
        <v>192</v>
      </c>
      <c r="E940" s="83" t="s">
        <v>514</v>
      </c>
      <c r="F940" s="77" t="s">
        <v>99</v>
      </c>
      <c r="G940" s="61">
        <v>37029.2</v>
      </c>
    </row>
    <row r="941" spans="1:7" ht="31.5">
      <c r="A941" s="48" t="s">
        <v>56</v>
      </c>
      <c r="B941" s="77"/>
      <c r="C941" s="77" t="s">
        <v>125</v>
      </c>
      <c r="D941" s="77" t="s">
        <v>192</v>
      </c>
      <c r="E941" s="83" t="s">
        <v>514</v>
      </c>
      <c r="F941" s="77" t="s">
        <v>101</v>
      </c>
      <c r="G941" s="61">
        <v>4467.6</v>
      </c>
    </row>
    <row r="942" spans="1:7" ht="15.75">
      <c r="A942" s="48" t="s">
        <v>26</v>
      </c>
      <c r="B942" s="77"/>
      <c r="C942" s="77" t="s">
        <v>125</v>
      </c>
      <c r="D942" s="77" t="s">
        <v>192</v>
      </c>
      <c r="E942" s="83" t="s">
        <v>514</v>
      </c>
      <c r="F942" s="77" t="s">
        <v>106</v>
      </c>
      <c r="G942" s="61">
        <v>391.2</v>
      </c>
    </row>
    <row r="943" spans="1:7" ht="15.75">
      <c r="A943" s="48" t="s">
        <v>34</v>
      </c>
      <c r="B943" s="50"/>
      <c r="C943" s="50" t="s">
        <v>35</v>
      </c>
      <c r="D943" s="50" t="s">
        <v>36</v>
      </c>
      <c r="E943" s="49"/>
      <c r="F943" s="49"/>
      <c r="G943" s="51">
        <f>SUM(G944+G951+G969)</f>
        <v>63089.1</v>
      </c>
    </row>
    <row r="944" spans="1:7" ht="15.75">
      <c r="A944" s="48" t="s">
        <v>57</v>
      </c>
      <c r="B944" s="77"/>
      <c r="C944" s="77" t="s">
        <v>35</v>
      </c>
      <c r="D944" s="77" t="s">
        <v>58</v>
      </c>
      <c r="E944" s="82"/>
      <c r="F944" s="77"/>
      <c r="G944" s="61">
        <f>G945</f>
        <v>5159.900000000001</v>
      </c>
    </row>
    <row r="945" spans="1:7" ht="31.5">
      <c r="A945" s="48" t="s">
        <v>554</v>
      </c>
      <c r="B945" s="50"/>
      <c r="C945" s="50" t="s">
        <v>35</v>
      </c>
      <c r="D945" s="50" t="s">
        <v>58</v>
      </c>
      <c r="E945" s="127" t="s">
        <v>540</v>
      </c>
      <c r="F945" s="77"/>
      <c r="G945" s="61">
        <f>G946</f>
        <v>5159.900000000001</v>
      </c>
    </row>
    <row r="946" spans="1:7" ht="31.5">
      <c r="A946" s="48" t="s">
        <v>563</v>
      </c>
      <c r="B946" s="50"/>
      <c r="C946" s="50" t="s">
        <v>35</v>
      </c>
      <c r="D946" s="50" t="s">
        <v>58</v>
      </c>
      <c r="E946" s="127" t="s">
        <v>564</v>
      </c>
      <c r="F946" s="77"/>
      <c r="G946" s="61">
        <f>G947</f>
        <v>5159.900000000001</v>
      </c>
    </row>
    <row r="947" spans="1:7" ht="78.75">
      <c r="A947" s="48" t="s">
        <v>317</v>
      </c>
      <c r="B947" s="50"/>
      <c r="C947" s="50" t="s">
        <v>35</v>
      </c>
      <c r="D947" s="50" t="s">
        <v>58</v>
      </c>
      <c r="E947" s="50" t="s">
        <v>565</v>
      </c>
      <c r="F947" s="77"/>
      <c r="G947" s="61">
        <f>G948</f>
        <v>5159.900000000001</v>
      </c>
    </row>
    <row r="948" spans="1:7" ht="47.25">
      <c r="A948" s="48" t="s">
        <v>638</v>
      </c>
      <c r="B948" s="50"/>
      <c r="C948" s="50" t="s">
        <v>35</v>
      </c>
      <c r="D948" s="50" t="s">
        <v>58</v>
      </c>
      <c r="E948" s="127" t="s">
        <v>589</v>
      </c>
      <c r="F948" s="77"/>
      <c r="G948" s="61">
        <f>G949+G950</f>
        <v>5159.900000000001</v>
      </c>
    </row>
    <row r="949" spans="1:7" ht="15.75">
      <c r="A949" s="48" t="s">
        <v>46</v>
      </c>
      <c r="B949" s="50"/>
      <c r="C949" s="50" t="s">
        <v>35</v>
      </c>
      <c r="D949" s="50" t="s">
        <v>58</v>
      </c>
      <c r="E949" s="127" t="s">
        <v>589</v>
      </c>
      <c r="F949" s="50" t="s">
        <v>109</v>
      </c>
      <c r="G949" s="61">
        <v>4693.1</v>
      </c>
    </row>
    <row r="950" spans="1:7" ht="31.5">
      <c r="A950" s="48" t="s">
        <v>134</v>
      </c>
      <c r="B950" s="77"/>
      <c r="C950" s="50" t="s">
        <v>35</v>
      </c>
      <c r="D950" s="50" t="s">
        <v>58</v>
      </c>
      <c r="E950" s="127" t="s">
        <v>589</v>
      </c>
      <c r="F950" s="77" t="s">
        <v>135</v>
      </c>
      <c r="G950" s="61">
        <v>466.8</v>
      </c>
    </row>
    <row r="951" spans="1:7" ht="15.75">
      <c r="A951" s="48" t="s">
        <v>209</v>
      </c>
      <c r="B951" s="49"/>
      <c r="C951" s="77" t="s">
        <v>35</v>
      </c>
      <c r="D951" s="77" t="s">
        <v>17</v>
      </c>
      <c r="E951" s="127"/>
      <c r="F951" s="49"/>
      <c r="G951" s="51">
        <f>SUM(G952+G956+G963)</f>
        <v>57679.5</v>
      </c>
    </row>
    <row r="952" spans="1:7" ht="31.5">
      <c r="A952" s="48" t="s">
        <v>244</v>
      </c>
      <c r="B952" s="77"/>
      <c r="C952" s="77" t="s">
        <v>35</v>
      </c>
      <c r="D952" s="77" t="s">
        <v>17</v>
      </c>
      <c r="E952" s="126" t="s">
        <v>245</v>
      </c>
      <c r="F952" s="77"/>
      <c r="G952" s="51">
        <f>G953</f>
        <v>10524.4</v>
      </c>
    </row>
    <row r="953" spans="1:7" ht="78.75">
      <c r="A953" s="48" t="s">
        <v>632</v>
      </c>
      <c r="B953" s="77"/>
      <c r="C953" s="77" t="s">
        <v>35</v>
      </c>
      <c r="D953" s="77" t="s">
        <v>17</v>
      </c>
      <c r="E953" s="126" t="s">
        <v>247</v>
      </c>
      <c r="F953" s="49"/>
      <c r="G953" s="51">
        <f>G954</f>
        <v>10524.4</v>
      </c>
    </row>
    <row r="954" spans="1:7" ht="47.25">
      <c r="A954" s="48" t="s">
        <v>639</v>
      </c>
      <c r="B954" s="77"/>
      <c r="C954" s="77" t="s">
        <v>35</v>
      </c>
      <c r="D954" s="77" t="s">
        <v>17</v>
      </c>
      <c r="E954" s="126" t="s">
        <v>640</v>
      </c>
      <c r="F954" s="77"/>
      <c r="G954" s="51">
        <f>G955</f>
        <v>10524.4</v>
      </c>
    </row>
    <row r="955" spans="1:7" ht="15.75">
      <c r="A955" s="48" t="s">
        <v>46</v>
      </c>
      <c r="B955" s="77"/>
      <c r="C955" s="77" t="s">
        <v>35</v>
      </c>
      <c r="D955" s="77" t="s">
        <v>17</v>
      </c>
      <c r="E955" s="126" t="s">
        <v>640</v>
      </c>
      <c r="F955" s="77" t="s">
        <v>109</v>
      </c>
      <c r="G955" s="51">
        <v>10524.4</v>
      </c>
    </row>
    <row r="956" spans="1:7" ht="31.5">
      <c r="A956" s="48" t="s">
        <v>616</v>
      </c>
      <c r="B956" s="77"/>
      <c r="C956" s="77" t="s">
        <v>35</v>
      </c>
      <c r="D956" s="77" t="s">
        <v>17</v>
      </c>
      <c r="E956" s="125" t="s">
        <v>617</v>
      </c>
      <c r="F956" s="77"/>
      <c r="G956" s="51">
        <f>G960+G957</f>
        <v>44155.1</v>
      </c>
    </row>
    <row r="957" spans="1:7" ht="47.25">
      <c r="A957" s="159" t="s">
        <v>612</v>
      </c>
      <c r="B957" s="77"/>
      <c r="C957" s="77" t="s">
        <v>35</v>
      </c>
      <c r="D957" s="77" t="s">
        <v>17</v>
      </c>
      <c r="E957" s="125" t="s">
        <v>773</v>
      </c>
      <c r="F957" s="77"/>
      <c r="G957" s="51">
        <f>SUM(G958)</f>
        <v>12112.4</v>
      </c>
    </row>
    <row r="958" spans="1:7" ht="78.75">
      <c r="A958" s="159" t="s">
        <v>807</v>
      </c>
      <c r="B958" s="77"/>
      <c r="C958" s="77" t="s">
        <v>35</v>
      </c>
      <c r="D958" s="77" t="s">
        <v>17</v>
      </c>
      <c r="E958" s="125" t="s">
        <v>808</v>
      </c>
      <c r="F958" s="77"/>
      <c r="G958" s="51">
        <f>SUM(G959)</f>
        <v>12112.4</v>
      </c>
    </row>
    <row r="959" spans="1:7" ht="15.75">
      <c r="A959" s="159" t="s">
        <v>46</v>
      </c>
      <c r="B959" s="77"/>
      <c r="C959" s="77" t="s">
        <v>35</v>
      </c>
      <c r="D959" s="77" t="s">
        <v>17</v>
      </c>
      <c r="E959" s="125" t="s">
        <v>808</v>
      </c>
      <c r="F959" s="77" t="s">
        <v>109</v>
      </c>
      <c r="G959" s="51">
        <v>12112.4</v>
      </c>
    </row>
    <row r="960" spans="1:7" ht="78.75">
      <c r="A960" s="48" t="s">
        <v>632</v>
      </c>
      <c r="B960" s="77"/>
      <c r="C960" s="77" t="s">
        <v>35</v>
      </c>
      <c r="D960" s="77" t="s">
        <v>17</v>
      </c>
      <c r="E960" s="125" t="s">
        <v>619</v>
      </c>
      <c r="F960" s="77"/>
      <c r="G960" s="51">
        <f>G961</f>
        <v>32042.7</v>
      </c>
    </row>
    <row r="961" spans="1:7" ht="63">
      <c r="A961" s="48" t="s">
        <v>641</v>
      </c>
      <c r="B961" s="77"/>
      <c r="C961" s="77" t="s">
        <v>35</v>
      </c>
      <c r="D961" s="77" t="s">
        <v>17</v>
      </c>
      <c r="E961" s="126" t="s">
        <v>642</v>
      </c>
      <c r="F961" s="77"/>
      <c r="G961" s="51">
        <f>G962</f>
        <v>32042.7</v>
      </c>
    </row>
    <row r="962" spans="1:7" ht="15.75">
      <c r="A962" s="48" t="s">
        <v>46</v>
      </c>
      <c r="B962" s="50"/>
      <c r="C962" s="77" t="s">
        <v>35</v>
      </c>
      <c r="D962" s="77" t="s">
        <v>17</v>
      </c>
      <c r="E962" s="126" t="s">
        <v>642</v>
      </c>
      <c r="F962" s="77">
        <v>300</v>
      </c>
      <c r="G962" s="51">
        <v>32042.7</v>
      </c>
    </row>
    <row r="963" spans="1:7" ht="31.5">
      <c r="A963" s="48" t="s">
        <v>444</v>
      </c>
      <c r="B963" s="49"/>
      <c r="C963" s="77" t="s">
        <v>35</v>
      </c>
      <c r="D963" s="77" t="s">
        <v>17</v>
      </c>
      <c r="E963" s="49" t="s">
        <v>445</v>
      </c>
      <c r="F963" s="49"/>
      <c r="G963" s="51">
        <f>SUM(G964)</f>
        <v>3000</v>
      </c>
    </row>
    <row r="964" spans="1:7" ht="15" customHeight="1">
      <c r="A964" s="48" t="s">
        <v>39</v>
      </c>
      <c r="B964" s="77"/>
      <c r="C964" s="77" t="s">
        <v>35</v>
      </c>
      <c r="D964" s="77" t="s">
        <v>17</v>
      </c>
      <c r="E964" s="83" t="s">
        <v>446</v>
      </c>
      <c r="F964" s="77"/>
      <c r="G964" s="61">
        <f>SUM(G965+G967)</f>
        <v>3000</v>
      </c>
    </row>
    <row r="965" spans="1:7" ht="31.5" hidden="1">
      <c r="A965" s="48" t="s">
        <v>447</v>
      </c>
      <c r="B965" s="77"/>
      <c r="C965" s="77" t="s">
        <v>35</v>
      </c>
      <c r="D965" s="77" t="s">
        <v>17</v>
      </c>
      <c r="E965" s="49" t="s">
        <v>448</v>
      </c>
      <c r="F965" s="77"/>
      <c r="G965" s="61">
        <f>G966</f>
        <v>0</v>
      </c>
    </row>
    <row r="966" spans="1:7" ht="15.75" hidden="1">
      <c r="A966" s="48" t="s">
        <v>46</v>
      </c>
      <c r="B966" s="77"/>
      <c r="C966" s="77" t="s">
        <v>35</v>
      </c>
      <c r="D966" s="77" t="s">
        <v>17</v>
      </c>
      <c r="E966" s="49" t="s">
        <v>448</v>
      </c>
      <c r="F966" s="77" t="s">
        <v>109</v>
      </c>
      <c r="G966" s="61">
        <v>0</v>
      </c>
    </row>
    <row r="967" spans="1:7" ht="110.25">
      <c r="A967" s="48" t="s">
        <v>515</v>
      </c>
      <c r="B967" s="77"/>
      <c r="C967" s="77" t="s">
        <v>35</v>
      </c>
      <c r="D967" s="77" t="s">
        <v>17</v>
      </c>
      <c r="E967" s="49" t="s">
        <v>516</v>
      </c>
      <c r="F967" s="77"/>
      <c r="G967" s="61">
        <f>G968</f>
        <v>3000</v>
      </c>
    </row>
    <row r="968" spans="1:7" s="117" customFormat="1" ht="15.75">
      <c r="A968" s="48" t="s">
        <v>46</v>
      </c>
      <c r="B968" s="77"/>
      <c r="C968" s="77" t="s">
        <v>35</v>
      </c>
      <c r="D968" s="77" t="s">
        <v>17</v>
      </c>
      <c r="E968" s="49" t="s">
        <v>516</v>
      </c>
      <c r="F968" s="77" t="s">
        <v>109</v>
      </c>
      <c r="G968" s="61">
        <v>3000</v>
      </c>
    </row>
    <row r="969" spans="1:7" ht="15.75">
      <c r="A969" s="159" t="s">
        <v>81</v>
      </c>
      <c r="B969" s="171"/>
      <c r="C969" s="162" t="s">
        <v>35</v>
      </c>
      <c r="D969" s="162" t="s">
        <v>82</v>
      </c>
      <c r="E969" s="162"/>
      <c r="F969" s="172"/>
      <c r="G969" s="167">
        <f>G970</f>
        <v>249.7</v>
      </c>
    </row>
    <row r="970" spans="1:7" ht="31.5">
      <c r="A970" s="159" t="s">
        <v>88</v>
      </c>
      <c r="B970" s="171"/>
      <c r="C970" s="162" t="s">
        <v>35</v>
      </c>
      <c r="D970" s="162" t="s">
        <v>82</v>
      </c>
      <c r="E970" s="163" t="s">
        <v>20</v>
      </c>
      <c r="F970" s="172"/>
      <c r="G970" s="167">
        <f>G971</f>
        <v>249.7</v>
      </c>
    </row>
    <row r="971" spans="1:7" ht="15.75">
      <c r="A971" s="159" t="s">
        <v>92</v>
      </c>
      <c r="B971" s="171"/>
      <c r="C971" s="162" t="s">
        <v>35</v>
      </c>
      <c r="D971" s="162" t="s">
        <v>82</v>
      </c>
      <c r="E971" s="163" t="s">
        <v>72</v>
      </c>
      <c r="F971" s="163"/>
      <c r="G971" s="167">
        <f>SUM(G973)</f>
        <v>249.7</v>
      </c>
    </row>
    <row r="972" spans="1:7" ht="15.75">
      <c r="A972" s="159" t="s">
        <v>39</v>
      </c>
      <c r="B972" s="171"/>
      <c r="C972" s="162" t="s">
        <v>35</v>
      </c>
      <c r="D972" s="162" t="s">
        <v>82</v>
      </c>
      <c r="E972" s="163" t="s">
        <v>678</v>
      </c>
      <c r="F972" s="163"/>
      <c r="G972" s="167">
        <f>G973</f>
        <v>249.7</v>
      </c>
    </row>
    <row r="973" spans="1:7" ht="15.75">
      <c r="A973" s="159" t="s">
        <v>41</v>
      </c>
      <c r="B973" s="171"/>
      <c r="C973" s="162" t="s">
        <v>35</v>
      </c>
      <c r="D973" s="162" t="s">
        <v>82</v>
      </c>
      <c r="E973" s="163" t="s">
        <v>679</v>
      </c>
      <c r="F973" s="163"/>
      <c r="G973" s="167">
        <f>G974</f>
        <v>249.7</v>
      </c>
    </row>
    <row r="974" spans="1:7" ht="31.5">
      <c r="A974" s="173" t="s">
        <v>134</v>
      </c>
      <c r="B974" s="171"/>
      <c r="C974" s="162" t="s">
        <v>35</v>
      </c>
      <c r="D974" s="162" t="s">
        <v>82</v>
      </c>
      <c r="E974" s="163" t="s">
        <v>679</v>
      </c>
      <c r="F974" s="163">
        <v>600</v>
      </c>
      <c r="G974" s="167">
        <v>249.7</v>
      </c>
    </row>
    <row r="975" spans="1:7" ht="15.75">
      <c r="A975" s="168" t="s">
        <v>122</v>
      </c>
      <c r="B975" s="169" t="s">
        <v>123</v>
      </c>
      <c r="C975" s="169"/>
      <c r="D975" s="169"/>
      <c r="E975" s="169"/>
      <c r="F975" s="169"/>
      <c r="G975" s="170">
        <f>G976+G990+G1071</f>
        <v>213793.99999999997</v>
      </c>
    </row>
    <row r="976" spans="1:7" ht="15.75">
      <c r="A976" s="48" t="s">
        <v>124</v>
      </c>
      <c r="B976" s="77"/>
      <c r="C976" s="77" t="s">
        <v>125</v>
      </c>
      <c r="D976" s="77"/>
      <c r="E976" s="77"/>
      <c r="F976" s="77"/>
      <c r="G976" s="61">
        <f>G977+G983</f>
        <v>73339.3</v>
      </c>
    </row>
    <row r="977" spans="1:7" ht="15.75">
      <c r="A977" s="48" t="s">
        <v>126</v>
      </c>
      <c r="B977" s="77"/>
      <c r="C977" s="77" t="s">
        <v>125</v>
      </c>
      <c r="D977" s="77" t="s">
        <v>58</v>
      </c>
      <c r="E977" s="77"/>
      <c r="F977" s="77"/>
      <c r="G977" s="61">
        <f>G978</f>
        <v>73193.3</v>
      </c>
    </row>
    <row r="978" spans="1:7" ht="15.75">
      <c r="A978" s="48" t="s">
        <v>127</v>
      </c>
      <c r="B978" s="77"/>
      <c r="C978" s="77" t="s">
        <v>125</v>
      </c>
      <c r="D978" s="77" t="s">
        <v>58</v>
      </c>
      <c r="E978" s="77" t="s">
        <v>128</v>
      </c>
      <c r="F978" s="77"/>
      <c r="G978" s="61">
        <f>SUM(G979)</f>
        <v>73193.3</v>
      </c>
    </row>
    <row r="979" spans="1:7" ht="15.75">
      <c r="A979" s="48" t="s">
        <v>129</v>
      </c>
      <c r="B979" s="77"/>
      <c r="C979" s="77" t="s">
        <v>125</v>
      </c>
      <c r="D979" s="77" t="s">
        <v>58</v>
      </c>
      <c r="E979" s="77" t="s">
        <v>130</v>
      </c>
      <c r="F979" s="77"/>
      <c r="G979" s="61">
        <f>G980</f>
        <v>73193.3</v>
      </c>
    </row>
    <row r="980" spans="1:7" ht="47.25">
      <c r="A980" s="48" t="s">
        <v>30</v>
      </c>
      <c r="B980" s="77"/>
      <c r="C980" s="77" t="s">
        <v>125</v>
      </c>
      <c r="D980" s="77" t="s">
        <v>58</v>
      </c>
      <c r="E980" s="77" t="s">
        <v>131</v>
      </c>
      <c r="F980" s="77"/>
      <c r="G980" s="61">
        <f>G981</f>
        <v>73193.3</v>
      </c>
    </row>
    <row r="981" spans="1:7" ht="15.75">
      <c r="A981" s="48" t="s">
        <v>132</v>
      </c>
      <c r="B981" s="77"/>
      <c r="C981" s="77" t="s">
        <v>125</v>
      </c>
      <c r="D981" s="77" t="s">
        <v>58</v>
      </c>
      <c r="E981" s="77" t="s">
        <v>133</v>
      </c>
      <c r="F981" s="77"/>
      <c r="G981" s="61">
        <f>G982</f>
        <v>73193.3</v>
      </c>
    </row>
    <row r="982" spans="1:7" ht="31.5">
      <c r="A982" s="48" t="s">
        <v>134</v>
      </c>
      <c r="B982" s="77"/>
      <c r="C982" s="77" t="s">
        <v>125</v>
      </c>
      <c r="D982" s="77" t="s">
        <v>58</v>
      </c>
      <c r="E982" s="77" t="s">
        <v>133</v>
      </c>
      <c r="F982" s="77" t="s">
        <v>135</v>
      </c>
      <c r="G982" s="61">
        <v>73193.3</v>
      </c>
    </row>
    <row r="983" spans="1:7" ht="15.75">
      <c r="A983" s="157" t="s">
        <v>488</v>
      </c>
      <c r="B983" s="77"/>
      <c r="C983" s="77" t="s">
        <v>125</v>
      </c>
      <c r="D983" s="77" t="s">
        <v>125</v>
      </c>
      <c r="E983" s="49"/>
      <c r="F983" s="49"/>
      <c r="G983" s="61">
        <f>SUM(G984)</f>
        <v>146</v>
      </c>
    </row>
    <row r="984" spans="1:7" ht="31.5">
      <c r="A984" s="157" t="s">
        <v>444</v>
      </c>
      <c r="B984" s="158"/>
      <c r="C984" s="158" t="s">
        <v>125</v>
      </c>
      <c r="D984" s="158" t="s">
        <v>125</v>
      </c>
      <c r="E984" s="49" t="s">
        <v>445</v>
      </c>
      <c r="F984" s="49"/>
      <c r="G984" s="61">
        <f>SUM(G985)</f>
        <v>146</v>
      </c>
    </row>
    <row r="985" spans="1:7" ht="31.5">
      <c r="A985" s="157" t="s">
        <v>501</v>
      </c>
      <c r="B985" s="77"/>
      <c r="C985" s="77" t="s">
        <v>125</v>
      </c>
      <c r="D985" s="77" t="s">
        <v>125</v>
      </c>
      <c r="E985" s="77" t="s">
        <v>502</v>
      </c>
      <c r="F985" s="77"/>
      <c r="G985" s="61">
        <f>SUM(G986)</f>
        <v>146</v>
      </c>
    </row>
    <row r="986" spans="1:7" ht="15.75">
      <c r="A986" s="157" t="s">
        <v>39</v>
      </c>
      <c r="B986" s="77"/>
      <c r="C986" s="77" t="s">
        <v>125</v>
      </c>
      <c r="D986" s="77" t="s">
        <v>125</v>
      </c>
      <c r="E986" s="77" t="s">
        <v>503</v>
      </c>
      <c r="F986" s="77"/>
      <c r="G986" s="61">
        <f>SUM(G987)</f>
        <v>146</v>
      </c>
    </row>
    <row r="987" spans="1:7" ht="31.5">
      <c r="A987" s="157" t="s">
        <v>504</v>
      </c>
      <c r="B987" s="49"/>
      <c r="C987" s="77" t="s">
        <v>125</v>
      </c>
      <c r="D987" s="77" t="s">
        <v>125</v>
      </c>
      <c r="E987" s="77" t="s">
        <v>505</v>
      </c>
      <c r="F987" s="77"/>
      <c r="G987" s="61">
        <f>SUM(G988:G989)</f>
        <v>146</v>
      </c>
    </row>
    <row r="988" spans="1:7" ht="31.5">
      <c r="A988" s="157" t="s">
        <v>56</v>
      </c>
      <c r="B988" s="77"/>
      <c r="C988" s="77" t="s">
        <v>125</v>
      </c>
      <c r="D988" s="77" t="s">
        <v>125</v>
      </c>
      <c r="E988" s="77" t="s">
        <v>505</v>
      </c>
      <c r="F988" s="77" t="s">
        <v>101</v>
      </c>
      <c r="G988" s="51">
        <v>60.8</v>
      </c>
    </row>
    <row r="989" spans="1:7" ht="31.5">
      <c r="A989" s="157" t="s">
        <v>283</v>
      </c>
      <c r="B989" s="93"/>
      <c r="C989" s="77" t="s">
        <v>125</v>
      </c>
      <c r="D989" s="77" t="s">
        <v>125</v>
      </c>
      <c r="E989" s="77" t="s">
        <v>505</v>
      </c>
      <c r="F989" s="83">
        <v>600</v>
      </c>
      <c r="G989" s="61">
        <v>85.2</v>
      </c>
    </row>
    <row r="990" spans="1:7" ht="15.75">
      <c r="A990" s="48" t="s">
        <v>136</v>
      </c>
      <c r="B990" s="77"/>
      <c r="C990" s="77" t="s">
        <v>19</v>
      </c>
      <c r="D990" s="77"/>
      <c r="E990" s="77"/>
      <c r="F990" s="77"/>
      <c r="G990" s="61">
        <f>SUM(G991+G1020)</f>
        <v>139597.3</v>
      </c>
    </row>
    <row r="991" spans="1:7" ht="15.75">
      <c r="A991" s="48" t="s">
        <v>137</v>
      </c>
      <c r="B991" s="77"/>
      <c r="C991" s="77" t="s">
        <v>19</v>
      </c>
      <c r="D991" s="77" t="s">
        <v>38</v>
      </c>
      <c r="E991" s="77"/>
      <c r="F991" s="77"/>
      <c r="G991" s="61">
        <f>G1000+G992</f>
        <v>125068.99999999999</v>
      </c>
    </row>
    <row r="992" spans="1:7" ht="31.5">
      <c r="A992" s="99" t="s">
        <v>818</v>
      </c>
      <c r="B992" s="54"/>
      <c r="C992" s="54" t="s">
        <v>19</v>
      </c>
      <c r="D992" s="54" t="s">
        <v>38</v>
      </c>
      <c r="E992" s="54" t="s">
        <v>826</v>
      </c>
      <c r="F992" s="54"/>
      <c r="G992" s="57">
        <f>G993</f>
        <v>101.7</v>
      </c>
    </row>
    <row r="993" spans="1:7" ht="31.5">
      <c r="A993" s="99" t="s">
        <v>819</v>
      </c>
      <c r="B993" s="54"/>
      <c r="C993" s="54" t="s">
        <v>19</v>
      </c>
      <c r="D993" s="54" t="s">
        <v>38</v>
      </c>
      <c r="E993" s="54" t="s">
        <v>827</v>
      </c>
      <c r="F993" s="54"/>
      <c r="G993" s="57">
        <f>G994+G997</f>
        <v>101.7</v>
      </c>
    </row>
    <row r="994" spans="1:7" ht="47.25">
      <c r="A994" s="99" t="s">
        <v>612</v>
      </c>
      <c r="B994" s="54"/>
      <c r="C994" s="54" t="s">
        <v>19</v>
      </c>
      <c r="D994" s="54" t="s">
        <v>38</v>
      </c>
      <c r="E994" s="54" t="s">
        <v>828</v>
      </c>
      <c r="F994" s="54"/>
      <c r="G994" s="57">
        <f>G995</f>
        <v>76.7</v>
      </c>
    </row>
    <row r="995" spans="1:7" ht="31.5">
      <c r="A995" s="99" t="s">
        <v>820</v>
      </c>
      <c r="B995" s="54"/>
      <c r="C995" s="54" t="s">
        <v>19</v>
      </c>
      <c r="D995" s="54" t="s">
        <v>38</v>
      </c>
      <c r="E995" s="54" t="s">
        <v>821</v>
      </c>
      <c r="F995" s="54"/>
      <c r="G995" s="57">
        <f>G996</f>
        <v>76.7</v>
      </c>
    </row>
    <row r="996" spans="1:7" ht="31.5">
      <c r="A996" s="99" t="s">
        <v>56</v>
      </c>
      <c r="B996" s="54"/>
      <c r="C996" s="54" t="s">
        <v>19</v>
      </c>
      <c r="D996" s="54" t="s">
        <v>38</v>
      </c>
      <c r="E996" s="54" t="s">
        <v>821</v>
      </c>
      <c r="F996" s="54" t="s">
        <v>101</v>
      </c>
      <c r="G996" s="57">
        <v>76.7</v>
      </c>
    </row>
    <row r="997" spans="1:7" ht="15.75">
      <c r="A997" s="99" t="s">
        <v>822</v>
      </c>
      <c r="B997" s="54"/>
      <c r="C997" s="54" t="s">
        <v>19</v>
      </c>
      <c r="D997" s="54" t="s">
        <v>38</v>
      </c>
      <c r="E997" s="54" t="s">
        <v>823</v>
      </c>
      <c r="F997" s="54"/>
      <c r="G997" s="57">
        <f>G998</f>
        <v>25</v>
      </c>
    </row>
    <row r="998" spans="1:7" ht="15.75">
      <c r="A998" s="99" t="s">
        <v>824</v>
      </c>
      <c r="B998" s="54"/>
      <c r="C998" s="54" t="s">
        <v>19</v>
      </c>
      <c r="D998" s="54" t="s">
        <v>38</v>
      </c>
      <c r="E998" s="54" t="s">
        <v>825</v>
      </c>
      <c r="F998" s="54"/>
      <c r="G998" s="57">
        <f>G999</f>
        <v>25</v>
      </c>
    </row>
    <row r="999" spans="1:7" ht="47.25">
      <c r="A999" s="99" t="s">
        <v>55</v>
      </c>
      <c r="B999" s="54"/>
      <c r="C999" s="54" t="s">
        <v>19</v>
      </c>
      <c r="D999" s="54" t="s">
        <v>38</v>
      </c>
      <c r="E999" s="54" t="s">
        <v>825</v>
      </c>
      <c r="F999" s="54" t="s">
        <v>99</v>
      </c>
      <c r="G999" s="57">
        <v>25</v>
      </c>
    </row>
    <row r="1000" spans="1:7" ht="15.75">
      <c r="A1000" s="48" t="s">
        <v>127</v>
      </c>
      <c r="B1000" s="77"/>
      <c r="C1000" s="77" t="s">
        <v>19</v>
      </c>
      <c r="D1000" s="77" t="s">
        <v>38</v>
      </c>
      <c r="E1000" s="77" t="s">
        <v>128</v>
      </c>
      <c r="F1000" s="77"/>
      <c r="G1000" s="61">
        <f>G1001+G1010+G1016</f>
        <v>124967.29999999999</v>
      </c>
    </row>
    <row r="1001" spans="1:7" ht="15.75">
      <c r="A1001" s="48" t="s">
        <v>138</v>
      </c>
      <c r="B1001" s="77"/>
      <c r="C1001" s="77" t="s">
        <v>19</v>
      </c>
      <c r="D1001" s="77" t="s">
        <v>38</v>
      </c>
      <c r="E1001" s="77" t="s">
        <v>139</v>
      </c>
      <c r="F1001" s="77"/>
      <c r="G1001" s="61">
        <f>G1002+G1005</f>
        <v>65957.4</v>
      </c>
    </row>
    <row r="1002" spans="1:7" ht="47.25">
      <c r="A1002" s="48" t="s">
        <v>30</v>
      </c>
      <c r="B1002" s="77"/>
      <c r="C1002" s="77" t="s">
        <v>19</v>
      </c>
      <c r="D1002" s="77" t="s">
        <v>38</v>
      </c>
      <c r="E1002" s="77" t="s">
        <v>140</v>
      </c>
      <c r="F1002" s="77"/>
      <c r="G1002" s="61">
        <f>G1003</f>
        <v>38558.2</v>
      </c>
    </row>
    <row r="1003" spans="1:7" ht="15.75">
      <c r="A1003" s="48" t="s">
        <v>141</v>
      </c>
      <c r="B1003" s="77"/>
      <c r="C1003" s="77" t="s">
        <v>19</v>
      </c>
      <c r="D1003" s="77" t="s">
        <v>38</v>
      </c>
      <c r="E1003" s="77" t="s">
        <v>142</v>
      </c>
      <c r="F1003" s="77"/>
      <c r="G1003" s="61">
        <f>G1004</f>
        <v>38558.2</v>
      </c>
    </row>
    <row r="1004" spans="1:7" ht="31.5">
      <c r="A1004" s="48" t="s">
        <v>134</v>
      </c>
      <c r="B1004" s="77"/>
      <c r="C1004" s="77" t="s">
        <v>19</v>
      </c>
      <c r="D1004" s="77" t="s">
        <v>38</v>
      </c>
      <c r="E1004" s="77" t="s">
        <v>142</v>
      </c>
      <c r="F1004" s="77" t="s">
        <v>135</v>
      </c>
      <c r="G1004" s="61">
        <v>38558.2</v>
      </c>
    </row>
    <row r="1005" spans="1:7" ht="31.5">
      <c r="A1005" s="48" t="s">
        <v>49</v>
      </c>
      <c r="B1005" s="77"/>
      <c r="C1005" s="77" t="s">
        <v>19</v>
      </c>
      <c r="D1005" s="77" t="s">
        <v>38</v>
      </c>
      <c r="E1005" s="77" t="s">
        <v>143</v>
      </c>
      <c r="F1005" s="77"/>
      <c r="G1005" s="61">
        <f>G1006</f>
        <v>27399.199999999997</v>
      </c>
    </row>
    <row r="1006" spans="1:7" ht="15.75">
      <c r="A1006" s="48" t="s">
        <v>141</v>
      </c>
      <c r="B1006" s="77"/>
      <c r="C1006" s="77" t="s">
        <v>19</v>
      </c>
      <c r="D1006" s="77" t="s">
        <v>38</v>
      </c>
      <c r="E1006" s="77" t="s">
        <v>144</v>
      </c>
      <c r="F1006" s="77"/>
      <c r="G1006" s="61">
        <f>G1007+G1008+G1009</f>
        <v>27399.199999999997</v>
      </c>
    </row>
    <row r="1007" spans="1:7" ht="47.25">
      <c r="A1007" s="48" t="s">
        <v>55</v>
      </c>
      <c r="B1007" s="77"/>
      <c r="C1007" s="77" t="s">
        <v>19</v>
      </c>
      <c r="D1007" s="77" t="s">
        <v>38</v>
      </c>
      <c r="E1007" s="77" t="s">
        <v>144</v>
      </c>
      <c r="F1007" s="77" t="s">
        <v>99</v>
      </c>
      <c r="G1007" s="61">
        <v>23640</v>
      </c>
    </row>
    <row r="1008" spans="1:7" ht="31.5">
      <c r="A1008" s="48" t="s">
        <v>56</v>
      </c>
      <c r="B1008" s="77"/>
      <c r="C1008" s="77" t="s">
        <v>19</v>
      </c>
      <c r="D1008" s="77" t="s">
        <v>38</v>
      </c>
      <c r="E1008" s="77" t="s">
        <v>144</v>
      </c>
      <c r="F1008" s="77" t="s">
        <v>101</v>
      </c>
      <c r="G1008" s="51">
        <v>3355.6</v>
      </c>
    </row>
    <row r="1009" spans="1:7" ht="15.75">
      <c r="A1009" s="48" t="s">
        <v>26</v>
      </c>
      <c r="B1009" s="77"/>
      <c r="C1009" s="77" t="s">
        <v>19</v>
      </c>
      <c r="D1009" s="77" t="s">
        <v>38</v>
      </c>
      <c r="E1009" s="77" t="s">
        <v>144</v>
      </c>
      <c r="F1009" s="77" t="s">
        <v>106</v>
      </c>
      <c r="G1009" s="61">
        <v>403.6</v>
      </c>
    </row>
    <row r="1010" spans="1:7" ht="15.75">
      <c r="A1010" s="48" t="s">
        <v>146</v>
      </c>
      <c r="B1010" s="77"/>
      <c r="C1010" s="77" t="s">
        <v>19</v>
      </c>
      <c r="D1010" s="77" t="s">
        <v>38</v>
      </c>
      <c r="E1010" s="77" t="s">
        <v>147</v>
      </c>
      <c r="F1010" s="77"/>
      <c r="G1010" s="61">
        <f>G1011</f>
        <v>49994.2</v>
      </c>
    </row>
    <row r="1011" spans="1:7" ht="31.5">
      <c r="A1011" s="48" t="s">
        <v>49</v>
      </c>
      <c r="B1011" s="77"/>
      <c r="C1011" s="77" t="s">
        <v>19</v>
      </c>
      <c r="D1011" s="77" t="s">
        <v>38</v>
      </c>
      <c r="E1011" s="77" t="s">
        <v>148</v>
      </c>
      <c r="F1011" s="77"/>
      <c r="G1011" s="61">
        <f>G1012</f>
        <v>49994.2</v>
      </c>
    </row>
    <row r="1012" spans="1:7" ht="15.75">
      <c r="A1012" s="48" t="s">
        <v>149</v>
      </c>
      <c r="B1012" s="77"/>
      <c r="C1012" s="77" t="s">
        <v>19</v>
      </c>
      <c r="D1012" s="77" t="s">
        <v>38</v>
      </c>
      <c r="E1012" s="77" t="s">
        <v>150</v>
      </c>
      <c r="F1012" s="77"/>
      <c r="G1012" s="61">
        <f>G1013+G1014+G1015</f>
        <v>49994.2</v>
      </c>
    </row>
    <row r="1013" spans="1:7" ht="47.25">
      <c r="A1013" s="48" t="s">
        <v>55</v>
      </c>
      <c r="B1013" s="77"/>
      <c r="C1013" s="77" t="s">
        <v>19</v>
      </c>
      <c r="D1013" s="77" t="s">
        <v>38</v>
      </c>
      <c r="E1013" s="77" t="s">
        <v>150</v>
      </c>
      <c r="F1013" s="77" t="s">
        <v>99</v>
      </c>
      <c r="G1013" s="61">
        <v>43780.9</v>
      </c>
    </row>
    <row r="1014" spans="1:7" ht="31.5">
      <c r="A1014" s="48" t="s">
        <v>56</v>
      </c>
      <c r="B1014" s="77"/>
      <c r="C1014" s="77" t="s">
        <v>19</v>
      </c>
      <c r="D1014" s="77" t="s">
        <v>38</v>
      </c>
      <c r="E1014" s="77" t="s">
        <v>150</v>
      </c>
      <c r="F1014" s="77" t="s">
        <v>101</v>
      </c>
      <c r="G1014" s="51">
        <v>5685.1</v>
      </c>
    </row>
    <row r="1015" spans="1:7" ht="15.75">
      <c r="A1015" s="48" t="s">
        <v>26</v>
      </c>
      <c r="B1015" s="77"/>
      <c r="C1015" s="77" t="s">
        <v>19</v>
      </c>
      <c r="D1015" s="77" t="s">
        <v>38</v>
      </c>
      <c r="E1015" s="77" t="s">
        <v>150</v>
      </c>
      <c r="F1015" s="77" t="s">
        <v>106</v>
      </c>
      <c r="G1015" s="61">
        <v>528.2</v>
      </c>
    </row>
    <row r="1016" spans="1:7" ht="15.75">
      <c r="A1016" s="48" t="s">
        <v>151</v>
      </c>
      <c r="B1016" s="77"/>
      <c r="C1016" s="77" t="s">
        <v>19</v>
      </c>
      <c r="D1016" s="77" t="s">
        <v>38</v>
      </c>
      <c r="E1016" s="77" t="s">
        <v>152</v>
      </c>
      <c r="F1016" s="77"/>
      <c r="G1016" s="61">
        <f>G1017</f>
        <v>9015.7</v>
      </c>
    </row>
    <row r="1017" spans="1:7" ht="47.25">
      <c r="A1017" s="48" t="s">
        <v>30</v>
      </c>
      <c r="B1017" s="77"/>
      <c r="C1017" s="77" t="s">
        <v>19</v>
      </c>
      <c r="D1017" s="77" t="s">
        <v>38</v>
      </c>
      <c r="E1017" s="77" t="s">
        <v>153</v>
      </c>
      <c r="F1017" s="77"/>
      <c r="G1017" s="61">
        <f>G1018</f>
        <v>9015.7</v>
      </c>
    </row>
    <row r="1018" spans="1:7" ht="15.75">
      <c r="A1018" s="48" t="s">
        <v>154</v>
      </c>
      <c r="B1018" s="77"/>
      <c r="C1018" s="77" t="s">
        <v>19</v>
      </c>
      <c r="D1018" s="77" t="s">
        <v>38</v>
      </c>
      <c r="E1018" s="77" t="s">
        <v>155</v>
      </c>
      <c r="F1018" s="77"/>
      <c r="G1018" s="61">
        <f>G1019</f>
        <v>9015.7</v>
      </c>
    </row>
    <row r="1019" spans="1:7" ht="31.5">
      <c r="A1019" s="48" t="s">
        <v>134</v>
      </c>
      <c r="B1019" s="77"/>
      <c r="C1019" s="77" t="s">
        <v>19</v>
      </c>
      <c r="D1019" s="77" t="s">
        <v>38</v>
      </c>
      <c r="E1019" s="77" t="s">
        <v>155</v>
      </c>
      <c r="F1019" s="77" t="s">
        <v>135</v>
      </c>
      <c r="G1019" s="61">
        <v>9015.7</v>
      </c>
    </row>
    <row r="1020" spans="1:7" ht="15.75">
      <c r="A1020" s="98" t="s">
        <v>156</v>
      </c>
      <c r="B1020" s="128"/>
      <c r="C1020" s="54" t="s">
        <v>19</v>
      </c>
      <c r="D1020" s="54" t="s">
        <v>17</v>
      </c>
      <c r="E1020" s="54"/>
      <c r="F1020" s="75"/>
      <c r="G1020" s="57">
        <f>G1021</f>
        <v>14528.3</v>
      </c>
    </row>
    <row r="1021" spans="1:7" ht="15.75">
      <c r="A1021" s="74" t="s">
        <v>127</v>
      </c>
      <c r="B1021" s="128"/>
      <c r="C1021" s="54" t="s">
        <v>19</v>
      </c>
      <c r="D1021" s="54" t="s">
        <v>17</v>
      </c>
      <c r="E1021" s="54" t="s">
        <v>128</v>
      </c>
      <c r="F1021" s="75"/>
      <c r="G1021" s="57">
        <f>G1022+G1030+G1035+G1065</f>
        <v>14528.3</v>
      </c>
    </row>
    <row r="1022" spans="1:7" ht="31.5">
      <c r="A1022" s="74" t="s">
        <v>164</v>
      </c>
      <c r="B1022" s="128"/>
      <c r="C1022" s="54" t="s">
        <v>19</v>
      </c>
      <c r="D1022" s="54" t="s">
        <v>17</v>
      </c>
      <c r="E1022" s="54" t="s">
        <v>165</v>
      </c>
      <c r="F1022" s="75"/>
      <c r="G1022" s="57">
        <f>G1026+G1023</f>
        <v>866</v>
      </c>
    </row>
    <row r="1023" spans="1:7" ht="15.75">
      <c r="A1023" s="99" t="s">
        <v>39</v>
      </c>
      <c r="B1023" s="128"/>
      <c r="C1023" s="54" t="s">
        <v>19</v>
      </c>
      <c r="D1023" s="54" t="s">
        <v>17</v>
      </c>
      <c r="E1023" s="54" t="s">
        <v>660</v>
      </c>
      <c r="F1023" s="75"/>
      <c r="G1023" s="57">
        <f>G1024</f>
        <v>366.1</v>
      </c>
    </row>
    <row r="1024" spans="1:7" ht="15.75">
      <c r="A1024" s="99" t="s">
        <v>141</v>
      </c>
      <c r="B1024" s="128"/>
      <c r="C1024" s="54" t="s">
        <v>19</v>
      </c>
      <c r="D1024" s="54" t="s">
        <v>17</v>
      </c>
      <c r="E1024" s="54" t="s">
        <v>661</v>
      </c>
      <c r="F1024" s="75"/>
      <c r="G1024" s="57">
        <f>G1025</f>
        <v>366.1</v>
      </c>
    </row>
    <row r="1025" spans="1:7" ht="31.5">
      <c r="A1025" s="99" t="s">
        <v>56</v>
      </c>
      <c r="B1025" s="128"/>
      <c r="C1025" s="54" t="s">
        <v>19</v>
      </c>
      <c r="D1025" s="54" t="s">
        <v>17</v>
      </c>
      <c r="E1025" s="54" t="s">
        <v>661</v>
      </c>
      <c r="F1025" s="75" t="s">
        <v>101</v>
      </c>
      <c r="G1025" s="57">
        <v>366.1</v>
      </c>
    </row>
    <row r="1026" spans="1:7" ht="15.75">
      <c r="A1026" s="74" t="s">
        <v>166</v>
      </c>
      <c r="B1026" s="128"/>
      <c r="C1026" s="54" t="s">
        <v>19</v>
      </c>
      <c r="D1026" s="54" t="s">
        <v>17</v>
      </c>
      <c r="E1026" s="54" t="s">
        <v>167</v>
      </c>
      <c r="F1026" s="75"/>
      <c r="G1026" s="57">
        <f>G1027</f>
        <v>499.9</v>
      </c>
    </row>
    <row r="1027" spans="1:7" ht="15.75">
      <c r="A1027" s="74" t="s">
        <v>154</v>
      </c>
      <c r="B1027" s="128"/>
      <c r="C1027" s="54" t="s">
        <v>19</v>
      </c>
      <c r="D1027" s="54" t="s">
        <v>17</v>
      </c>
      <c r="E1027" s="54" t="s">
        <v>658</v>
      </c>
      <c r="F1027" s="75"/>
      <c r="G1027" s="57">
        <f>G1028</f>
        <v>499.9</v>
      </c>
    </row>
    <row r="1028" spans="1:7" ht="15.75">
      <c r="A1028" s="74" t="s">
        <v>460</v>
      </c>
      <c r="B1028" s="128"/>
      <c r="C1028" s="54" t="s">
        <v>19</v>
      </c>
      <c r="D1028" s="54" t="s">
        <v>17</v>
      </c>
      <c r="E1028" s="54" t="s">
        <v>659</v>
      </c>
      <c r="F1028" s="75"/>
      <c r="G1028" s="57">
        <f>G1029</f>
        <v>499.9</v>
      </c>
    </row>
    <row r="1029" spans="1:7" ht="31.5">
      <c r="A1029" s="74" t="s">
        <v>76</v>
      </c>
      <c r="B1029" s="128"/>
      <c r="C1029" s="54" t="s">
        <v>19</v>
      </c>
      <c r="D1029" s="54" t="s">
        <v>17</v>
      </c>
      <c r="E1029" s="54" t="s">
        <v>659</v>
      </c>
      <c r="F1029" s="75" t="s">
        <v>135</v>
      </c>
      <c r="G1029" s="57">
        <v>499.9</v>
      </c>
    </row>
    <row r="1030" spans="1:7" ht="15.75">
      <c r="A1030" s="74" t="s">
        <v>169</v>
      </c>
      <c r="B1030" s="128"/>
      <c r="C1030" s="54" t="s">
        <v>19</v>
      </c>
      <c r="D1030" s="54" t="s">
        <v>17</v>
      </c>
      <c r="E1030" s="54" t="s">
        <v>170</v>
      </c>
      <c r="F1030" s="75"/>
      <c r="G1030" s="57">
        <f>G1031</f>
        <v>1496.8</v>
      </c>
    </row>
    <row r="1031" spans="1:7" ht="15.75">
      <c r="A1031" s="74" t="s">
        <v>39</v>
      </c>
      <c r="B1031" s="128"/>
      <c r="C1031" s="54" t="s">
        <v>19</v>
      </c>
      <c r="D1031" s="54" t="s">
        <v>17</v>
      </c>
      <c r="E1031" s="54" t="s">
        <v>662</v>
      </c>
      <c r="F1031" s="75"/>
      <c r="G1031" s="57">
        <f>G1032</f>
        <v>1496.8</v>
      </c>
    </row>
    <row r="1032" spans="1:7" ht="15.75">
      <c r="A1032" s="74" t="s">
        <v>168</v>
      </c>
      <c r="B1032" s="128"/>
      <c r="C1032" s="54" t="s">
        <v>19</v>
      </c>
      <c r="D1032" s="54" t="s">
        <v>17</v>
      </c>
      <c r="E1032" s="54" t="s">
        <v>663</v>
      </c>
      <c r="F1032" s="75"/>
      <c r="G1032" s="57">
        <f>G1033+G1034</f>
        <v>1496.8</v>
      </c>
    </row>
    <row r="1033" spans="1:7" ht="63" hidden="1">
      <c r="A1033" s="74" t="s">
        <v>145</v>
      </c>
      <c r="B1033" s="128"/>
      <c r="C1033" s="54" t="s">
        <v>19</v>
      </c>
      <c r="D1033" s="54" t="s">
        <v>17</v>
      </c>
      <c r="E1033" s="54" t="s">
        <v>663</v>
      </c>
      <c r="F1033" s="75" t="s">
        <v>99</v>
      </c>
      <c r="G1033" s="57"/>
    </row>
    <row r="1034" spans="1:7" ht="31.5">
      <c r="A1034" s="74" t="s">
        <v>56</v>
      </c>
      <c r="B1034" s="128"/>
      <c r="C1034" s="54" t="s">
        <v>19</v>
      </c>
      <c r="D1034" s="54" t="s">
        <v>17</v>
      </c>
      <c r="E1034" s="54" t="s">
        <v>663</v>
      </c>
      <c r="F1034" s="75" t="s">
        <v>101</v>
      </c>
      <c r="G1034" s="57">
        <v>1496.8</v>
      </c>
    </row>
    <row r="1035" spans="1:7" ht="31.5">
      <c r="A1035" s="74" t="s">
        <v>171</v>
      </c>
      <c r="B1035" s="128"/>
      <c r="C1035" s="54" t="s">
        <v>19</v>
      </c>
      <c r="D1035" s="54" t="s">
        <v>17</v>
      </c>
      <c r="E1035" s="54" t="s">
        <v>172</v>
      </c>
      <c r="F1035" s="75"/>
      <c r="G1035" s="57">
        <f>G1036+G1044</f>
        <v>4294.8</v>
      </c>
    </row>
    <row r="1036" spans="1:7" ht="15.75">
      <c r="A1036" s="74" t="s">
        <v>39</v>
      </c>
      <c r="B1036" s="128"/>
      <c r="C1036" s="54" t="s">
        <v>19</v>
      </c>
      <c r="D1036" s="54" t="s">
        <v>17</v>
      </c>
      <c r="E1036" s="54" t="s">
        <v>664</v>
      </c>
      <c r="F1036" s="75"/>
      <c r="G1036" s="57">
        <f>G1037</f>
        <v>1391.2</v>
      </c>
    </row>
    <row r="1037" spans="1:7" ht="15.75">
      <c r="A1037" s="74" t="s">
        <v>168</v>
      </c>
      <c r="B1037" s="128"/>
      <c r="C1037" s="54" t="s">
        <v>19</v>
      </c>
      <c r="D1037" s="54" t="s">
        <v>17</v>
      </c>
      <c r="E1037" s="54" t="s">
        <v>665</v>
      </c>
      <c r="F1037" s="75"/>
      <c r="G1037" s="57">
        <f>G1038+G1040+G1042</f>
        <v>1391.2</v>
      </c>
    </row>
    <row r="1038" spans="1:7" ht="15.75">
      <c r="A1038" s="74" t="s">
        <v>141</v>
      </c>
      <c r="B1038" s="128"/>
      <c r="C1038" s="54" t="s">
        <v>19</v>
      </c>
      <c r="D1038" s="54" t="s">
        <v>17</v>
      </c>
      <c r="E1038" s="54" t="s">
        <v>666</v>
      </c>
      <c r="F1038" s="75"/>
      <c r="G1038" s="57">
        <f>G1039</f>
        <v>898.9</v>
      </c>
    </row>
    <row r="1039" spans="1:7" ht="31.5">
      <c r="A1039" s="74" t="s">
        <v>56</v>
      </c>
      <c r="B1039" s="128"/>
      <c r="C1039" s="54" t="s">
        <v>19</v>
      </c>
      <c r="D1039" s="54" t="s">
        <v>17</v>
      </c>
      <c r="E1039" s="54" t="s">
        <v>666</v>
      </c>
      <c r="F1039" s="75" t="s">
        <v>101</v>
      </c>
      <c r="G1039" s="57">
        <v>898.9</v>
      </c>
    </row>
    <row r="1040" spans="1:7" ht="15.75">
      <c r="A1040" s="74" t="s">
        <v>149</v>
      </c>
      <c r="B1040" s="128"/>
      <c r="C1040" s="54" t="s">
        <v>19</v>
      </c>
      <c r="D1040" s="54" t="s">
        <v>17</v>
      </c>
      <c r="E1040" s="54" t="s">
        <v>667</v>
      </c>
      <c r="F1040" s="75"/>
      <c r="G1040" s="57">
        <f>G1041</f>
        <v>414.3</v>
      </c>
    </row>
    <row r="1041" spans="1:7" ht="31.5">
      <c r="A1041" s="74" t="s">
        <v>56</v>
      </c>
      <c r="B1041" s="128"/>
      <c r="C1041" s="54" t="s">
        <v>19</v>
      </c>
      <c r="D1041" s="54" t="s">
        <v>17</v>
      </c>
      <c r="E1041" s="54" t="s">
        <v>667</v>
      </c>
      <c r="F1041" s="75" t="s">
        <v>101</v>
      </c>
      <c r="G1041" s="57">
        <v>414.3</v>
      </c>
    </row>
    <row r="1042" spans="1:7" ht="15.75">
      <c r="A1042" s="98" t="s">
        <v>162</v>
      </c>
      <c r="B1042" s="128"/>
      <c r="C1042" s="54" t="s">
        <v>19</v>
      </c>
      <c r="D1042" s="54" t="s">
        <v>17</v>
      </c>
      <c r="E1042" s="54" t="s">
        <v>668</v>
      </c>
      <c r="F1042" s="75"/>
      <c r="G1042" s="57">
        <f>G1043</f>
        <v>78</v>
      </c>
    </row>
    <row r="1043" spans="1:7" ht="31.5">
      <c r="A1043" s="74" t="s">
        <v>56</v>
      </c>
      <c r="B1043" s="128"/>
      <c r="C1043" s="54" t="s">
        <v>19</v>
      </c>
      <c r="D1043" s="54" t="s">
        <v>17</v>
      </c>
      <c r="E1043" s="54" t="s">
        <v>668</v>
      </c>
      <c r="F1043" s="75" t="s">
        <v>101</v>
      </c>
      <c r="G1043" s="57">
        <v>78</v>
      </c>
    </row>
    <row r="1044" spans="1:7" ht="15.75">
      <c r="A1044" s="74" t="s">
        <v>166</v>
      </c>
      <c r="B1044" s="128"/>
      <c r="C1044" s="54" t="s">
        <v>19</v>
      </c>
      <c r="D1044" s="54" t="s">
        <v>17</v>
      </c>
      <c r="E1044" s="54" t="s">
        <v>173</v>
      </c>
      <c r="F1044" s="75"/>
      <c r="G1044" s="57">
        <f>G1045+G1048+G1058+G1053</f>
        <v>2903.6</v>
      </c>
    </row>
    <row r="1045" spans="1:7" ht="31.5">
      <c r="A1045" s="74" t="s">
        <v>174</v>
      </c>
      <c r="B1045" s="128"/>
      <c r="C1045" s="54" t="s">
        <v>19</v>
      </c>
      <c r="D1045" s="54" t="s">
        <v>17</v>
      </c>
      <c r="E1045" s="54" t="s">
        <v>175</v>
      </c>
      <c r="F1045" s="75"/>
      <c r="G1045" s="57">
        <f>G1046</f>
        <v>1180</v>
      </c>
    </row>
    <row r="1046" spans="1:7" ht="15.75">
      <c r="A1046" s="74" t="s">
        <v>141</v>
      </c>
      <c r="B1046" s="128"/>
      <c r="C1046" s="54" t="s">
        <v>19</v>
      </c>
      <c r="D1046" s="54" t="s">
        <v>17</v>
      </c>
      <c r="E1046" s="54" t="s">
        <v>669</v>
      </c>
      <c r="F1046" s="75"/>
      <c r="G1046" s="57">
        <f>G1047</f>
        <v>1180</v>
      </c>
    </row>
    <row r="1047" spans="1:7" ht="31.5">
      <c r="A1047" s="74" t="s">
        <v>134</v>
      </c>
      <c r="B1047" s="128"/>
      <c r="C1047" s="54" t="s">
        <v>19</v>
      </c>
      <c r="D1047" s="54" t="s">
        <v>17</v>
      </c>
      <c r="E1047" s="54" t="s">
        <v>669</v>
      </c>
      <c r="F1047" s="75" t="s">
        <v>135</v>
      </c>
      <c r="G1047" s="57">
        <v>1180</v>
      </c>
    </row>
    <row r="1048" spans="1:7" ht="15.75">
      <c r="A1048" s="74" t="s">
        <v>670</v>
      </c>
      <c r="B1048" s="128"/>
      <c r="C1048" s="54" t="s">
        <v>19</v>
      </c>
      <c r="D1048" s="54" t="s">
        <v>17</v>
      </c>
      <c r="E1048" s="54" t="s">
        <v>671</v>
      </c>
      <c r="F1048" s="75"/>
      <c r="G1048" s="57">
        <f>G1049+G1051</f>
        <v>971.3</v>
      </c>
    </row>
    <row r="1049" spans="1:7" ht="15.75">
      <c r="A1049" s="76" t="s">
        <v>132</v>
      </c>
      <c r="B1049" s="128"/>
      <c r="C1049" s="54" t="s">
        <v>19</v>
      </c>
      <c r="D1049" s="54" t="s">
        <v>17</v>
      </c>
      <c r="E1049" s="54" t="s">
        <v>672</v>
      </c>
      <c r="F1049" s="75"/>
      <c r="G1049" s="57">
        <f>G1050</f>
        <v>946.3</v>
      </c>
    </row>
    <row r="1050" spans="1:7" ht="31.5">
      <c r="A1050" s="74" t="s">
        <v>134</v>
      </c>
      <c r="B1050" s="128"/>
      <c r="C1050" s="54" t="s">
        <v>19</v>
      </c>
      <c r="D1050" s="54" t="s">
        <v>17</v>
      </c>
      <c r="E1050" s="54" t="s">
        <v>672</v>
      </c>
      <c r="F1050" s="75" t="s">
        <v>135</v>
      </c>
      <c r="G1050" s="57">
        <v>946.3</v>
      </c>
    </row>
    <row r="1051" spans="1:7" ht="15.75">
      <c r="A1051" s="48" t="s">
        <v>141</v>
      </c>
      <c r="B1051" s="129"/>
      <c r="C1051" s="77" t="s">
        <v>19</v>
      </c>
      <c r="D1051" s="77" t="s">
        <v>17</v>
      </c>
      <c r="E1051" s="77" t="s">
        <v>701</v>
      </c>
      <c r="F1051" s="72"/>
      <c r="G1051" s="61">
        <f>G1052</f>
        <v>25</v>
      </c>
    </row>
    <row r="1052" spans="1:7" ht="31.5">
      <c r="A1052" s="48" t="s">
        <v>134</v>
      </c>
      <c r="B1052" s="129"/>
      <c r="C1052" s="77" t="s">
        <v>19</v>
      </c>
      <c r="D1052" s="77" t="s">
        <v>17</v>
      </c>
      <c r="E1052" s="77" t="s">
        <v>701</v>
      </c>
      <c r="F1052" s="72" t="s">
        <v>135</v>
      </c>
      <c r="G1052" s="61">
        <v>25</v>
      </c>
    </row>
    <row r="1053" spans="1:7" ht="31.5">
      <c r="A1053" s="48" t="s">
        <v>335</v>
      </c>
      <c r="B1053" s="129"/>
      <c r="C1053" s="77" t="s">
        <v>19</v>
      </c>
      <c r="D1053" s="77" t="s">
        <v>17</v>
      </c>
      <c r="E1053" s="77" t="s">
        <v>702</v>
      </c>
      <c r="F1053" s="72"/>
      <c r="G1053" s="61">
        <f>G1054+G1056</f>
        <v>28.2</v>
      </c>
    </row>
    <row r="1054" spans="1:7" ht="15.75">
      <c r="A1054" s="78" t="s">
        <v>132</v>
      </c>
      <c r="B1054" s="129"/>
      <c r="C1054" s="77" t="s">
        <v>19</v>
      </c>
      <c r="D1054" s="77" t="s">
        <v>17</v>
      </c>
      <c r="E1054" s="77" t="s">
        <v>703</v>
      </c>
      <c r="F1054" s="72"/>
      <c r="G1054" s="61">
        <f>G1055</f>
        <v>14</v>
      </c>
    </row>
    <row r="1055" spans="1:7" ht="31.5">
      <c r="A1055" s="48" t="s">
        <v>134</v>
      </c>
      <c r="B1055" s="129"/>
      <c r="C1055" s="77" t="s">
        <v>19</v>
      </c>
      <c r="D1055" s="77" t="s">
        <v>17</v>
      </c>
      <c r="E1055" s="77" t="s">
        <v>703</v>
      </c>
      <c r="F1055" s="72" t="s">
        <v>135</v>
      </c>
      <c r="G1055" s="61">
        <v>14</v>
      </c>
    </row>
    <row r="1056" spans="1:7" ht="15.75">
      <c r="A1056" s="48" t="s">
        <v>141</v>
      </c>
      <c r="B1056" s="129"/>
      <c r="C1056" s="77" t="s">
        <v>19</v>
      </c>
      <c r="D1056" s="77" t="s">
        <v>17</v>
      </c>
      <c r="E1056" s="77" t="s">
        <v>704</v>
      </c>
      <c r="F1056" s="72"/>
      <c r="G1056" s="61">
        <f>G1057</f>
        <v>14.2</v>
      </c>
    </row>
    <row r="1057" spans="1:7" ht="31.5">
      <c r="A1057" s="48" t="s">
        <v>134</v>
      </c>
      <c r="B1057" s="129"/>
      <c r="C1057" s="77" t="s">
        <v>19</v>
      </c>
      <c r="D1057" s="77" t="s">
        <v>17</v>
      </c>
      <c r="E1057" s="77" t="s">
        <v>704</v>
      </c>
      <c r="F1057" s="72" t="s">
        <v>135</v>
      </c>
      <c r="G1057" s="61">
        <v>14.2</v>
      </c>
    </row>
    <row r="1058" spans="1:7" ht="15.75">
      <c r="A1058" s="74" t="s">
        <v>460</v>
      </c>
      <c r="B1058" s="128"/>
      <c r="C1058" s="54" t="s">
        <v>19</v>
      </c>
      <c r="D1058" s="54" t="s">
        <v>17</v>
      </c>
      <c r="E1058" s="54" t="s">
        <v>673</v>
      </c>
      <c r="F1058" s="75"/>
      <c r="G1058" s="57">
        <f>G1059+G1063+G1061</f>
        <v>724.1</v>
      </c>
    </row>
    <row r="1059" spans="1:7" ht="15.75">
      <c r="A1059" s="76" t="s">
        <v>132</v>
      </c>
      <c r="B1059" s="128"/>
      <c r="C1059" s="54" t="s">
        <v>19</v>
      </c>
      <c r="D1059" s="54" t="s">
        <v>17</v>
      </c>
      <c r="E1059" s="54" t="s">
        <v>674</v>
      </c>
      <c r="F1059" s="75"/>
      <c r="G1059" s="57">
        <f>G1060</f>
        <v>75.6</v>
      </c>
    </row>
    <row r="1060" spans="1:7" ht="31.5">
      <c r="A1060" s="74" t="s">
        <v>134</v>
      </c>
      <c r="B1060" s="128"/>
      <c r="C1060" s="54" t="s">
        <v>19</v>
      </c>
      <c r="D1060" s="54" t="s">
        <v>17</v>
      </c>
      <c r="E1060" s="54" t="s">
        <v>674</v>
      </c>
      <c r="F1060" s="75" t="s">
        <v>135</v>
      </c>
      <c r="G1060" s="57">
        <v>75.6</v>
      </c>
    </row>
    <row r="1061" spans="1:7" ht="15.75">
      <c r="A1061" s="99" t="s">
        <v>141</v>
      </c>
      <c r="B1061" s="128"/>
      <c r="C1061" s="54" t="s">
        <v>19</v>
      </c>
      <c r="D1061" s="54" t="s">
        <v>17</v>
      </c>
      <c r="E1061" s="54" t="s">
        <v>829</v>
      </c>
      <c r="F1061" s="75"/>
      <c r="G1061" s="57">
        <f>G1062</f>
        <v>630</v>
      </c>
    </row>
    <row r="1062" spans="1:7" ht="31.5">
      <c r="A1062" s="99" t="s">
        <v>134</v>
      </c>
      <c r="B1062" s="128"/>
      <c r="C1062" s="54" t="s">
        <v>19</v>
      </c>
      <c r="D1062" s="54" t="s">
        <v>17</v>
      </c>
      <c r="E1062" s="54" t="s">
        <v>829</v>
      </c>
      <c r="F1062" s="75" t="s">
        <v>135</v>
      </c>
      <c r="G1062" s="57">
        <f>540+90</f>
        <v>630</v>
      </c>
    </row>
    <row r="1063" spans="1:7" ht="15.75">
      <c r="A1063" s="74" t="s">
        <v>154</v>
      </c>
      <c r="B1063" s="128"/>
      <c r="C1063" s="54" t="s">
        <v>19</v>
      </c>
      <c r="D1063" s="54" t="s">
        <v>17</v>
      </c>
      <c r="E1063" s="54" t="s">
        <v>675</v>
      </c>
      <c r="F1063" s="75"/>
      <c r="G1063" s="57">
        <f>G1064</f>
        <v>18.5</v>
      </c>
    </row>
    <row r="1064" spans="1:7" ht="29.25" customHeight="1">
      <c r="A1064" s="74" t="s">
        <v>134</v>
      </c>
      <c r="B1064" s="128"/>
      <c r="C1064" s="54" t="s">
        <v>19</v>
      </c>
      <c r="D1064" s="54" t="s">
        <v>17</v>
      </c>
      <c r="E1064" s="54" t="s">
        <v>675</v>
      </c>
      <c r="F1064" s="75" t="s">
        <v>135</v>
      </c>
      <c r="G1064" s="57">
        <v>18.5</v>
      </c>
    </row>
    <row r="1065" spans="1:7" ht="29.25" customHeight="1">
      <c r="A1065" s="98" t="s">
        <v>159</v>
      </c>
      <c r="B1065" s="128"/>
      <c r="C1065" s="54" t="s">
        <v>19</v>
      </c>
      <c r="D1065" s="54" t="s">
        <v>17</v>
      </c>
      <c r="E1065" s="54" t="s">
        <v>160</v>
      </c>
      <c r="F1065" s="75"/>
      <c r="G1065" s="57">
        <f>G1066</f>
        <v>7870.7</v>
      </c>
    </row>
    <row r="1066" spans="1:7" ht="31.5">
      <c r="A1066" s="74" t="s">
        <v>49</v>
      </c>
      <c r="B1066" s="128"/>
      <c r="C1066" s="54" t="s">
        <v>19</v>
      </c>
      <c r="D1066" s="54" t="s">
        <v>17</v>
      </c>
      <c r="E1066" s="54" t="s">
        <v>161</v>
      </c>
      <c r="F1066" s="75"/>
      <c r="G1066" s="57">
        <f>G1067</f>
        <v>7870.7</v>
      </c>
    </row>
    <row r="1067" spans="1:7" ht="15.75">
      <c r="A1067" s="98" t="s">
        <v>162</v>
      </c>
      <c r="B1067" s="128"/>
      <c r="C1067" s="54" t="s">
        <v>19</v>
      </c>
      <c r="D1067" s="54" t="s">
        <v>17</v>
      </c>
      <c r="E1067" s="54" t="s">
        <v>163</v>
      </c>
      <c r="F1067" s="75"/>
      <c r="G1067" s="57">
        <f>G1068+G1069+G1070</f>
        <v>7870.7</v>
      </c>
    </row>
    <row r="1068" spans="1:7" ht="63">
      <c r="A1068" s="74" t="s">
        <v>145</v>
      </c>
      <c r="B1068" s="128"/>
      <c r="C1068" s="54" t="s">
        <v>19</v>
      </c>
      <c r="D1068" s="54" t="s">
        <v>17</v>
      </c>
      <c r="E1068" s="54" t="s">
        <v>163</v>
      </c>
      <c r="F1068" s="75" t="s">
        <v>99</v>
      </c>
      <c r="G1068" s="57">
        <v>7205.7</v>
      </c>
    </row>
    <row r="1069" spans="1:7" ht="31.5">
      <c r="A1069" s="74" t="s">
        <v>56</v>
      </c>
      <c r="B1069" s="128"/>
      <c r="C1069" s="54" t="s">
        <v>19</v>
      </c>
      <c r="D1069" s="54" t="s">
        <v>17</v>
      </c>
      <c r="E1069" s="54" t="s">
        <v>163</v>
      </c>
      <c r="F1069" s="75" t="s">
        <v>101</v>
      </c>
      <c r="G1069" s="57">
        <v>660.9</v>
      </c>
    </row>
    <row r="1070" spans="1:7" s="134" customFormat="1" ht="15.75">
      <c r="A1070" s="74" t="s">
        <v>26</v>
      </c>
      <c r="B1070" s="128"/>
      <c r="C1070" s="54" t="s">
        <v>19</v>
      </c>
      <c r="D1070" s="54" t="s">
        <v>17</v>
      </c>
      <c r="E1070" s="54" t="s">
        <v>163</v>
      </c>
      <c r="F1070" s="75" t="s">
        <v>106</v>
      </c>
      <c r="G1070" s="57">
        <v>4.1</v>
      </c>
    </row>
    <row r="1071" spans="1:7" s="134" customFormat="1" ht="15.75">
      <c r="A1071" s="48" t="s">
        <v>34</v>
      </c>
      <c r="B1071" s="50"/>
      <c r="C1071" s="50" t="s">
        <v>35</v>
      </c>
      <c r="D1071" s="50" t="s">
        <v>36</v>
      </c>
      <c r="E1071" s="49"/>
      <c r="F1071" s="49"/>
      <c r="G1071" s="51">
        <f>SUM(G1072+G1078)</f>
        <v>857.4</v>
      </c>
    </row>
    <row r="1072" spans="1:7" s="134" customFormat="1" ht="15.75">
      <c r="A1072" s="48" t="s">
        <v>57</v>
      </c>
      <c r="B1072" s="77"/>
      <c r="C1072" s="77" t="s">
        <v>35</v>
      </c>
      <c r="D1072" s="77" t="s">
        <v>58</v>
      </c>
      <c r="E1072" s="82"/>
      <c r="F1072" s="77"/>
      <c r="G1072" s="61">
        <f>G1073</f>
        <v>343.9</v>
      </c>
    </row>
    <row r="1073" spans="1:7" s="134" customFormat="1" ht="31.5">
      <c r="A1073" s="99" t="s">
        <v>554</v>
      </c>
      <c r="B1073" s="130"/>
      <c r="C1073" s="131" t="s">
        <v>35</v>
      </c>
      <c r="D1073" s="131" t="s">
        <v>58</v>
      </c>
      <c r="E1073" s="131" t="s">
        <v>540</v>
      </c>
      <c r="F1073" s="132"/>
      <c r="G1073" s="133">
        <f>G1074</f>
        <v>343.9</v>
      </c>
    </row>
    <row r="1074" spans="1:7" s="134" customFormat="1" ht="31.5">
      <c r="A1074" s="99" t="s">
        <v>563</v>
      </c>
      <c r="B1074" s="130"/>
      <c r="C1074" s="131" t="s">
        <v>35</v>
      </c>
      <c r="D1074" s="131" t="s">
        <v>58</v>
      </c>
      <c r="E1074" s="131" t="s">
        <v>564</v>
      </c>
      <c r="F1074" s="132"/>
      <c r="G1074" s="133">
        <f>G1075</f>
        <v>343.9</v>
      </c>
    </row>
    <row r="1075" spans="1:7" s="134" customFormat="1" ht="78.75">
      <c r="A1075" s="99" t="s">
        <v>317</v>
      </c>
      <c r="B1075" s="130"/>
      <c r="C1075" s="131" t="s">
        <v>35</v>
      </c>
      <c r="D1075" s="131" t="s">
        <v>58</v>
      </c>
      <c r="E1075" s="131" t="s">
        <v>565</v>
      </c>
      <c r="F1075" s="132"/>
      <c r="G1075" s="133">
        <f>G1076</f>
        <v>343.9</v>
      </c>
    </row>
    <row r="1076" spans="1:7" s="134" customFormat="1" ht="47.25">
      <c r="A1076" s="99" t="s">
        <v>588</v>
      </c>
      <c r="B1076" s="130"/>
      <c r="C1076" s="182" t="s">
        <v>35</v>
      </c>
      <c r="D1076" s="182" t="s">
        <v>58</v>
      </c>
      <c r="E1076" s="182" t="s">
        <v>589</v>
      </c>
      <c r="F1076" s="132"/>
      <c r="G1076" s="132">
        <f>G1077</f>
        <v>343.9</v>
      </c>
    </row>
    <row r="1077" spans="1:7" s="117" customFormat="1" ht="15.75">
      <c r="A1077" s="99" t="s">
        <v>46</v>
      </c>
      <c r="B1077" s="130"/>
      <c r="C1077" s="131" t="s">
        <v>35</v>
      </c>
      <c r="D1077" s="131" t="s">
        <v>58</v>
      </c>
      <c r="E1077" s="131" t="s">
        <v>589</v>
      </c>
      <c r="F1077" s="132">
        <v>300</v>
      </c>
      <c r="G1077" s="133">
        <v>343.9</v>
      </c>
    </row>
    <row r="1078" spans="1:7" ht="15.75">
      <c r="A1078" s="76" t="s">
        <v>81</v>
      </c>
      <c r="B1078" s="130"/>
      <c r="C1078" s="131" t="s">
        <v>35</v>
      </c>
      <c r="D1078" s="131" t="s">
        <v>82</v>
      </c>
      <c r="E1078" s="131"/>
      <c r="F1078" s="132"/>
      <c r="G1078" s="133">
        <f>SUM(G1079)</f>
        <v>513.5</v>
      </c>
    </row>
    <row r="1079" spans="1:7" ht="15" customHeight="1">
      <c r="A1079" s="157" t="s">
        <v>88</v>
      </c>
      <c r="B1079" s="130"/>
      <c r="C1079" s="131" t="s">
        <v>35</v>
      </c>
      <c r="D1079" s="131" t="s">
        <v>82</v>
      </c>
      <c r="E1079" s="131" t="s">
        <v>20</v>
      </c>
      <c r="F1079" s="132"/>
      <c r="G1079" s="133">
        <f>SUM(G1080)</f>
        <v>513.5</v>
      </c>
    </row>
    <row r="1080" spans="1:7" ht="15" customHeight="1">
      <c r="A1080" s="157" t="s">
        <v>92</v>
      </c>
      <c r="B1080" s="130"/>
      <c r="C1080" s="131" t="s">
        <v>35</v>
      </c>
      <c r="D1080" s="131" t="s">
        <v>82</v>
      </c>
      <c r="E1080" s="131" t="s">
        <v>72</v>
      </c>
      <c r="F1080" s="132"/>
      <c r="G1080" s="133">
        <f>SUM(G1081)</f>
        <v>513.5</v>
      </c>
    </row>
    <row r="1081" spans="1:7" ht="15.75">
      <c r="A1081" s="157" t="s">
        <v>39</v>
      </c>
      <c r="B1081" s="130"/>
      <c r="C1081" s="182" t="s">
        <v>35</v>
      </c>
      <c r="D1081" s="131" t="s">
        <v>82</v>
      </c>
      <c r="E1081" s="131" t="s">
        <v>678</v>
      </c>
      <c r="F1081" s="132"/>
      <c r="G1081" s="133">
        <f>SUM(G1082)</f>
        <v>513.5</v>
      </c>
    </row>
    <row r="1082" spans="1:7" ht="15.75">
      <c r="A1082" s="157" t="s">
        <v>41</v>
      </c>
      <c r="B1082" s="130"/>
      <c r="C1082" s="131" t="s">
        <v>35</v>
      </c>
      <c r="D1082" s="131" t="s">
        <v>82</v>
      </c>
      <c r="E1082" s="131" t="s">
        <v>679</v>
      </c>
      <c r="F1082" s="132"/>
      <c r="G1082" s="133">
        <f>SUM(G1083)</f>
        <v>513.5</v>
      </c>
    </row>
    <row r="1083" spans="1:7" ht="31.5">
      <c r="A1083" s="74" t="s">
        <v>134</v>
      </c>
      <c r="B1083" s="130"/>
      <c r="C1083" s="131" t="s">
        <v>35</v>
      </c>
      <c r="D1083" s="131" t="s">
        <v>82</v>
      </c>
      <c r="E1083" s="131" t="s">
        <v>679</v>
      </c>
      <c r="F1083" s="132">
        <v>600</v>
      </c>
      <c r="G1083" s="133">
        <v>513.5</v>
      </c>
    </row>
    <row r="1084" spans="1:7" ht="15.75">
      <c r="A1084" s="135" t="s">
        <v>215</v>
      </c>
      <c r="B1084" s="136"/>
      <c r="C1084" s="137"/>
      <c r="D1084" s="137"/>
      <c r="E1084" s="137"/>
      <c r="F1084" s="137"/>
      <c r="G1084" s="138">
        <f>SUM(G11+G41+G70+G439+G483+G975+G673)+G762</f>
        <v>4345311.3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7"/>
  <sheetViews>
    <sheetView zoomScalePageLayoutView="0" workbookViewId="0" topLeftCell="A753">
      <selection activeCell="A770" sqref="A770"/>
    </sheetView>
  </sheetViews>
  <sheetFormatPr defaultColWidth="9.140625" defaultRowHeight="15"/>
  <cols>
    <col min="1" max="1" width="71.00390625" style="28" customWidth="1"/>
    <col min="2" max="2" width="21.28125" style="28" customWidth="1"/>
    <col min="3" max="3" width="12.00390625" style="28" customWidth="1"/>
    <col min="4" max="4" width="10.421875" style="28" customWidth="1"/>
    <col min="5" max="5" width="11.8515625" style="28" customWidth="1"/>
    <col min="6" max="6" width="15.421875" style="28" customWidth="1"/>
    <col min="7" max="7" width="12.7109375" style="144" hidden="1" customWidth="1"/>
    <col min="8" max="8" width="13.57421875" style="144" hidden="1" customWidth="1"/>
    <col min="9" max="9" width="11.57421875" style="144" hidden="1" customWidth="1"/>
    <col min="10" max="10" width="12.8515625" style="144" hidden="1" customWidth="1"/>
    <col min="11" max="11" width="13.421875" style="28" hidden="1" customWidth="1"/>
    <col min="12" max="12" width="9.140625" style="28" hidden="1" customWidth="1"/>
    <col min="13" max="14" width="9.140625" style="28" customWidth="1"/>
    <col min="15" max="16384" width="9.140625" style="28" customWidth="1"/>
  </cols>
  <sheetData>
    <row r="1" spans="3:5" ht="15.75">
      <c r="C1" s="29"/>
      <c r="D1" s="43" t="s">
        <v>848</v>
      </c>
      <c r="E1" s="29"/>
    </row>
    <row r="2" spans="3:5" ht="15.75">
      <c r="C2" s="30"/>
      <c r="D2" s="44" t="s">
        <v>0</v>
      </c>
      <c r="E2" s="30"/>
    </row>
    <row r="3" spans="3:5" ht="15.75">
      <c r="C3" s="30"/>
      <c r="D3" s="44" t="s">
        <v>1</v>
      </c>
      <c r="E3" s="30"/>
    </row>
    <row r="4" spans="3:5" ht="15.75">
      <c r="C4" s="30"/>
      <c r="D4" s="44" t="s">
        <v>2</v>
      </c>
      <c r="E4" s="30"/>
    </row>
    <row r="5" spans="3:5" ht="15.75">
      <c r="C5" s="31"/>
      <c r="D5" s="45" t="s">
        <v>837</v>
      </c>
      <c r="E5" s="30"/>
    </row>
    <row r="8" spans="1:6" ht="66" customHeight="1">
      <c r="A8" s="190" t="s">
        <v>648</v>
      </c>
      <c r="B8" s="190"/>
      <c r="C8" s="190"/>
      <c r="D8" s="190"/>
      <c r="E8" s="190"/>
      <c r="F8" s="190"/>
    </row>
    <row r="9" spans="1:6" ht="15.75">
      <c r="A9" s="47"/>
      <c r="B9" s="47"/>
      <c r="C9" s="47"/>
      <c r="D9" s="47"/>
      <c r="E9" s="47"/>
      <c r="F9" s="47"/>
    </row>
    <row r="10" spans="1:6" ht="47.25">
      <c r="A10" s="32" t="s">
        <v>176</v>
      </c>
      <c r="B10" s="32" t="s">
        <v>177</v>
      </c>
      <c r="C10" s="32" t="s">
        <v>178</v>
      </c>
      <c r="D10" s="32" t="s">
        <v>181</v>
      </c>
      <c r="E10" s="32" t="s">
        <v>182</v>
      </c>
      <c r="F10" s="32" t="s">
        <v>525</v>
      </c>
    </row>
    <row r="11" spans="1:10" ht="31.5">
      <c r="A11" s="48" t="s">
        <v>244</v>
      </c>
      <c r="B11" s="49" t="s">
        <v>245</v>
      </c>
      <c r="C11" s="49"/>
      <c r="D11" s="50"/>
      <c r="E11" s="50"/>
      <c r="F11" s="51">
        <f>SUM(F26)+F12</f>
        <v>816358</v>
      </c>
      <c r="H11" s="144">
        <f>SUM(G14:G44)</f>
        <v>816358</v>
      </c>
      <c r="J11" s="145">
        <f>SUM(H11-F11)</f>
        <v>0</v>
      </c>
    </row>
    <row r="12" spans="1:10" ht="47.25">
      <c r="A12" s="74" t="s">
        <v>612</v>
      </c>
      <c r="B12" s="125" t="s">
        <v>776</v>
      </c>
      <c r="C12" s="49"/>
      <c r="D12" s="155"/>
      <c r="E12" s="155"/>
      <c r="F12" s="51">
        <f>SUM(F17)+F22+F24+F13+F20</f>
        <v>26450.800000000003</v>
      </c>
      <c r="I12" s="145">
        <f aca="true" t="shared" si="0" ref="I12:I25">G12-F12</f>
        <v>-26450.800000000003</v>
      </c>
      <c r="J12" s="145"/>
    </row>
    <row r="13" spans="1:10" ht="15.75">
      <c r="A13" s="159" t="s">
        <v>803</v>
      </c>
      <c r="B13" s="77" t="s">
        <v>804</v>
      </c>
      <c r="C13" s="49"/>
      <c r="D13" s="160"/>
      <c r="E13" s="160"/>
      <c r="F13" s="51">
        <f>SUM(F14:F16)</f>
        <v>16665.6</v>
      </c>
      <c r="I13" s="145">
        <f t="shared" si="0"/>
        <v>-16665.6</v>
      </c>
      <c r="J13" s="145"/>
    </row>
    <row r="14" spans="1:10" ht="31.5">
      <c r="A14" s="159" t="s">
        <v>56</v>
      </c>
      <c r="B14" s="77" t="s">
        <v>804</v>
      </c>
      <c r="C14" s="160" t="s">
        <v>101</v>
      </c>
      <c r="D14" s="77" t="s">
        <v>125</v>
      </c>
      <c r="E14" s="77" t="s">
        <v>125</v>
      </c>
      <c r="F14" s="51">
        <v>2131.6</v>
      </c>
      <c r="G14" s="144">
        <f>SUM(Ведомственная!G889)</f>
        <v>2131.6</v>
      </c>
      <c r="I14" s="145">
        <f t="shared" si="0"/>
        <v>0</v>
      </c>
      <c r="J14" s="145"/>
    </row>
    <row r="15" spans="1:10" ht="31.5">
      <c r="A15" s="159" t="s">
        <v>779</v>
      </c>
      <c r="B15" s="77" t="s">
        <v>804</v>
      </c>
      <c r="C15" s="160" t="s">
        <v>135</v>
      </c>
      <c r="D15" s="77" t="s">
        <v>125</v>
      </c>
      <c r="E15" s="77" t="s">
        <v>125</v>
      </c>
      <c r="F15" s="51">
        <v>4334.6</v>
      </c>
      <c r="G15" s="144">
        <f>SUM(Ведомственная!G890)</f>
        <v>4334.6</v>
      </c>
      <c r="I15" s="145">
        <f t="shared" si="0"/>
        <v>0</v>
      </c>
      <c r="J15" s="145"/>
    </row>
    <row r="16" spans="1:10" ht="15.75">
      <c r="A16" s="159" t="s">
        <v>26</v>
      </c>
      <c r="B16" s="77" t="s">
        <v>804</v>
      </c>
      <c r="C16" s="160" t="s">
        <v>106</v>
      </c>
      <c r="D16" s="77" t="s">
        <v>125</v>
      </c>
      <c r="E16" s="77" t="s">
        <v>125</v>
      </c>
      <c r="F16" s="51">
        <v>10199.4</v>
      </c>
      <c r="G16" s="144">
        <f>SUM(Ведомственная!G891)</f>
        <v>10199.4</v>
      </c>
      <c r="I16" s="145">
        <f t="shared" si="0"/>
        <v>0</v>
      </c>
      <c r="J16" s="145"/>
    </row>
    <row r="17" spans="1:10" ht="47.25">
      <c r="A17" s="154" t="s">
        <v>778</v>
      </c>
      <c r="B17" s="125" t="s">
        <v>777</v>
      </c>
      <c r="C17" s="49"/>
      <c r="D17" s="155"/>
      <c r="E17" s="155"/>
      <c r="F17" s="51">
        <f>SUM(F18:F19)</f>
        <v>4298.3</v>
      </c>
      <c r="I17" s="145">
        <f t="shared" si="0"/>
        <v>-4298.3</v>
      </c>
      <c r="J17" s="145"/>
    </row>
    <row r="18" spans="1:10" ht="31.5">
      <c r="A18" s="154" t="s">
        <v>56</v>
      </c>
      <c r="B18" s="125" t="s">
        <v>777</v>
      </c>
      <c r="C18" s="49">
        <v>200</v>
      </c>
      <c r="D18" s="155" t="s">
        <v>125</v>
      </c>
      <c r="E18" s="155" t="s">
        <v>48</v>
      </c>
      <c r="F18" s="51">
        <v>2394.6</v>
      </c>
      <c r="G18" s="144">
        <f>SUM(Ведомственная!G809)</f>
        <v>2394.6</v>
      </c>
      <c r="I18" s="145">
        <f t="shared" si="0"/>
        <v>0</v>
      </c>
      <c r="J18" s="145"/>
    </row>
    <row r="19" spans="1:10" ht="31.5">
      <c r="A19" s="154" t="s">
        <v>76</v>
      </c>
      <c r="B19" s="125" t="s">
        <v>777</v>
      </c>
      <c r="C19" s="49">
        <v>600</v>
      </c>
      <c r="D19" s="155" t="s">
        <v>125</v>
      </c>
      <c r="E19" s="155" t="s">
        <v>48</v>
      </c>
      <c r="F19" s="51">
        <v>1903.7</v>
      </c>
      <c r="G19" s="144">
        <f>SUM(Ведомственная!G810)</f>
        <v>1903.7</v>
      </c>
      <c r="I19" s="145">
        <f t="shared" si="0"/>
        <v>0</v>
      </c>
      <c r="J19" s="145"/>
    </row>
    <row r="20" spans="1:10" ht="31.5">
      <c r="A20" s="159" t="s">
        <v>805</v>
      </c>
      <c r="B20" s="125" t="s">
        <v>806</v>
      </c>
      <c r="C20" s="49"/>
      <c r="D20" s="160"/>
      <c r="E20" s="160"/>
      <c r="F20" s="51">
        <f>SUM(F21)</f>
        <v>1631.4</v>
      </c>
      <c r="I20" s="145">
        <f t="shared" si="0"/>
        <v>-1631.4</v>
      </c>
      <c r="J20" s="145"/>
    </row>
    <row r="21" spans="1:10" ht="31.5">
      <c r="A21" s="159" t="s">
        <v>56</v>
      </c>
      <c r="B21" s="125" t="s">
        <v>806</v>
      </c>
      <c r="C21" s="49">
        <v>200</v>
      </c>
      <c r="D21" s="160" t="s">
        <v>125</v>
      </c>
      <c r="E21" s="160" t="s">
        <v>192</v>
      </c>
      <c r="F21" s="51">
        <v>1631.4</v>
      </c>
      <c r="G21" s="144">
        <f>SUM(Ведомственная!G923)</f>
        <v>1631.4</v>
      </c>
      <c r="I21" s="145">
        <f t="shared" si="0"/>
        <v>0</v>
      </c>
      <c r="J21" s="145"/>
    </row>
    <row r="22" spans="1:10" ht="47.25">
      <c r="A22" s="159" t="s">
        <v>799</v>
      </c>
      <c r="B22" s="125" t="s">
        <v>800</v>
      </c>
      <c r="C22" s="49"/>
      <c r="D22" s="160"/>
      <c r="E22" s="160"/>
      <c r="F22" s="55">
        <f>F23</f>
        <v>496.1</v>
      </c>
      <c r="I22" s="145">
        <f t="shared" si="0"/>
        <v>-496.1</v>
      </c>
      <c r="J22" s="145"/>
    </row>
    <row r="23" spans="1:10" ht="31.5">
      <c r="A23" s="159" t="s">
        <v>76</v>
      </c>
      <c r="B23" s="125" t="s">
        <v>800</v>
      </c>
      <c r="C23" s="49">
        <v>600</v>
      </c>
      <c r="D23" s="160" t="s">
        <v>125</v>
      </c>
      <c r="E23" s="160" t="s">
        <v>48</v>
      </c>
      <c r="F23" s="51">
        <v>496.1</v>
      </c>
      <c r="G23" s="144">
        <f>SUM(Ведомственная!G812)</f>
        <v>496.1</v>
      </c>
      <c r="I23" s="145">
        <f t="shared" si="0"/>
        <v>0</v>
      </c>
      <c r="J23" s="145"/>
    </row>
    <row r="24" spans="1:10" ht="63">
      <c r="A24" s="159" t="s">
        <v>801</v>
      </c>
      <c r="B24" s="125" t="s">
        <v>802</v>
      </c>
      <c r="C24" s="49"/>
      <c r="D24" s="160"/>
      <c r="E24" s="160"/>
      <c r="F24" s="55">
        <f>F25</f>
        <v>3359.4</v>
      </c>
      <c r="I24" s="145">
        <f t="shared" si="0"/>
        <v>-3359.4</v>
      </c>
      <c r="J24" s="145"/>
    </row>
    <row r="25" spans="1:10" ht="31.5">
      <c r="A25" s="159" t="s">
        <v>56</v>
      </c>
      <c r="B25" s="125" t="s">
        <v>802</v>
      </c>
      <c r="C25" s="49">
        <v>200</v>
      </c>
      <c r="D25" s="160" t="s">
        <v>125</v>
      </c>
      <c r="E25" s="160" t="s">
        <v>48</v>
      </c>
      <c r="F25" s="51">
        <v>3359.4</v>
      </c>
      <c r="G25" s="144">
        <f>SUM(Ведомственная!G814)</f>
        <v>3359.4</v>
      </c>
      <c r="I25" s="145">
        <f t="shared" si="0"/>
        <v>0</v>
      </c>
      <c r="J25" s="145"/>
    </row>
    <row r="26" spans="1:10" ht="94.5">
      <c r="A26" s="52" t="s">
        <v>246</v>
      </c>
      <c r="B26" s="50" t="s">
        <v>247</v>
      </c>
      <c r="C26" s="49"/>
      <c r="D26" s="50"/>
      <c r="E26" s="50"/>
      <c r="F26" s="51">
        <f>SUM(F29)+F36+F38+F41+F33+F27</f>
        <v>789907.2</v>
      </c>
      <c r="I26" s="145">
        <f aca="true" t="shared" si="1" ref="I26:I99">G26-F26</f>
        <v>-789907.2</v>
      </c>
      <c r="J26" s="145"/>
    </row>
    <row r="27" spans="1:10" ht="47.25">
      <c r="A27" s="74" t="s">
        <v>639</v>
      </c>
      <c r="B27" s="53" t="s">
        <v>640</v>
      </c>
      <c r="C27" s="54"/>
      <c r="D27" s="54"/>
      <c r="E27" s="54"/>
      <c r="F27" s="55">
        <f>F28</f>
        <v>10524.4</v>
      </c>
      <c r="I27" s="145">
        <f t="shared" si="1"/>
        <v>-10524.4</v>
      </c>
      <c r="J27" s="145"/>
    </row>
    <row r="28" spans="1:10" ht="15.75">
      <c r="A28" s="74" t="s">
        <v>46</v>
      </c>
      <c r="B28" s="53" t="s">
        <v>640</v>
      </c>
      <c r="C28" s="54" t="s">
        <v>109</v>
      </c>
      <c r="D28" s="54" t="s">
        <v>35</v>
      </c>
      <c r="E28" s="54" t="s">
        <v>17</v>
      </c>
      <c r="F28" s="55">
        <v>10524.4</v>
      </c>
      <c r="G28" s="144">
        <f>SUM(Ведомственная!G955)</f>
        <v>10524.4</v>
      </c>
      <c r="I28" s="145">
        <f t="shared" si="1"/>
        <v>0</v>
      </c>
      <c r="J28" s="145"/>
    </row>
    <row r="29" spans="1:10" ht="47.25">
      <c r="A29" s="48" t="s">
        <v>84</v>
      </c>
      <c r="B29" s="50" t="s">
        <v>248</v>
      </c>
      <c r="C29" s="49"/>
      <c r="D29" s="50"/>
      <c r="E29" s="50"/>
      <c r="F29" s="51">
        <f>SUM(F30)</f>
        <v>1358.3</v>
      </c>
      <c r="I29" s="145">
        <f t="shared" si="1"/>
        <v>-1358.3</v>
      </c>
      <c r="J29" s="145"/>
    </row>
    <row r="30" spans="1:10" ht="31.5">
      <c r="A30" s="48" t="s">
        <v>249</v>
      </c>
      <c r="B30" s="50" t="s">
        <v>250</v>
      </c>
      <c r="C30" s="49"/>
      <c r="D30" s="50"/>
      <c r="E30" s="50"/>
      <c r="F30" s="51">
        <f>SUM(F31:F32)</f>
        <v>1358.3</v>
      </c>
      <c r="I30" s="145">
        <f t="shared" si="1"/>
        <v>-1358.3</v>
      </c>
      <c r="J30" s="145"/>
    </row>
    <row r="31" spans="1:10" ht="63">
      <c r="A31" s="74" t="s">
        <v>55</v>
      </c>
      <c r="B31" s="50" t="s">
        <v>250</v>
      </c>
      <c r="C31" s="50" t="s">
        <v>99</v>
      </c>
      <c r="D31" s="50" t="s">
        <v>38</v>
      </c>
      <c r="E31" s="50" t="s">
        <v>17</v>
      </c>
      <c r="F31" s="51">
        <v>1334.7</v>
      </c>
      <c r="G31" s="144">
        <f>SUM(Ведомственная!G82)</f>
        <v>1334.7</v>
      </c>
      <c r="I31" s="145">
        <f t="shared" si="1"/>
        <v>0</v>
      </c>
      <c r="J31" s="145"/>
    </row>
    <row r="32" spans="1:10" ht="31.5">
      <c r="A32" s="48" t="s">
        <v>56</v>
      </c>
      <c r="B32" s="50" t="s">
        <v>250</v>
      </c>
      <c r="C32" s="50" t="s">
        <v>101</v>
      </c>
      <c r="D32" s="50" t="s">
        <v>38</v>
      </c>
      <c r="E32" s="50" t="s">
        <v>17</v>
      </c>
      <c r="F32" s="51">
        <v>23.6</v>
      </c>
      <c r="G32" s="144">
        <f>SUM(Ведомственная!G83)</f>
        <v>23.6</v>
      </c>
      <c r="I32" s="145">
        <f t="shared" si="1"/>
        <v>0</v>
      </c>
      <c r="J32" s="145"/>
    </row>
    <row r="33" spans="1:10" ht="63">
      <c r="A33" s="74" t="s">
        <v>633</v>
      </c>
      <c r="B33" s="56" t="s">
        <v>634</v>
      </c>
      <c r="C33" s="54"/>
      <c r="D33" s="54"/>
      <c r="E33" s="54"/>
      <c r="F33" s="55">
        <f>F34+F35</f>
        <v>5406.200000000001</v>
      </c>
      <c r="I33" s="145">
        <f t="shared" si="1"/>
        <v>-5406.200000000001</v>
      </c>
      <c r="J33" s="145"/>
    </row>
    <row r="34" spans="1:10" ht="63">
      <c r="A34" s="74" t="s">
        <v>55</v>
      </c>
      <c r="B34" s="56" t="s">
        <v>634</v>
      </c>
      <c r="C34" s="54" t="s">
        <v>99</v>
      </c>
      <c r="D34" s="54" t="s">
        <v>125</v>
      </c>
      <c r="E34" s="54" t="s">
        <v>192</v>
      </c>
      <c r="F34" s="55">
        <v>4769.6</v>
      </c>
      <c r="G34" s="144">
        <f>SUM(Ведомственная!G926)</f>
        <v>4769.6</v>
      </c>
      <c r="I34" s="145">
        <f t="shared" si="1"/>
        <v>0</v>
      </c>
      <c r="J34" s="145"/>
    </row>
    <row r="35" spans="1:10" ht="31.5">
      <c r="A35" s="74" t="s">
        <v>56</v>
      </c>
      <c r="B35" s="56" t="s">
        <v>634</v>
      </c>
      <c r="C35" s="54" t="s">
        <v>101</v>
      </c>
      <c r="D35" s="54" t="s">
        <v>125</v>
      </c>
      <c r="E35" s="54" t="s">
        <v>192</v>
      </c>
      <c r="F35" s="55">
        <v>636.6</v>
      </c>
      <c r="G35" s="144">
        <f>SUM(Ведомственная!G927)</f>
        <v>636.6</v>
      </c>
      <c r="I35" s="145">
        <f t="shared" si="1"/>
        <v>0</v>
      </c>
      <c r="J35" s="145"/>
    </row>
    <row r="36" spans="1:10" ht="47.25">
      <c r="A36" s="74" t="s">
        <v>623</v>
      </c>
      <c r="B36" s="53" t="s">
        <v>624</v>
      </c>
      <c r="C36" s="54"/>
      <c r="D36" s="54"/>
      <c r="E36" s="54"/>
      <c r="F36" s="57">
        <f>F37</f>
        <v>6950.5</v>
      </c>
      <c r="I36" s="145">
        <f t="shared" si="1"/>
        <v>-6950.5</v>
      </c>
      <c r="J36" s="145"/>
    </row>
    <row r="37" spans="1:10" ht="31.5">
      <c r="A37" s="74" t="s">
        <v>134</v>
      </c>
      <c r="B37" s="53" t="s">
        <v>624</v>
      </c>
      <c r="C37" s="54" t="s">
        <v>135</v>
      </c>
      <c r="D37" s="54" t="s">
        <v>125</v>
      </c>
      <c r="E37" s="54" t="s">
        <v>48</v>
      </c>
      <c r="F37" s="57">
        <v>6950.5</v>
      </c>
      <c r="G37" s="144">
        <f>SUM(Ведомственная!G817)</f>
        <v>6950.5</v>
      </c>
      <c r="I37" s="145">
        <f t="shared" si="1"/>
        <v>0</v>
      </c>
      <c r="J37" s="145"/>
    </row>
    <row r="38" spans="1:10" ht="94.5">
      <c r="A38" s="74" t="s">
        <v>625</v>
      </c>
      <c r="B38" s="53" t="s">
        <v>626</v>
      </c>
      <c r="C38" s="54"/>
      <c r="D38" s="54"/>
      <c r="E38" s="54"/>
      <c r="F38" s="57">
        <f>F39+F40</f>
        <v>47087.299999999996</v>
      </c>
      <c r="I38" s="145">
        <f t="shared" si="1"/>
        <v>-47087.299999999996</v>
      </c>
      <c r="J38" s="145"/>
    </row>
    <row r="39" spans="1:10" ht="63">
      <c r="A39" s="48" t="s">
        <v>55</v>
      </c>
      <c r="B39" s="53" t="s">
        <v>626</v>
      </c>
      <c r="C39" s="54" t="s">
        <v>99</v>
      </c>
      <c r="D39" s="54" t="s">
        <v>125</v>
      </c>
      <c r="E39" s="54" t="s">
        <v>48</v>
      </c>
      <c r="F39" s="57">
        <v>43826.6</v>
      </c>
      <c r="G39" s="144">
        <f>SUM(Ведомственная!G819)</f>
        <v>43826.6</v>
      </c>
      <c r="I39" s="145">
        <f t="shared" si="1"/>
        <v>0</v>
      </c>
      <c r="J39" s="145"/>
    </row>
    <row r="40" spans="1:10" ht="31.5">
      <c r="A40" s="74" t="s">
        <v>56</v>
      </c>
      <c r="B40" s="53" t="s">
        <v>626</v>
      </c>
      <c r="C40" s="54" t="s">
        <v>101</v>
      </c>
      <c r="D40" s="54" t="s">
        <v>125</v>
      </c>
      <c r="E40" s="54" t="s">
        <v>48</v>
      </c>
      <c r="F40" s="57">
        <v>3260.7</v>
      </c>
      <c r="G40" s="144">
        <f>SUM(Ведомственная!G820)</f>
        <v>3260.7</v>
      </c>
      <c r="I40" s="145">
        <f t="shared" si="1"/>
        <v>0</v>
      </c>
      <c r="J40" s="145"/>
    </row>
    <row r="41" spans="1:10" ht="78.75">
      <c r="A41" s="74" t="s">
        <v>627</v>
      </c>
      <c r="B41" s="53" t="s">
        <v>628</v>
      </c>
      <c r="C41" s="54"/>
      <c r="D41" s="54"/>
      <c r="E41" s="54"/>
      <c r="F41" s="57">
        <f>F42+F43+F44</f>
        <v>718580.5</v>
      </c>
      <c r="I41" s="145">
        <f t="shared" si="1"/>
        <v>-718580.5</v>
      </c>
      <c r="J41" s="145"/>
    </row>
    <row r="42" spans="1:10" ht="63">
      <c r="A42" s="74" t="s">
        <v>55</v>
      </c>
      <c r="B42" s="53" t="s">
        <v>628</v>
      </c>
      <c r="C42" s="54" t="s">
        <v>99</v>
      </c>
      <c r="D42" s="54" t="s">
        <v>125</v>
      </c>
      <c r="E42" s="54" t="s">
        <v>48</v>
      </c>
      <c r="F42" s="57">
        <v>334439.4</v>
      </c>
      <c r="G42" s="144">
        <f>SUM(Ведомственная!G822)</f>
        <v>334439.4</v>
      </c>
      <c r="I42" s="145">
        <f t="shared" si="1"/>
        <v>0</v>
      </c>
      <c r="J42" s="145"/>
    </row>
    <row r="43" spans="1:10" ht="31.5">
      <c r="A43" s="74" t="s">
        <v>56</v>
      </c>
      <c r="B43" s="53" t="s">
        <v>628</v>
      </c>
      <c r="C43" s="54" t="s">
        <v>101</v>
      </c>
      <c r="D43" s="54" t="s">
        <v>125</v>
      </c>
      <c r="E43" s="54" t="s">
        <v>48</v>
      </c>
      <c r="F43" s="57">
        <v>10268.1</v>
      </c>
      <c r="G43" s="144">
        <f>SUM(Ведомственная!G823)</f>
        <v>10268.1</v>
      </c>
      <c r="I43" s="145">
        <f t="shared" si="1"/>
        <v>0</v>
      </c>
      <c r="J43" s="145"/>
    </row>
    <row r="44" spans="1:10" ht="31.5">
      <c r="A44" s="74" t="s">
        <v>134</v>
      </c>
      <c r="B44" s="53" t="s">
        <v>628</v>
      </c>
      <c r="C44" s="54" t="s">
        <v>135</v>
      </c>
      <c r="D44" s="54" t="s">
        <v>125</v>
      </c>
      <c r="E44" s="54" t="s">
        <v>48</v>
      </c>
      <c r="F44" s="57">
        <v>373873</v>
      </c>
      <c r="G44" s="144">
        <f>SUM(Ведомственная!G824)</f>
        <v>373873</v>
      </c>
      <c r="I44" s="145">
        <f t="shared" si="1"/>
        <v>0</v>
      </c>
      <c r="J44" s="145"/>
    </row>
    <row r="45" spans="1:10" ht="47.25">
      <c r="A45" s="74" t="s">
        <v>616</v>
      </c>
      <c r="B45" s="58" t="s">
        <v>617</v>
      </c>
      <c r="C45" s="59"/>
      <c r="D45" s="60"/>
      <c r="E45" s="60"/>
      <c r="F45" s="57">
        <f>F51+F46+F49</f>
        <v>561116.7</v>
      </c>
      <c r="H45" s="146">
        <f>SUM(G46:G57)</f>
        <v>561116.7</v>
      </c>
      <c r="I45" s="145">
        <f t="shared" si="1"/>
        <v>-561116.7</v>
      </c>
      <c r="J45" s="145"/>
    </row>
    <row r="46" spans="1:10" ht="47.25">
      <c r="A46" s="74" t="s">
        <v>612</v>
      </c>
      <c r="B46" s="125" t="s">
        <v>773</v>
      </c>
      <c r="C46" s="59"/>
      <c r="D46" s="60"/>
      <c r="E46" s="60"/>
      <c r="F46" s="57">
        <f>SUM(F47)</f>
        <v>5850</v>
      </c>
      <c r="H46" s="146"/>
      <c r="I46" s="145">
        <f t="shared" si="1"/>
        <v>-5850</v>
      </c>
      <c r="J46" s="145"/>
    </row>
    <row r="47" spans="1:10" ht="63">
      <c r="A47" s="154" t="s">
        <v>775</v>
      </c>
      <c r="B47" s="125" t="s">
        <v>774</v>
      </c>
      <c r="C47" s="59"/>
      <c r="D47" s="60"/>
      <c r="E47" s="60"/>
      <c r="F47" s="57">
        <f>SUM(F48)</f>
        <v>5850</v>
      </c>
      <c r="H47" s="146"/>
      <c r="I47" s="145">
        <f t="shared" si="1"/>
        <v>-5850</v>
      </c>
      <c r="J47" s="145"/>
    </row>
    <row r="48" spans="1:10" ht="31.5">
      <c r="A48" s="74" t="s">
        <v>283</v>
      </c>
      <c r="B48" s="125" t="s">
        <v>774</v>
      </c>
      <c r="C48" s="59">
        <v>600</v>
      </c>
      <c r="D48" s="54" t="s">
        <v>125</v>
      </c>
      <c r="E48" s="54" t="s">
        <v>38</v>
      </c>
      <c r="F48" s="57">
        <v>5850</v>
      </c>
      <c r="G48" s="144">
        <f>SUM(Ведомственная!G768)</f>
        <v>5850</v>
      </c>
      <c r="H48" s="146"/>
      <c r="I48" s="145">
        <f t="shared" si="1"/>
        <v>0</v>
      </c>
      <c r="J48" s="145"/>
    </row>
    <row r="49" spans="1:10" ht="78.75">
      <c r="A49" s="159" t="s">
        <v>807</v>
      </c>
      <c r="B49" s="125" t="s">
        <v>808</v>
      </c>
      <c r="C49" s="59"/>
      <c r="D49" s="54"/>
      <c r="E49" s="54"/>
      <c r="F49" s="57">
        <f>SUM(F50)</f>
        <v>12112.4</v>
      </c>
      <c r="H49" s="146"/>
      <c r="I49" s="145">
        <f t="shared" si="1"/>
        <v>-12112.4</v>
      </c>
      <c r="J49" s="145"/>
    </row>
    <row r="50" spans="1:10" ht="15.75">
      <c r="A50" s="159" t="s">
        <v>46</v>
      </c>
      <c r="B50" s="125" t="s">
        <v>808</v>
      </c>
      <c r="C50" s="59">
        <v>300</v>
      </c>
      <c r="D50" s="54" t="s">
        <v>35</v>
      </c>
      <c r="E50" s="54" t="s">
        <v>17</v>
      </c>
      <c r="F50" s="57">
        <v>12112.4</v>
      </c>
      <c r="G50" s="144">
        <f>SUM(Ведомственная!G959)</f>
        <v>12112.4</v>
      </c>
      <c r="H50" s="146"/>
      <c r="I50" s="145">
        <f t="shared" si="1"/>
        <v>0</v>
      </c>
      <c r="J50" s="145"/>
    </row>
    <row r="51" spans="1:10" ht="94.5">
      <c r="A51" s="74" t="s">
        <v>618</v>
      </c>
      <c r="B51" s="58" t="s">
        <v>619</v>
      </c>
      <c r="C51" s="59"/>
      <c r="D51" s="60"/>
      <c r="E51" s="60"/>
      <c r="F51" s="57">
        <f>F52+F56</f>
        <v>543154.2999999999</v>
      </c>
      <c r="I51" s="145">
        <f t="shared" si="1"/>
        <v>-543154.2999999999</v>
      </c>
      <c r="J51" s="145"/>
    </row>
    <row r="52" spans="1:10" ht="47.25">
      <c r="A52" s="74" t="s">
        <v>620</v>
      </c>
      <c r="B52" s="58" t="s">
        <v>621</v>
      </c>
      <c r="C52" s="59"/>
      <c r="D52" s="60"/>
      <c r="E52" s="60"/>
      <c r="F52" s="57">
        <f>F53+F54+F55</f>
        <v>511111.6</v>
      </c>
      <c r="I52" s="145">
        <f t="shared" si="1"/>
        <v>-511111.6</v>
      </c>
      <c r="J52" s="145"/>
    </row>
    <row r="53" spans="1:10" ht="63">
      <c r="A53" s="74" t="s">
        <v>55</v>
      </c>
      <c r="B53" s="53" t="s">
        <v>621</v>
      </c>
      <c r="C53" s="54" t="s">
        <v>99</v>
      </c>
      <c r="D53" s="54" t="s">
        <v>125</v>
      </c>
      <c r="E53" s="54" t="s">
        <v>38</v>
      </c>
      <c r="F53" s="57">
        <v>81202.6</v>
      </c>
      <c r="G53" s="144">
        <f>SUM(Ведомственная!G771)</f>
        <v>81202.6</v>
      </c>
      <c r="I53" s="145">
        <f t="shared" si="1"/>
        <v>0</v>
      </c>
      <c r="J53" s="145"/>
    </row>
    <row r="54" spans="1:10" ht="31.5">
      <c r="A54" s="74" t="s">
        <v>56</v>
      </c>
      <c r="B54" s="53" t="s">
        <v>621</v>
      </c>
      <c r="C54" s="54" t="s">
        <v>101</v>
      </c>
      <c r="D54" s="54" t="s">
        <v>125</v>
      </c>
      <c r="E54" s="54" t="s">
        <v>38</v>
      </c>
      <c r="F54" s="57">
        <f>916.1+1468.3</f>
        <v>2384.4</v>
      </c>
      <c r="G54" s="144">
        <f>SUM(Ведомственная!G772)</f>
        <v>2384.4</v>
      </c>
      <c r="I54" s="145">
        <f t="shared" si="1"/>
        <v>0</v>
      </c>
      <c r="J54" s="145"/>
    </row>
    <row r="55" spans="1:10" ht="31.5">
      <c r="A55" s="74" t="s">
        <v>283</v>
      </c>
      <c r="B55" s="53" t="s">
        <v>621</v>
      </c>
      <c r="C55" s="54" t="s">
        <v>135</v>
      </c>
      <c r="D55" s="54" t="s">
        <v>125</v>
      </c>
      <c r="E55" s="54" t="s">
        <v>38</v>
      </c>
      <c r="F55" s="57">
        <v>427524.6</v>
      </c>
      <c r="G55" s="144">
        <f>SUM(Ведомственная!G773)</f>
        <v>427524.6</v>
      </c>
      <c r="I55" s="145">
        <f t="shared" si="1"/>
        <v>0</v>
      </c>
      <c r="J55" s="145"/>
    </row>
    <row r="56" spans="1:10" ht="78.75">
      <c r="A56" s="74" t="s">
        <v>641</v>
      </c>
      <c r="B56" s="53" t="s">
        <v>642</v>
      </c>
      <c r="C56" s="54"/>
      <c r="D56" s="54"/>
      <c r="E56" s="54"/>
      <c r="F56" s="55">
        <f>F57</f>
        <v>32042.7</v>
      </c>
      <c r="I56" s="145">
        <f t="shared" si="1"/>
        <v>-32042.7</v>
      </c>
      <c r="J56" s="145"/>
    </row>
    <row r="57" spans="1:10" ht="15.75">
      <c r="A57" s="74" t="s">
        <v>46</v>
      </c>
      <c r="B57" s="53" t="s">
        <v>642</v>
      </c>
      <c r="C57" s="54">
        <v>300</v>
      </c>
      <c r="D57" s="54" t="s">
        <v>35</v>
      </c>
      <c r="E57" s="54" t="s">
        <v>17</v>
      </c>
      <c r="F57" s="55">
        <v>32042.7</v>
      </c>
      <c r="G57" s="144">
        <f>SUM(Ведомственная!G962)</f>
        <v>32042.7</v>
      </c>
      <c r="I57" s="145">
        <f t="shared" si="1"/>
        <v>0</v>
      </c>
      <c r="J57" s="145"/>
    </row>
    <row r="58" spans="1:10" ht="47.25">
      <c r="A58" s="153" t="s">
        <v>752</v>
      </c>
      <c r="B58" s="70" t="s">
        <v>757</v>
      </c>
      <c r="C58" s="54"/>
      <c r="D58" s="54"/>
      <c r="E58" s="54"/>
      <c r="F58" s="55">
        <f>SUM(F59)+F73+F65+F69</f>
        <v>134387.2</v>
      </c>
      <c r="H58" s="144">
        <f>SUM(G62:G76)</f>
        <v>134387.2</v>
      </c>
      <c r="I58" s="145">
        <f>SUM(F58-H58)</f>
        <v>0</v>
      </c>
      <c r="J58" s="145"/>
    </row>
    <row r="59" spans="1:10" ht="31.5">
      <c r="A59" s="9" t="s">
        <v>360</v>
      </c>
      <c r="B59" s="70" t="s">
        <v>758</v>
      </c>
      <c r="C59" s="54"/>
      <c r="D59" s="54"/>
      <c r="E59" s="54"/>
      <c r="F59" s="55">
        <f>SUM(F60)</f>
        <v>46600</v>
      </c>
      <c r="I59" s="145">
        <f t="shared" si="1"/>
        <v>-46600</v>
      </c>
      <c r="J59" s="145"/>
    </row>
    <row r="60" spans="1:10" ht="47.25">
      <c r="A60" s="74" t="s">
        <v>612</v>
      </c>
      <c r="B60" s="70" t="s">
        <v>759</v>
      </c>
      <c r="C60" s="54"/>
      <c r="D60" s="54"/>
      <c r="E60" s="54"/>
      <c r="F60" s="55">
        <f>SUM(F61)+F63</f>
        <v>46600</v>
      </c>
      <c r="I60" s="145">
        <f t="shared" si="1"/>
        <v>-46600</v>
      </c>
      <c r="J60" s="145"/>
    </row>
    <row r="61" spans="1:10" ht="15.75">
      <c r="A61" s="67" t="s">
        <v>761</v>
      </c>
      <c r="B61" s="70" t="s">
        <v>760</v>
      </c>
      <c r="C61" s="54"/>
      <c r="D61" s="54"/>
      <c r="E61" s="54"/>
      <c r="F61" s="55">
        <f>SUM(F62)</f>
        <v>31600</v>
      </c>
      <c r="I61" s="145">
        <f t="shared" si="1"/>
        <v>-31600</v>
      </c>
      <c r="J61" s="145"/>
    </row>
    <row r="62" spans="1:10" ht="31.5">
      <c r="A62" s="67" t="s">
        <v>359</v>
      </c>
      <c r="B62" s="70" t="s">
        <v>760</v>
      </c>
      <c r="C62" s="54" t="s">
        <v>313</v>
      </c>
      <c r="D62" s="54" t="s">
        <v>188</v>
      </c>
      <c r="E62" s="54" t="s">
        <v>188</v>
      </c>
      <c r="F62" s="55">
        <v>31600</v>
      </c>
      <c r="G62" s="144">
        <f>SUM(Ведомственная!G320)</f>
        <v>31600</v>
      </c>
      <c r="I62" s="145">
        <f t="shared" si="1"/>
        <v>0</v>
      </c>
      <c r="J62" s="145"/>
    </row>
    <row r="63" spans="1:10" ht="63">
      <c r="A63" s="67" t="s">
        <v>767</v>
      </c>
      <c r="B63" s="70" t="s">
        <v>766</v>
      </c>
      <c r="C63" s="54"/>
      <c r="D63" s="54"/>
      <c r="E63" s="54"/>
      <c r="F63" s="55">
        <f>SUM(F64)</f>
        <v>15000</v>
      </c>
      <c r="I63" s="145">
        <f t="shared" si="1"/>
        <v>-15000</v>
      </c>
      <c r="J63" s="145"/>
    </row>
    <row r="64" spans="1:10" ht="31.5">
      <c r="A64" s="67" t="s">
        <v>56</v>
      </c>
      <c r="B64" s="70" t="s">
        <v>766</v>
      </c>
      <c r="C64" s="54" t="s">
        <v>101</v>
      </c>
      <c r="D64" s="54" t="s">
        <v>188</v>
      </c>
      <c r="E64" s="54" t="s">
        <v>48</v>
      </c>
      <c r="F64" s="55">
        <v>15000</v>
      </c>
      <c r="G64" s="144">
        <f>SUM(Ведомственная!G259)</f>
        <v>15000</v>
      </c>
      <c r="I64" s="145">
        <f t="shared" si="1"/>
        <v>0</v>
      </c>
      <c r="J64" s="145"/>
    </row>
    <row r="65" spans="1:10" ht="31.5">
      <c r="A65" s="153" t="s">
        <v>789</v>
      </c>
      <c r="B65" s="163" t="s">
        <v>790</v>
      </c>
      <c r="C65" s="54"/>
      <c r="D65" s="54"/>
      <c r="E65" s="54"/>
      <c r="F65" s="55">
        <f>SUM(F66)</f>
        <v>29011.3</v>
      </c>
      <c r="I65" s="145">
        <f t="shared" si="1"/>
        <v>-29011.3</v>
      </c>
      <c r="J65" s="145"/>
    </row>
    <row r="66" spans="1:10" ht="47.25">
      <c r="A66" s="159" t="s">
        <v>700</v>
      </c>
      <c r="B66" s="163" t="s">
        <v>791</v>
      </c>
      <c r="C66" s="54"/>
      <c r="D66" s="54"/>
      <c r="E66" s="54"/>
      <c r="F66" s="55">
        <f>SUM(F67)</f>
        <v>29011.3</v>
      </c>
      <c r="I66" s="145">
        <f t="shared" si="1"/>
        <v>-29011.3</v>
      </c>
      <c r="J66" s="145"/>
    </row>
    <row r="67" spans="1:10" ht="47.25">
      <c r="A67" s="159" t="s">
        <v>792</v>
      </c>
      <c r="B67" s="163" t="s">
        <v>793</v>
      </c>
      <c r="C67" s="54"/>
      <c r="D67" s="54"/>
      <c r="E67" s="54"/>
      <c r="F67" s="55">
        <f>SUM(F68)</f>
        <v>29011.3</v>
      </c>
      <c r="I67" s="145">
        <f t="shared" si="1"/>
        <v>-29011.3</v>
      </c>
      <c r="J67" s="145"/>
    </row>
    <row r="68" spans="1:10" ht="31.5">
      <c r="A68" s="74" t="s">
        <v>312</v>
      </c>
      <c r="B68" s="163" t="s">
        <v>793</v>
      </c>
      <c r="C68" s="54" t="s">
        <v>313</v>
      </c>
      <c r="D68" s="54" t="s">
        <v>188</v>
      </c>
      <c r="E68" s="54" t="s">
        <v>38</v>
      </c>
      <c r="F68" s="55">
        <v>29011.3</v>
      </c>
      <c r="G68" s="144">
        <f>SUM(Ведомственная!G246)</f>
        <v>29011.3</v>
      </c>
      <c r="I68" s="145">
        <f t="shared" si="1"/>
        <v>0</v>
      </c>
      <c r="J68" s="145"/>
    </row>
    <row r="69" spans="1:10" ht="31.5">
      <c r="A69" s="159" t="s">
        <v>794</v>
      </c>
      <c r="B69" s="163" t="s">
        <v>795</v>
      </c>
      <c r="C69" s="54"/>
      <c r="D69" s="54"/>
      <c r="E69" s="54"/>
      <c r="F69" s="55">
        <f>SUM(F70)</f>
        <v>469.1</v>
      </c>
      <c r="I69" s="145">
        <f t="shared" si="1"/>
        <v>-469.1</v>
      </c>
      <c r="J69" s="145"/>
    </row>
    <row r="70" spans="1:10" ht="47.25">
      <c r="A70" s="159" t="s">
        <v>700</v>
      </c>
      <c r="B70" s="163" t="s">
        <v>796</v>
      </c>
      <c r="C70" s="54"/>
      <c r="D70" s="54"/>
      <c r="E70" s="54"/>
      <c r="F70" s="55">
        <f>SUM(F71)</f>
        <v>469.1</v>
      </c>
      <c r="I70" s="145">
        <f t="shared" si="1"/>
        <v>-469.1</v>
      </c>
      <c r="J70" s="145"/>
    </row>
    <row r="71" spans="1:10" ht="63">
      <c r="A71" s="159" t="s">
        <v>797</v>
      </c>
      <c r="B71" s="163" t="s">
        <v>798</v>
      </c>
      <c r="C71" s="54"/>
      <c r="D71" s="54"/>
      <c r="E71" s="54"/>
      <c r="F71" s="55">
        <f>SUM(F72)</f>
        <v>469.1</v>
      </c>
      <c r="I71" s="145">
        <f t="shared" si="1"/>
        <v>-469.1</v>
      </c>
      <c r="J71" s="145"/>
    </row>
    <row r="72" spans="1:10" ht="15.75">
      <c r="A72" s="159" t="s">
        <v>46</v>
      </c>
      <c r="B72" s="163" t="s">
        <v>798</v>
      </c>
      <c r="C72" s="54" t="s">
        <v>109</v>
      </c>
      <c r="D72" s="54" t="s">
        <v>35</v>
      </c>
      <c r="E72" s="54" t="s">
        <v>58</v>
      </c>
      <c r="F72" s="55">
        <v>469.1</v>
      </c>
      <c r="G72" s="144">
        <f>SUM(Ведомственная!G378)</f>
        <v>469.1</v>
      </c>
      <c r="I72" s="145">
        <f t="shared" si="1"/>
        <v>0</v>
      </c>
      <c r="J72" s="145"/>
    </row>
    <row r="73" spans="1:10" ht="31.5">
      <c r="A73" s="67" t="s">
        <v>769</v>
      </c>
      <c r="B73" s="77" t="s">
        <v>768</v>
      </c>
      <c r="C73" s="54"/>
      <c r="D73" s="54"/>
      <c r="E73" s="54"/>
      <c r="F73" s="61">
        <f>SUM(F74)</f>
        <v>58306.8</v>
      </c>
      <c r="I73" s="145">
        <f t="shared" si="1"/>
        <v>-58306.8</v>
      </c>
      <c r="J73" s="145"/>
    </row>
    <row r="74" spans="1:10" ht="47.25">
      <c r="A74" s="74" t="s">
        <v>612</v>
      </c>
      <c r="B74" s="77" t="s">
        <v>770</v>
      </c>
      <c r="C74" s="54"/>
      <c r="D74" s="54"/>
      <c r="E74" s="54"/>
      <c r="F74" s="61">
        <f>SUM(F75)</f>
        <v>58306.8</v>
      </c>
      <c r="I74" s="145">
        <f t="shared" si="1"/>
        <v>-58306.8</v>
      </c>
      <c r="J74" s="145"/>
    </row>
    <row r="75" spans="1:10" ht="31.5">
      <c r="A75" s="67" t="s">
        <v>772</v>
      </c>
      <c r="B75" s="77" t="s">
        <v>771</v>
      </c>
      <c r="C75" s="54"/>
      <c r="D75" s="54"/>
      <c r="E75" s="54"/>
      <c r="F75" s="61">
        <f>SUM(F76)</f>
        <v>58306.8</v>
      </c>
      <c r="I75" s="145">
        <f t="shared" si="1"/>
        <v>-58306.8</v>
      </c>
      <c r="J75" s="145"/>
    </row>
    <row r="76" spans="1:10" ht="31.5">
      <c r="A76" s="67" t="s">
        <v>56</v>
      </c>
      <c r="B76" s="77" t="s">
        <v>771</v>
      </c>
      <c r="C76" s="54" t="s">
        <v>101</v>
      </c>
      <c r="D76" s="54" t="s">
        <v>188</v>
      </c>
      <c r="E76" s="54" t="s">
        <v>58</v>
      </c>
      <c r="F76" s="61">
        <v>58306.8</v>
      </c>
      <c r="G76" s="144">
        <f>SUM(Ведомственная!G289)</f>
        <v>58306.8</v>
      </c>
      <c r="I76" s="145">
        <f t="shared" si="1"/>
        <v>0</v>
      </c>
      <c r="J76" s="145"/>
    </row>
    <row r="77" spans="1:10" ht="47.25">
      <c r="A77" s="74" t="s">
        <v>689</v>
      </c>
      <c r="B77" s="54" t="s">
        <v>690</v>
      </c>
      <c r="C77" s="54"/>
      <c r="D77" s="54"/>
      <c r="E77" s="54"/>
      <c r="F77" s="57">
        <f>F78+F85+F89</f>
        <v>24139.8</v>
      </c>
      <c r="H77" s="146">
        <f>SUM(G78:G94)</f>
        <v>24139.8</v>
      </c>
      <c r="I77" s="145">
        <f t="shared" si="1"/>
        <v>-24139.8</v>
      </c>
      <c r="J77" s="145"/>
    </row>
    <row r="78" spans="1:10" ht="31.5">
      <c r="A78" s="74" t="s">
        <v>691</v>
      </c>
      <c r="B78" s="54" t="s">
        <v>692</v>
      </c>
      <c r="C78" s="54"/>
      <c r="D78" s="54"/>
      <c r="E78" s="54"/>
      <c r="F78" s="61">
        <f>+F79</f>
        <v>21463.3</v>
      </c>
      <c r="I78" s="145">
        <f t="shared" si="1"/>
        <v>-21463.3</v>
      </c>
      <c r="J78" s="145"/>
    </row>
    <row r="79" spans="1:10" ht="47.25">
      <c r="A79" s="74" t="s">
        <v>700</v>
      </c>
      <c r="B79" s="54" t="s">
        <v>693</v>
      </c>
      <c r="C79" s="54"/>
      <c r="D79" s="54"/>
      <c r="E79" s="54"/>
      <c r="F79" s="61">
        <f>+F80+F83</f>
        <v>21463.3</v>
      </c>
      <c r="I79" s="145">
        <f t="shared" si="1"/>
        <v>-21463.3</v>
      </c>
      <c r="J79" s="145"/>
    </row>
    <row r="80" spans="1:10" ht="31.5">
      <c r="A80" s="74" t="s">
        <v>694</v>
      </c>
      <c r="B80" s="54" t="s">
        <v>695</v>
      </c>
      <c r="C80" s="54"/>
      <c r="D80" s="54"/>
      <c r="E80" s="54"/>
      <c r="F80" s="61">
        <f>SUM(F81:F82)</f>
        <v>9197.8</v>
      </c>
      <c r="I80" s="145">
        <f t="shared" si="1"/>
        <v>-9197.8</v>
      </c>
      <c r="J80" s="145"/>
    </row>
    <row r="81" spans="1:10" ht="31.5">
      <c r="A81" s="67" t="s">
        <v>56</v>
      </c>
      <c r="B81" s="54" t="s">
        <v>695</v>
      </c>
      <c r="C81" s="54" t="s">
        <v>101</v>
      </c>
      <c r="D81" s="54" t="s">
        <v>189</v>
      </c>
      <c r="E81" s="54" t="s">
        <v>48</v>
      </c>
      <c r="F81" s="61">
        <v>469.5</v>
      </c>
      <c r="G81" s="144">
        <f>SUM(Ведомственная!G746)</f>
        <v>469.5</v>
      </c>
      <c r="I81" s="145">
        <f t="shared" si="1"/>
        <v>0</v>
      </c>
      <c r="J81" s="145"/>
    </row>
    <row r="82" spans="1:10" ht="31.5">
      <c r="A82" s="74" t="s">
        <v>76</v>
      </c>
      <c r="B82" s="54" t="s">
        <v>695</v>
      </c>
      <c r="C82" s="54" t="s">
        <v>135</v>
      </c>
      <c r="D82" s="54" t="s">
        <v>189</v>
      </c>
      <c r="E82" s="54" t="s">
        <v>48</v>
      </c>
      <c r="F82" s="61">
        <v>8728.3</v>
      </c>
      <c r="G82" s="144">
        <f>SUM(Ведомственная!G747)</f>
        <v>8728.3</v>
      </c>
      <c r="I82" s="145">
        <f t="shared" si="1"/>
        <v>0</v>
      </c>
      <c r="J82" s="145"/>
    </row>
    <row r="83" spans="1:10" ht="31.5">
      <c r="A83" s="74" t="s">
        <v>782</v>
      </c>
      <c r="B83" s="54" t="s">
        <v>783</v>
      </c>
      <c r="C83" s="54"/>
      <c r="D83" s="54"/>
      <c r="E83" s="54"/>
      <c r="F83" s="61">
        <f>SUM(F84)</f>
        <v>12265.5</v>
      </c>
      <c r="I83" s="145">
        <f t="shared" si="1"/>
        <v>-12265.5</v>
      </c>
      <c r="J83" s="145"/>
    </row>
    <row r="84" spans="1:10" ht="31.5">
      <c r="A84" s="74" t="s">
        <v>283</v>
      </c>
      <c r="B84" s="54" t="s">
        <v>783</v>
      </c>
      <c r="C84" s="54" t="s">
        <v>135</v>
      </c>
      <c r="D84" s="54" t="s">
        <v>189</v>
      </c>
      <c r="E84" s="54" t="s">
        <v>48</v>
      </c>
      <c r="F84" s="61">
        <v>12265.5</v>
      </c>
      <c r="G84" s="144">
        <f>SUM(Ведомственная!G749)</f>
        <v>12265.5</v>
      </c>
      <c r="I84" s="145">
        <f t="shared" si="1"/>
        <v>0</v>
      </c>
      <c r="J84" s="145"/>
    </row>
    <row r="85" spans="1:10" ht="15.75">
      <c r="A85" s="74" t="s">
        <v>696</v>
      </c>
      <c r="B85" s="54" t="s">
        <v>697</v>
      </c>
      <c r="C85" s="54"/>
      <c r="D85" s="54"/>
      <c r="E85" s="54"/>
      <c r="F85" s="61">
        <f>F86</f>
        <v>704.3</v>
      </c>
      <c r="I85" s="145">
        <f t="shared" si="1"/>
        <v>-704.3</v>
      </c>
      <c r="J85" s="145"/>
    </row>
    <row r="86" spans="1:10" ht="47.25">
      <c r="A86" s="74" t="s">
        <v>612</v>
      </c>
      <c r="B86" s="54" t="s">
        <v>698</v>
      </c>
      <c r="C86" s="54"/>
      <c r="D86" s="54"/>
      <c r="E86" s="54"/>
      <c r="F86" s="61">
        <f>+F87</f>
        <v>704.3</v>
      </c>
      <c r="I86" s="145">
        <f t="shared" si="1"/>
        <v>-704.3</v>
      </c>
      <c r="J86" s="145"/>
    </row>
    <row r="87" spans="1:10" ht="31.5">
      <c r="A87" s="74" t="s">
        <v>694</v>
      </c>
      <c r="B87" s="54" t="s">
        <v>699</v>
      </c>
      <c r="C87" s="54"/>
      <c r="D87" s="54"/>
      <c r="E87" s="54"/>
      <c r="F87" s="57">
        <f>+F88</f>
        <v>704.3</v>
      </c>
      <c r="I87" s="145">
        <f t="shared" si="1"/>
        <v>-704.3</v>
      </c>
      <c r="J87" s="145"/>
    </row>
    <row r="88" spans="1:10" ht="31.5">
      <c r="A88" s="74" t="s">
        <v>283</v>
      </c>
      <c r="B88" s="54" t="s">
        <v>699</v>
      </c>
      <c r="C88" s="54" t="s">
        <v>135</v>
      </c>
      <c r="D88" s="54" t="s">
        <v>189</v>
      </c>
      <c r="E88" s="54" t="s">
        <v>48</v>
      </c>
      <c r="F88" s="57">
        <v>704.3</v>
      </c>
      <c r="G88" s="144">
        <f>SUM(Ведомственная!G753)</f>
        <v>704.3</v>
      </c>
      <c r="I88" s="145">
        <f t="shared" si="1"/>
        <v>0</v>
      </c>
      <c r="J88" s="145"/>
    </row>
    <row r="89" spans="1:10" ht="15.75">
      <c r="A89" s="74" t="s">
        <v>765</v>
      </c>
      <c r="B89" s="54" t="s">
        <v>762</v>
      </c>
      <c r="C89" s="54"/>
      <c r="D89" s="54"/>
      <c r="E89" s="54"/>
      <c r="F89" s="57">
        <f>SUM(F90)</f>
        <v>1972.2</v>
      </c>
      <c r="I89" s="145">
        <f t="shared" si="1"/>
        <v>-1972.2</v>
      </c>
      <c r="J89" s="145"/>
    </row>
    <row r="90" spans="1:10" ht="47.25">
      <c r="A90" s="74" t="s">
        <v>612</v>
      </c>
      <c r="B90" s="54" t="s">
        <v>763</v>
      </c>
      <c r="C90" s="54"/>
      <c r="D90" s="54"/>
      <c r="E90" s="54"/>
      <c r="F90" s="57">
        <f>SUM(F91)+F93</f>
        <v>1972.2</v>
      </c>
      <c r="I90" s="145">
        <f t="shared" si="1"/>
        <v>-1972.2</v>
      </c>
      <c r="J90" s="145"/>
    </row>
    <row r="91" spans="1:10" ht="31.5">
      <c r="A91" s="74" t="s">
        <v>694</v>
      </c>
      <c r="B91" s="54" t="s">
        <v>764</v>
      </c>
      <c r="C91" s="54"/>
      <c r="D91" s="54"/>
      <c r="E91" s="54"/>
      <c r="F91" s="57">
        <f>SUM(F92)</f>
        <v>1533.2</v>
      </c>
      <c r="I91" s="145">
        <f t="shared" si="1"/>
        <v>-1533.2</v>
      </c>
      <c r="J91" s="145"/>
    </row>
    <row r="92" spans="1:10" ht="31.5">
      <c r="A92" s="74" t="s">
        <v>283</v>
      </c>
      <c r="B92" s="54" t="s">
        <v>764</v>
      </c>
      <c r="C92" s="54" t="s">
        <v>135</v>
      </c>
      <c r="D92" s="54" t="s">
        <v>189</v>
      </c>
      <c r="E92" s="54" t="s">
        <v>58</v>
      </c>
      <c r="F92" s="57">
        <v>1533.2</v>
      </c>
      <c r="G92" s="144">
        <f>SUM(Ведомственная!G759)</f>
        <v>1533.2</v>
      </c>
      <c r="I92" s="145">
        <f t="shared" si="1"/>
        <v>0</v>
      </c>
      <c r="J92" s="145"/>
    </row>
    <row r="93" spans="1:10" ht="47.25">
      <c r="A93" s="74" t="s">
        <v>784</v>
      </c>
      <c r="B93" s="54" t="s">
        <v>785</v>
      </c>
      <c r="C93" s="54"/>
      <c r="D93" s="54"/>
      <c r="E93" s="54"/>
      <c r="F93" s="57">
        <f>SUM(F94)</f>
        <v>439</v>
      </c>
      <c r="I93" s="145">
        <f t="shared" si="1"/>
        <v>-439</v>
      </c>
      <c r="J93" s="145"/>
    </row>
    <row r="94" spans="1:10" ht="31.5">
      <c r="A94" s="74" t="s">
        <v>283</v>
      </c>
      <c r="B94" s="54" t="s">
        <v>785</v>
      </c>
      <c r="C94" s="54" t="s">
        <v>135</v>
      </c>
      <c r="D94" s="54" t="s">
        <v>189</v>
      </c>
      <c r="E94" s="54" t="s">
        <v>58</v>
      </c>
      <c r="F94" s="57">
        <v>439</v>
      </c>
      <c r="G94" s="144">
        <f>SUM(Ведомственная!G761)</f>
        <v>439</v>
      </c>
      <c r="I94" s="145">
        <f t="shared" si="1"/>
        <v>0</v>
      </c>
      <c r="J94" s="145"/>
    </row>
    <row r="95" spans="1:10" ht="47.25">
      <c r="A95" s="48" t="s">
        <v>646</v>
      </c>
      <c r="B95" s="50" t="s">
        <v>540</v>
      </c>
      <c r="C95" s="62"/>
      <c r="D95" s="62"/>
      <c r="E95" s="62"/>
      <c r="F95" s="51">
        <f>SUM(F96)+F180+F126</f>
        <v>1089075.4</v>
      </c>
      <c r="H95" s="146">
        <f>SUM(G97:G191)</f>
        <v>1089075.4</v>
      </c>
      <c r="I95" s="145">
        <f t="shared" si="1"/>
        <v>-1089075.4</v>
      </c>
      <c r="J95" s="145">
        <f>SUM(H95-F95)</f>
        <v>0</v>
      </c>
    </row>
    <row r="96" spans="1:10" ht="15.75">
      <c r="A96" s="48" t="s">
        <v>647</v>
      </c>
      <c r="B96" s="50" t="s">
        <v>541</v>
      </c>
      <c r="C96" s="50"/>
      <c r="D96" s="50"/>
      <c r="E96" s="50"/>
      <c r="F96" s="51">
        <f>SUM(F97)</f>
        <v>314280.50000000006</v>
      </c>
      <c r="I96" s="145">
        <f t="shared" si="1"/>
        <v>-314280.50000000006</v>
      </c>
      <c r="J96" s="145">
        <f>SUM(H96-F96)</f>
        <v>-314280.50000000006</v>
      </c>
    </row>
    <row r="97" spans="1:10" ht="94.5">
      <c r="A97" s="48" t="s">
        <v>537</v>
      </c>
      <c r="B97" s="50" t="s">
        <v>542</v>
      </c>
      <c r="C97" s="50"/>
      <c r="D97" s="50"/>
      <c r="E97" s="50"/>
      <c r="F97" s="51">
        <f>SUM(F98+F103+F106+F109+F112+F115+F121+F123)+F118</f>
        <v>314280.50000000006</v>
      </c>
      <c r="I97" s="145">
        <f t="shared" si="1"/>
        <v>-314280.50000000006</v>
      </c>
      <c r="J97" s="145">
        <f>SUM(H97-F97)</f>
        <v>-314280.50000000006</v>
      </c>
    </row>
    <row r="98" spans="1:10" ht="47.25">
      <c r="A98" s="48" t="s">
        <v>596</v>
      </c>
      <c r="B98" s="49" t="s">
        <v>597</v>
      </c>
      <c r="C98" s="49"/>
      <c r="D98" s="50"/>
      <c r="E98" s="50"/>
      <c r="F98" s="51">
        <f>F99+F100+F102+F101</f>
        <v>68024.3</v>
      </c>
      <c r="I98" s="145">
        <f t="shared" si="1"/>
        <v>-68024.3</v>
      </c>
      <c r="J98" s="145"/>
    </row>
    <row r="99" spans="1:10" ht="63">
      <c r="A99" s="48" t="s">
        <v>55</v>
      </c>
      <c r="B99" s="49" t="s">
        <v>597</v>
      </c>
      <c r="C99" s="49">
        <v>100</v>
      </c>
      <c r="D99" s="50" t="s">
        <v>35</v>
      </c>
      <c r="E99" s="50" t="s">
        <v>17</v>
      </c>
      <c r="F99" s="51">
        <v>46736.3</v>
      </c>
      <c r="G99" s="144">
        <f>SUM(Ведомственная!G625)</f>
        <v>46736.3</v>
      </c>
      <c r="I99" s="145">
        <f t="shared" si="1"/>
        <v>0</v>
      </c>
      <c r="J99" s="145"/>
    </row>
    <row r="100" spans="1:10" ht="31.5">
      <c r="A100" s="48" t="s">
        <v>56</v>
      </c>
      <c r="B100" s="49" t="s">
        <v>597</v>
      </c>
      <c r="C100" s="49">
        <v>200</v>
      </c>
      <c r="D100" s="50" t="s">
        <v>35</v>
      </c>
      <c r="E100" s="50" t="s">
        <v>17</v>
      </c>
      <c r="F100" s="51">
        <v>20468.3</v>
      </c>
      <c r="G100" s="144">
        <f>SUM(Ведомственная!G626)</f>
        <v>20468.3</v>
      </c>
      <c r="I100" s="145">
        <f aca="true" t="shared" si="2" ref="I100:I163">G100-F100</f>
        <v>0</v>
      </c>
      <c r="J100" s="145"/>
    </row>
    <row r="101" spans="1:10" ht="15.75">
      <c r="A101" s="48" t="s">
        <v>46</v>
      </c>
      <c r="B101" s="49" t="s">
        <v>597</v>
      </c>
      <c r="C101" s="49">
        <v>200</v>
      </c>
      <c r="D101" s="50" t="s">
        <v>35</v>
      </c>
      <c r="E101" s="50" t="s">
        <v>17</v>
      </c>
      <c r="F101" s="51">
        <v>281</v>
      </c>
      <c r="G101" s="144">
        <f>SUM(Ведомственная!G627)</f>
        <v>281</v>
      </c>
      <c r="I101" s="145">
        <f t="shared" si="2"/>
        <v>0</v>
      </c>
      <c r="J101" s="145"/>
    </row>
    <row r="102" spans="1:10" ht="15.75">
      <c r="A102" s="48" t="s">
        <v>26</v>
      </c>
      <c r="B102" s="49" t="s">
        <v>597</v>
      </c>
      <c r="C102" s="49">
        <v>800</v>
      </c>
      <c r="D102" s="50" t="s">
        <v>35</v>
      </c>
      <c r="E102" s="50" t="s">
        <v>17</v>
      </c>
      <c r="F102" s="51">
        <v>538.7</v>
      </c>
      <c r="G102" s="144">
        <f>SUM(Ведомственная!G628)</f>
        <v>538.7</v>
      </c>
      <c r="I102" s="145">
        <f t="shared" si="2"/>
        <v>0</v>
      </c>
      <c r="J102" s="145"/>
    </row>
    <row r="103" spans="1:10" ht="63">
      <c r="A103" s="48" t="s">
        <v>598</v>
      </c>
      <c r="B103" s="49" t="s">
        <v>599</v>
      </c>
      <c r="C103" s="49"/>
      <c r="D103" s="50"/>
      <c r="E103" s="50"/>
      <c r="F103" s="51">
        <f>F104+F105</f>
        <v>14118.5</v>
      </c>
      <c r="I103" s="145">
        <f t="shared" si="2"/>
        <v>-14118.5</v>
      </c>
      <c r="J103" s="145"/>
    </row>
    <row r="104" spans="1:10" ht="31.5">
      <c r="A104" s="48" t="s">
        <v>56</v>
      </c>
      <c r="B104" s="49" t="s">
        <v>599</v>
      </c>
      <c r="C104" s="49">
        <v>200</v>
      </c>
      <c r="D104" s="50" t="s">
        <v>35</v>
      </c>
      <c r="E104" s="50" t="s">
        <v>17</v>
      </c>
      <c r="F104" s="51">
        <v>197.1</v>
      </c>
      <c r="G104" s="144">
        <f>SUM(Ведомственная!G630)</f>
        <v>197.1</v>
      </c>
      <c r="I104" s="145">
        <f t="shared" si="2"/>
        <v>0</v>
      </c>
      <c r="J104" s="145"/>
    </row>
    <row r="105" spans="1:10" ht="15.75">
      <c r="A105" s="48" t="s">
        <v>46</v>
      </c>
      <c r="B105" s="49" t="s">
        <v>599</v>
      </c>
      <c r="C105" s="49">
        <v>300</v>
      </c>
      <c r="D105" s="50" t="s">
        <v>35</v>
      </c>
      <c r="E105" s="50" t="s">
        <v>17</v>
      </c>
      <c r="F105" s="51">
        <v>13921.4</v>
      </c>
      <c r="G105" s="144">
        <f>SUM(Ведомственная!G631)</f>
        <v>13921.4</v>
      </c>
      <c r="I105" s="145">
        <f t="shared" si="2"/>
        <v>0</v>
      </c>
      <c r="J105" s="145"/>
    </row>
    <row r="106" spans="1:10" ht="31.5">
      <c r="A106" s="48" t="s">
        <v>600</v>
      </c>
      <c r="B106" s="49" t="s">
        <v>601</v>
      </c>
      <c r="C106" s="49"/>
      <c r="D106" s="50"/>
      <c r="E106" s="50"/>
      <c r="F106" s="51">
        <f>F107+F108</f>
        <v>52185.4</v>
      </c>
      <c r="I106" s="145">
        <f t="shared" si="2"/>
        <v>-52185.4</v>
      </c>
      <c r="J106" s="145"/>
    </row>
    <row r="107" spans="1:10" ht="31.5">
      <c r="A107" s="48" t="s">
        <v>56</v>
      </c>
      <c r="B107" s="49" t="s">
        <v>601</v>
      </c>
      <c r="C107" s="49">
        <v>200</v>
      </c>
      <c r="D107" s="50" t="s">
        <v>35</v>
      </c>
      <c r="E107" s="50" t="s">
        <v>17</v>
      </c>
      <c r="F107" s="51">
        <v>775.3</v>
      </c>
      <c r="G107" s="144">
        <f>SUM(Ведомственная!G633)</f>
        <v>775.3</v>
      </c>
      <c r="I107" s="145">
        <f t="shared" si="2"/>
        <v>0</v>
      </c>
      <c r="J107" s="145"/>
    </row>
    <row r="108" spans="1:10" ht="15.75">
      <c r="A108" s="48" t="s">
        <v>46</v>
      </c>
      <c r="B108" s="49" t="s">
        <v>601</v>
      </c>
      <c r="C108" s="49">
        <v>300</v>
      </c>
      <c r="D108" s="50" t="s">
        <v>35</v>
      </c>
      <c r="E108" s="50" t="s">
        <v>17</v>
      </c>
      <c r="F108" s="51">
        <v>51410.1</v>
      </c>
      <c r="G108" s="144">
        <f>SUM(Ведомственная!G634)</f>
        <v>51410.1</v>
      </c>
      <c r="I108" s="145">
        <f t="shared" si="2"/>
        <v>0</v>
      </c>
      <c r="J108" s="145"/>
    </row>
    <row r="109" spans="1:10" ht="47.25">
      <c r="A109" s="48" t="s">
        <v>602</v>
      </c>
      <c r="B109" s="49" t="s">
        <v>603</v>
      </c>
      <c r="C109" s="49"/>
      <c r="D109" s="50"/>
      <c r="E109" s="50"/>
      <c r="F109" s="51">
        <f>F110+F111</f>
        <v>5357.2</v>
      </c>
      <c r="I109" s="145">
        <f t="shared" si="2"/>
        <v>-5357.2</v>
      </c>
      <c r="J109" s="145"/>
    </row>
    <row r="110" spans="1:10" ht="31.5">
      <c r="A110" s="48" t="s">
        <v>56</v>
      </c>
      <c r="B110" s="49" t="s">
        <v>603</v>
      </c>
      <c r="C110" s="49">
        <v>200</v>
      </c>
      <c r="D110" s="50" t="s">
        <v>35</v>
      </c>
      <c r="E110" s="50" t="s">
        <v>17</v>
      </c>
      <c r="F110" s="51">
        <v>79.2</v>
      </c>
      <c r="G110" s="144">
        <f>SUM(Ведомственная!G636)</f>
        <v>79.2</v>
      </c>
      <c r="I110" s="145">
        <f t="shared" si="2"/>
        <v>0</v>
      </c>
      <c r="J110" s="145"/>
    </row>
    <row r="111" spans="1:10" ht="15.75">
      <c r="A111" s="48" t="s">
        <v>46</v>
      </c>
      <c r="B111" s="49" t="s">
        <v>603</v>
      </c>
      <c r="C111" s="49">
        <v>300</v>
      </c>
      <c r="D111" s="50" t="s">
        <v>35</v>
      </c>
      <c r="E111" s="50" t="s">
        <v>17</v>
      </c>
      <c r="F111" s="51">
        <v>5278</v>
      </c>
      <c r="G111" s="144">
        <f>SUM(Ведомственная!G637)</f>
        <v>5278</v>
      </c>
      <c r="I111" s="145">
        <f t="shared" si="2"/>
        <v>0</v>
      </c>
      <c r="J111" s="145"/>
    </row>
    <row r="112" spans="1:10" ht="94.5">
      <c r="A112" s="48" t="s">
        <v>604</v>
      </c>
      <c r="B112" s="49" t="s">
        <v>605</v>
      </c>
      <c r="C112" s="49"/>
      <c r="D112" s="50"/>
      <c r="E112" s="50"/>
      <c r="F112" s="51">
        <f>F113+F114</f>
        <v>59721.2</v>
      </c>
      <c r="I112" s="145">
        <f t="shared" si="2"/>
        <v>-59721.2</v>
      </c>
      <c r="J112" s="145"/>
    </row>
    <row r="113" spans="1:10" ht="31.5">
      <c r="A113" s="48" t="s">
        <v>56</v>
      </c>
      <c r="B113" s="49" t="s">
        <v>605</v>
      </c>
      <c r="C113" s="49">
        <v>200</v>
      </c>
      <c r="D113" s="50" t="s">
        <v>35</v>
      </c>
      <c r="E113" s="50" t="s">
        <v>17</v>
      </c>
      <c r="F113" s="51">
        <v>917.1</v>
      </c>
      <c r="G113" s="144">
        <f>SUM(Ведомственная!G639)</f>
        <v>917.1</v>
      </c>
      <c r="I113" s="145">
        <f t="shared" si="2"/>
        <v>0</v>
      </c>
      <c r="J113" s="145"/>
    </row>
    <row r="114" spans="1:10" ht="15.75">
      <c r="A114" s="48" t="s">
        <v>46</v>
      </c>
      <c r="B114" s="49" t="s">
        <v>605</v>
      </c>
      <c r="C114" s="49">
        <v>300</v>
      </c>
      <c r="D114" s="50" t="s">
        <v>35</v>
      </c>
      <c r="E114" s="50" t="s">
        <v>17</v>
      </c>
      <c r="F114" s="51">
        <v>58804.1</v>
      </c>
      <c r="G114" s="144">
        <f>SUM(Ведомственная!G640)</f>
        <v>58804.1</v>
      </c>
      <c r="I114" s="145">
        <f t="shared" si="2"/>
        <v>0</v>
      </c>
      <c r="J114" s="145"/>
    </row>
    <row r="115" spans="1:10" ht="63">
      <c r="A115" s="48" t="s">
        <v>606</v>
      </c>
      <c r="B115" s="49" t="s">
        <v>607</v>
      </c>
      <c r="C115" s="49"/>
      <c r="D115" s="50"/>
      <c r="E115" s="50"/>
      <c r="F115" s="51">
        <f>F116+F117</f>
        <v>13710.2</v>
      </c>
      <c r="I115" s="145">
        <f t="shared" si="2"/>
        <v>-13710.2</v>
      </c>
      <c r="J115" s="145"/>
    </row>
    <row r="116" spans="1:10" ht="31.5">
      <c r="A116" s="48" t="s">
        <v>56</v>
      </c>
      <c r="B116" s="49" t="s">
        <v>607</v>
      </c>
      <c r="C116" s="49">
        <v>200</v>
      </c>
      <c r="D116" s="50" t="s">
        <v>35</v>
      </c>
      <c r="E116" s="50" t="s">
        <v>17</v>
      </c>
      <c r="F116" s="51">
        <v>200.2</v>
      </c>
      <c r="G116" s="144">
        <f>SUM(Ведомственная!G642)</f>
        <v>200.2</v>
      </c>
      <c r="I116" s="145">
        <f t="shared" si="2"/>
        <v>0</v>
      </c>
      <c r="J116" s="145"/>
    </row>
    <row r="117" spans="1:10" ht="15.75">
      <c r="A117" s="48" t="s">
        <v>46</v>
      </c>
      <c r="B117" s="49" t="s">
        <v>607</v>
      </c>
      <c r="C117" s="49">
        <v>300</v>
      </c>
      <c r="D117" s="50" t="s">
        <v>35</v>
      </c>
      <c r="E117" s="50" t="s">
        <v>17</v>
      </c>
      <c r="F117" s="51">
        <v>13510</v>
      </c>
      <c r="G117" s="144">
        <f>SUM(Ведомственная!G643)</f>
        <v>13510</v>
      </c>
      <c r="I117" s="145">
        <f t="shared" si="2"/>
        <v>0</v>
      </c>
      <c r="J117" s="145"/>
    </row>
    <row r="118" spans="1:10" ht="31.5">
      <c r="A118" s="48" t="s">
        <v>608</v>
      </c>
      <c r="B118" s="49" t="s">
        <v>609</v>
      </c>
      <c r="C118" s="49"/>
      <c r="D118" s="50"/>
      <c r="E118" s="50"/>
      <c r="F118" s="51">
        <f>F119+F120</f>
        <v>5528</v>
      </c>
      <c r="I118" s="145">
        <f t="shared" si="2"/>
        <v>-5528</v>
      </c>
      <c r="J118" s="145"/>
    </row>
    <row r="119" spans="1:10" ht="63">
      <c r="A119" s="48" t="s">
        <v>55</v>
      </c>
      <c r="B119" s="49" t="s">
        <v>609</v>
      </c>
      <c r="C119" s="49">
        <v>100</v>
      </c>
      <c r="D119" s="50" t="s">
        <v>35</v>
      </c>
      <c r="E119" s="50" t="s">
        <v>82</v>
      </c>
      <c r="F119" s="51">
        <v>4948.6</v>
      </c>
      <c r="G119" s="144">
        <f>SUM(Ведомственная!G655)</f>
        <v>4948.6</v>
      </c>
      <c r="I119" s="145">
        <f t="shared" si="2"/>
        <v>0</v>
      </c>
      <c r="J119" s="145"/>
    </row>
    <row r="120" spans="1:10" ht="31.5">
      <c r="A120" s="48" t="s">
        <v>56</v>
      </c>
      <c r="B120" s="49" t="s">
        <v>609</v>
      </c>
      <c r="C120" s="49">
        <v>200</v>
      </c>
      <c r="D120" s="50" t="s">
        <v>35</v>
      </c>
      <c r="E120" s="50" t="s">
        <v>82</v>
      </c>
      <c r="F120" s="51">
        <v>579.4</v>
      </c>
      <c r="G120" s="144">
        <f>SUM(Ведомственная!G656)</f>
        <v>579.4</v>
      </c>
      <c r="I120" s="145">
        <f t="shared" si="2"/>
        <v>0</v>
      </c>
      <c r="J120" s="145"/>
    </row>
    <row r="121" spans="1:10" ht="31.5">
      <c r="A121" s="48" t="s">
        <v>538</v>
      </c>
      <c r="B121" s="50" t="s">
        <v>543</v>
      </c>
      <c r="C121" s="50"/>
      <c r="D121" s="50"/>
      <c r="E121" s="50"/>
      <c r="F121" s="51">
        <f>SUM(F122)</f>
        <v>4500</v>
      </c>
      <c r="I121" s="145">
        <f t="shared" si="2"/>
        <v>-4500</v>
      </c>
      <c r="J121" s="145"/>
    </row>
    <row r="122" spans="1:10" ht="31.5">
      <c r="A122" s="48" t="s">
        <v>312</v>
      </c>
      <c r="B122" s="50" t="s">
        <v>543</v>
      </c>
      <c r="C122" s="50" t="s">
        <v>313</v>
      </c>
      <c r="D122" s="50" t="s">
        <v>35</v>
      </c>
      <c r="E122" s="50" t="s">
        <v>17</v>
      </c>
      <c r="F122" s="51">
        <v>4500</v>
      </c>
      <c r="G122" s="144">
        <f>SUM(Ведомственная!G397)</f>
        <v>4500</v>
      </c>
      <c r="I122" s="145">
        <f t="shared" si="2"/>
        <v>0</v>
      </c>
      <c r="J122" s="145"/>
    </row>
    <row r="123" spans="1:10" ht="126">
      <c r="A123" s="48" t="s">
        <v>561</v>
      </c>
      <c r="B123" s="50" t="s">
        <v>562</v>
      </c>
      <c r="C123" s="49"/>
      <c r="D123" s="50"/>
      <c r="E123" s="50"/>
      <c r="F123" s="51">
        <f>SUM(F124:F125)</f>
        <v>91135.7</v>
      </c>
      <c r="I123" s="145">
        <f t="shared" si="2"/>
        <v>-91135.7</v>
      </c>
      <c r="J123" s="145"/>
    </row>
    <row r="124" spans="1:10" ht="31.5">
      <c r="A124" s="48" t="s">
        <v>56</v>
      </c>
      <c r="B124" s="50" t="s">
        <v>562</v>
      </c>
      <c r="C124" s="49">
        <v>200</v>
      </c>
      <c r="D124" s="50" t="s">
        <v>35</v>
      </c>
      <c r="E124" s="50" t="s">
        <v>58</v>
      </c>
      <c r="F124" s="51">
        <v>1241.9</v>
      </c>
      <c r="G124" s="144">
        <f>SUM(Ведомственная!G532)</f>
        <v>1241.9</v>
      </c>
      <c r="I124" s="145">
        <f t="shared" si="2"/>
        <v>0</v>
      </c>
      <c r="J124" s="145"/>
    </row>
    <row r="125" spans="1:10" ht="15.75">
      <c r="A125" s="48" t="s">
        <v>46</v>
      </c>
      <c r="B125" s="50" t="s">
        <v>562</v>
      </c>
      <c r="C125" s="49">
        <v>300</v>
      </c>
      <c r="D125" s="50" t="s">
        <v>35</v>
      </c>
      <c r="E125" s="50" t="s">
        <v>58</v>
      </c>
      <c r="F125" s="51">
        <v>89893.8</v>
      </c>
      <c r="G125" s="144">
        <f>SUM(Ведомственная!G533)</f>
        <v>89893.8</v>
      </c>
      <c r="I125" s="145">
        <f t="shared" si="2"/>
        <v>0</v>
      </c>
      <c r="J125" s="145"/>
    </row>
    <row r="126" spans="1:10" ht="31.5">
      <c r="A126" s="48" t="s">
        <v>563</v>
      </c>
      <c r="B126" s="50" t="s">
        <v>564</v>
      </c>
      <c r="C126" s="49"/>
      <c r="D126" s="50"/>
      <c r="E126" s="50"/>
      <c r="F126" s="51">
        <f>F130+F127</f>
        <v>692306.5</v>
      </c>
      <c r="I126" s="145">
        <f t="shared" si="2"/>
        <v>-692306.5</v>
      </c>
      <c r="J126" s="145"/>
    </row>
    <row r="127" spans="1:10" ht="47.25">
      <c r="A127" s="48" t="s">
        <v>610</v>
      </c>
      <c r="B127" s="49" t="s">
        <v>611</v>
      </c>
      <c r="C127" s="49"/>
      <c r="D127" s="50"/>
      <c r="E127" s="50"/>
      <c r="F127" s="51">
        <f>F128+F129</f>
        <v>4237.2</v>
      </c>
      <c r="I127" s="145">
        <f t="shared" si="2"/>
        <v>-4237.2</v>
      </c>
      <c r="J127" s="145"/>
    </row>
    <row r="128" spans="1:10" ht="63">
      <c r="A128" s="48" t="s">
        <v>55</v>
      </c>
      <c r="B128" s="49" t="s">
        <v>611</v>
      </c>
      <c r="C128" s="49">
        <v>100</v>
      </c>
      <c r="D128" s="50" t="s">
        <v>35</v>
      </c>
      <c r="E128" s="50" t="s">
        <v>82</v>
      </c>
      <c r="F128" s="51">
        <v>3602.4</v>
      </c>
      <c r="G128" s="144">
        <f>SUM(Ведомственная!G659)</f>
        <v>3602.4</v>
      </c>
      <c r="I128" s="145">
        <f t="shared" si="2"/>
        <v>0</v>
      </c>
      <c r="J128" s="145"/>
    </row>
    <row r="129" spans="1:10" ht="31.5">
      <c r="A129" s="48" t="s">
        <v>56</v>
      </c>
      <c r="B129" s="49" t="s">
        <v>611</v>
      </c>
      <c r="C129" s="49">
        <v>200</v>
      </c>
      <c r="D129" s="50" t="s">
        <v>35</v>
      </c>
      <c r="E129" s="50" t="s">
        <v>82</v>
      </c>
      <c r="F129" s="51">
        <v>634.8</v>
      </c>
      <c r="G129" s="144">
        <f>SUM(Ведомственная!G660)</f>
        <v>634.8</v>
      </c>
      <c r="I129" s="145">
        <f t="shared" si="2"/>
        <v>0</v>
      </c>
      <c r="J129" s="145"/>
    </row>
    <row r="130" spans="1:10" ht="94.5">
      <c r="A130" s="48" t="s">
        <v>317</v>
      </c>
      <c r="B130" s="50" t="s">
        <v>565</v>
      </c>
      <c r="C130" s="49"/>
      <c r="D130" s="50"/>
      <c r="E130" s="50"/>
      <c r="F130" s="51">
        <f>F131+F134+F137+F140+F143+F146+F149+F152+F155+F158+F161+F164+F168+F171+F174+F177</f>
        <v>688069.3</v>
      </c>
      <c r="I130" s="145">
        <f t="shared" si="2"/>
        <v>-688069.3</v>
      </c>
      <c r="J130" s="145"/>
    </row>
    <row r="131" spans="1:10" ht="47.25">
      <c r="A131" s="48" t="s">
        <v>566</v>
      </c>
      <c r="B131" s="50" t="s">
        <v>567</v>
      </c>
      <c r="C131" s="49"/>
      <c r="D131" s="50"/>
      <c r="E131" s="50"/>
      <c r="F131" s="51">
        <f>F132+F133</f>
        <v>183679.2</v>
      </c>
      <c r="I131" s="145">
        <f t="shared" si="2"/>
        <v>-183679.2</v>
      </c>
      <c r="J131" s="145"/>
    </row>
    <row r="132" spans="1:10" ht="31.5">
      <c r="A132" s="48" t="s">
        <v>56</v>
      </c>
      <c r="B132" s="50" t="s">
        <v>567</v>
      </c>
      <c r="C132" s="49">
        <v>200</v>
      </c>
      <c r="D132" s="50" t="s">
        <v>35</v>
      </c>
      <c r="E132" s="50" t="s">
        <v>58</v>
      </c>
      <c r="F132" s="51">
        <v>2821.5</v>
      </c>
      <c r="G132" s="144">
        <f>SUM(Ведомственная!G537)</f>
        <v>2821.5</v>
      </c>
      <c r="I132" s="145">
        <f t="shared" si="2"/>
        <v>0</v>
      </c>
      <c r="J132" s="145"/>
    </row>
    <row r="133" spans="1:10" ht="24.75" customHeight="1">
      <c r="A133" s="48" t="s">
        <v>46</v>
      </c>
      <c r="B133" s="50" t="s">
        <v>567</v>
      </c>
      <c r="C133" s="49">
        <v>300</v>
      </c>
      <c r="D133" s="50" t="s">
        <v>35</v>
      </c>
      <c r="E133" s="50" t="s">
        <v>58</v>
      </c>
      <c r="F133" s="51">
        <v>180857.7</v>
      </c>
      <c r="G133" s="144">
        <f>SUM(Ведомственная!G538)</f>
        <v>180857.7</v>
      </c>
      <c r="I133" s="145">
        <f t="shared" si="2"/>
        <v>0</v>
      </c>
      <c r="J133" s="145"/>
    </row>
    <row r="134" spans="1:10" ht="47.25">
      <c r="A134" s="48" t="s">
        <v>568</v>
      </c>
      <c r="B134" s="50" t="s">
        <v>569</v>
      </c>
      <c r="C134" s="50"/>
      <c r="D134" s="50"/>
      <c r="E134" s="50"/>
      <c r="F134" s="51">
        <f>F135+F136</f>
        <v>9475.2</v>
      </c>
      <c r="I134" s="145">
        <f t="shared" si="2"/>
        <v>-9475.2</v>
      </c>
      <c r="J134" s="145"/>
    </row>
    <row r="135" spans="1:10" ht="31.5">
      <c r="A135" s="48" t="s">
        <v>56</v>
      </c>
      <c r="B135" s="50" t="s">
        <v>569</v>
      </c>
      <c r="C135" s="50" t="s">
        <v>101</v>
      </c>
      <c r="D135" s="50" t="s">
        <v>35</v>
      </c>
      <c r="E135" s="50" t="s">
        <v>58</v>
      </c>
      <c r="F135" s="51">
        <v>177.5</v>
      </c>
      <c r="G135" s="144">
        <f>SUM(Ведомственная!G540)</f>
        <v>177.5</v>
      </c>
      <c r="I135" s="145">
        <f t="shared" si="2"/>
        <v>0</v>
      </c>
      <c r="J135" s="145"/>
    </row>
    <row r="136" spans="1:10" ht="15.75">
      <c r="A136" s="48" t="s">
        <v>46</v>
      </c>
      <c r="B136" s="50" t="s">
        <v>569</v>
      </c>
      <c r="C136" s="50" t="s">
        <v>109</v>
      </c>
      <c r="D136" s="50" t="s">
        <v>35</v>
      </c>
      <c r="E136" s="50" t="s">
        <v>58</v>
      </c>
      <c r="F136" s="51">
        <v>9297.7</v>
      </c>
      <c r="G136" s="144">
        <f>SUM(Ведомственная!G541)</f>
        <v>9297.7</v>
      </c>
      <c r="I136" s="145">
        <f t="shared" si="2"/>
        <v>0</v>
      </c>
      <c r="J136" s="145"/>
    </row>
    <row r="137" spans="1:10" ht="47.25">
      <c r="A137" s="48" t="s">
        <v>570</v>
      </c>
      <c r="B137" s="50" t="s">
        <v>571</v>
      </c>
      <c r="C137" s="50"/>
      <c r="D137" s="50"/>
      <c r="E137" s="50"/>
      <c r="F137" s="51">
        <f>F138+F139</f>
        <v>114953.9</v>
      </c>
      <c r="I137" s="145">
        <f t="shared" si="2"/>
        <v>-114953.9</v>
      </c>
      <c r="J137" s="145"/>
    </row>
    <row r="138" spans="1:10" ht="31.5">
      <c r="A138" s="48" t="s">
        <v>56</v>
      </c>
      <c r="B138" s="50" t="s">
        <v>571</v>
      </c>
      <c r="C138" s="50" t="s">
        <v>101</v>
      </c>
      <c r="D138" s="50" t="s">
        <v>35</v>
      </c>
      <c r="E138" s="50" t="s">
        <v>58</v>
      </c>
      <c r="F138" s="51">
        <v>1668.4</v>
      </c>
      <c r="G138" s="144">
        <f>SUM(Ведомственная!G543)</f>
        <v>1668.4</v>
      </c>
      <c r="I138" s="145">
        <f t="shared" si="2"/>
        <v>0</v>
      </c>
      <c r="J138" s="145"/>
    </row>
    <row r="139" spans="1:10" ht="15.75">
      <c r="A139" s="48" t="s">
        <v>46</v>
      </c>
      <c r="B139" s="50" t="s">
        <v>571</v>
      </c>
      <c r="C139" s="50" t="s">
        <v>109</v>
      </c>
      <c r="D139" s="50" t="s">
        <v>35</v>
      </c>
      <c r="E139" s="50" t="s">
        <v>58</v>
      </c>
      <c r="F139" s="51">
        <v>113285.5</v>
      </c>
      <c r="G139" s="144">
        <f>SUM(Ведомственная!G544)</f>
        <v>113285.5</v>
      </c>
      <c r="I139" s="145">
        <f t="shared" si="2"/>
        <v>0</v>
      </c>
      <c r="J139" s="145"/>
    </row>
    <row r="140" spans="1:10" ht="63">
      <c r="A140" s="48" t="s">
        <v>572</v>
      </c>
      <c r="B140" s="50" t="s">
        <v>573</v>
      </c>
      <c r="C140" s="50"/>
      <c r="D140" s="50"/>
      <c r="E140" s="50"/>
      <c r="F140" s="51">
        <f>F141+F142</f>
        <v>710.9</v>
      </c>
      <c r="I140" s="145">
        <f t="shared" si="2"/>
        <v>-710.9</v>
      </c>
      <c r="J140" s="145"/>
    </row>
    <row r="141" spans="1:10" ht="31.5">
      <c r="A141" s="48" t="s">
        <v>56</v>
      </c>
      <c r="B141" s="50" t="s">
        <v>573</v>
      </c>
      <c r="C141" s="50" t="s">
        <v>101</v>
      </c>
      <c r="D141" s="50" t="s">
        <v>35</v>
      </c>
      <c r="E141" s="50" t="s">
        <v>58</v>
      </c>
      <c r="F141" s="51">
        <v>10.9</v>
      </c>
      <c r="G141" s="144">
        <f>SUM(Ведомственная!G546)</f>
        <v>10.9</v>
      </c>
      <c r="I141" s="145">
        <f t="shared" si="2"/>
        <v>0</v>
      </c>
      <c r="J141" s="145"/>
    </row>
    <row r="142" spans="1:10" ht="15.75">
      <c r="A142" s="48" t="s">
        <v>46</v>
      </c>
      <c r="B142" s="50" t="s">
        <v>573</v>
      </c>
      <c r="C142" s="50" t="s">
        <v>109</v>
      </c>
      <c r="D142" s="50" t="s">
        <v>35</v>
      </c>
      <c r="E142" s="50" t="s">
        <v>58</v>
      </c>
      <c r="F142" s="51">
        <v>700</v>
      </c>
      <c r="G142" s="144">
        <f>SUM(Ведомственная!G547)</f>
        <v>700</v>
      </c>
      <c r="I142" s="145">
        <f t="shared" si="2"/>
        <v>0</v>
      </c>
      <c r="J142" s="145"/>
    </row>
    <row r="143" spans="1:10" ht="63">
      <c r="A143" s="48" t="s">
        <v>574</v>
      </c>
      <c r="B143" s="50" t="s">
        <v>575</v>
      </c>
      <c r="C143" s="50"/>
      <c r="D143" s="50"/>
      <c r="E143" s="50"/>
      <c r="F143" s="51">
        <f>F144+F145</f>
        <v>90</v>
      </c>
      <c r="I143" s="145">
        <f t="shared" si="2"/>
        <v>-90</v>
      </c>
      <c r="J143" s="145"/>
    </row>
    <row r="144" spans="1:10" ht="31.5">
      <c r="A144" s="48" t="s">
        <v>56</v>
      </c>
      <c r="B144" s="50" t="s">
        <v>575</v>
      </c>
      <c r="C144" s="50" t="s">
        <v>101</v>
      </c>
      <c r="D144" s="50" t="s">
        <v>35</v>
      </c>
      <c r="E144" s="50" t="s">
        <v>58</v>
      </c>
      <c r="F144" s="51">
        <v>1.5</v>
      </c>
      <c r="G144" s="144">
        <f>SUM(Ведомственная!G549)</f>
        <v>1.5</v>
      </c>
      <c r="I144" s="145">
        <f t="shared" si="2"/>
        <v>0</v>
      </c>
      <c r="J144" s="145"/>
    </row>
    <row r="145" spans="1:10" ht="15.75">
      <c r="A145" s="48" t="s">
        <v>46</v>
      </c>
      <c r="B145" s="50" t="s">
        <v>575</v>
      </c>
      <c r="C145" s="50" t="s">
        <v>109</v>
      </c>
      <c r="D145" s="50" t="s">
        <v>35</v>
      </c>
      <c r="E145" s="50" t="s">
        <v>58</v>
      </c>
      <c r="F145" s="51">
        <v>88.5</v>
      </c>
      <c r="G145" s="144">
        <f>SUM(Ведомственная!G550)</f>
        <v>88.5</v>
      </c>
      <c r="I145" s="145">
        <f t="shared" si="2"/>
        <v>0</v>
      </c>
      <c r="J145" s="145"/>
    </row>
    <row r="146" spans="1:10" ht="63">
      <c r="A146" s="48" t="s">
        <v>576</v>
      </c>
      <c r="B146" s="50" t="s">
        <v>577</v>
      </c>
      <c r="C146" s="50"/>
      <c r="D146" s="50"/>
      <c r="E146" s="50"/>
      <c r="F146" s="51">
        <f>F147+F148</f>
        <v>3260.2</v>
      </c>
      <c r="I146" s="145">
        <f t="shared" si="2"/>
        <v>-3260.2</v>
      </c>
      <c r="J146" s="145"/>
    </row>
    <row r="147" spans="1:10" ht="31.5">
      <c r="A147" s="48" t="s">
        <v>56</v>
      </c>
      <c r="B147" s="50" t="s">
        <v>577</v>
      </c>
      <c r="C147" s="50" t="s">
        <v>101</v>
      </c>
      <c r="D147" s="50" t="s">
        <v>35</v>
      </c>
      <c r="E147" s="50" t="s">
        <v>58</v>
      </c>
      <c r="F147" s="51">
        <v>250</v>
      </c>
      <c r="G147" s="144">
        <f>SUM(Ведомственная!G552)</f>
        <v>250</v>
      </c>
      <c r="I147" s="145">
        <f t="shared" si="2"/>
        <v>0</v>
      </c>
      <c r="J147" s="145"/>
    </row>
    <row r="148" spans="1:10" ht="15.75">
      <c r="A148" s="48" t="s">
        <v>46</v>
      </c>
      <c r="B148" s="50" t="s">
        <v>577</v>
      </c>
      <c r="C148" s="50" t="s">
        <v>109</v>
      </c>
      <c r="D148" s="50" t="s">
        <v>35</v>
      </c>
      <c r="E148" s="50" t="s">
        <v>58</v>
      </c>
      <c r="F148" s="51">
        <v>3010.2</v>
      </c>
      <c r="G148" s="144">
        <f>SUM(Ведомственная!G553)</f>
        <v>3010.2</v>
      </c>
      <c r="I148" s="145">
        <f t="shared" si="2"/>
        <v>0</v>
      </c>
      <c r="J148" s="145"/>
    </row>
    <row r="149" spans="1:10" ht="31.5">
      <c r="A149" s="48" t="s">
        <v>578</v>
      </c>
      <c r="B149" s="50" t="s">
        <v>579</v>
      </c>
      <c r="C149" s="50"/>
      <c r="D149" s="50"/>
      <c r="E149" s="50"/>
      <c r="F149" s="51">
        <f>F150+F151</f>
        <v>206700</v>
      </c>
      <c r="I149" s="145">
        <f t="shared" si="2"/>
        <v>-206700</v>
      </c>
      <c r="J149" s="145"/>
    </row>
    <row r="150" spans="1:10" ht="31.5">
      <c r="A150" s="48" t="s">
        <v>56</v>
      </c>
      <c r="B150" s="50" t="s">
        <v>579</v>
      </c>
      <c r="C150" s="50" t="s">
        <v>101</v>
      </c>
      <c r="D150" s="50" t="s">
        <v>35</v>
      </c>
      <c r="E150" s="50" t="s">
        <v>58</v>
      </c>
      <c r="F150" s="51">
        <v>3526.4</v>
      </c>
      <c r="G150" s="144">
        <f>SUM(Ведомственная!G555)</f>
        <v>3526.4</v>
      </c>
      <c r="I150" s="145">
        <f t="shared" si="2"/>
        <v>0</v>
      </c>
      <c r="J150" s="145"/>
    </row>
    <row r="151" spans="1:10" ht="15.75">
      <c r="A151" s="48" t="s">
        <v>46</v>
      </c>
      <c r="B151" s="50" t="s">
        <v>579</v>
      </c>
      <c r="C151" s="50" t="s">
        <v>109</v>
      </c>
      <c r="D151" s="50" t="s">
        <v>35</v>
      </c>
      <c r="E151" s="50" t="s">
        <v>58</v>
      </c>
      <c r="F151" s="51">
        <v>203173.6</v>
      </c>
      <c r="G151" s="144">
        <f>SUM(Ведомственная!G556)</f>
        <v>203173.6</v>
      </c>
      <c r="I151" s="145">
        <f t="shared" si="2"/>
        <v>0</v>
      </c>
      <c r="J151" s="145"/>
    </row>
    <row r="152" spans="1:10" ht="47.25">
      <c r="A152" s="48" t="s">
        <v>580</v>
      </c>
      <c r="B152" s="50" t="s">
        <v>581</v>
      </c>
      <c r="C152" s="50"/>
      <c r="D152" s="50"/>
      <c r="E152" s="50"/>
      <c r="F152" s="51">
        <f>F153+F154</f>
        <v>1971.5</v>
      </c>
      <c r="I152" s="145">
        <f t="shared" si="2"/>
        <v>-1971.5</v>
      </c>
      <c r="J152" s="145"/>
    </row>
    <row r="153" spans="1:10" ht="31.5">
      <c r="A153" s="48" t="s">
        <v>56</v>
      </c>
      <c r="B153" s="50" t="s">
        <v>581</v>
      </c>
      <c r="C153" s="50" t="s">
        <v>101</v>
      </c>
      <c r="D153" s="50" t="s">
        <v>35</v>
      </c>
      <c r="E153" s="50" t="s">
        <v>58</v>
      </c>
      <c r="F153" s="51">
        <v>29</v>
      </c>
      <c r="G153" s="144">
        <f>SUM(Ведомственная!G558)</f>
        <v>29</v>
      </c>
      <c r="I153" s="145">
        <f t="shared" si="2"/>
        <v>0</v>
      </c>
      <c r="J153" s="145"/>
    </row>
    <row r="154" spans="1:10" ht="15.75">
      <c r="A154" s="48" t="s">
        <v>46</v>
      </c>
      <c r="B154" s="50" t="s">
        <v>581</v>
      </c>
      <c r="C154" s="50" t="s">
        <v>109</v>
      </c>
      <c r="D154" s="50" t="s">
        <v>35</v>
      </c>
      <c r="E154" s="50" t="s">
        <v>58</v>
      </c>
      <c r="F154" s="51">
        <v>1942.5</v>
      </c>
      <c r="G154" s="144">
        <f>SUM(Ведомственная!G559)</f>
        <v>1942.5</v>
      </c>
      <c r="I154" s="145">
        <f t="shared" si="2"/>
        <v>0</v>
      </c>
      <c r="J154" s="145"/>
    </row>
    <row r="155" spans="1:10" ht="47.25">
      <c r="A155" s="48" t="s">
        <v>582</v>
      </c>
      <c r="B155" s="50" t="s">
        <v>583</v>
      </c>
      <c r="C155" s="50"/>
      <c r="D155" s="50"/>
      <c r="E155" s="50"/>
      <c r="F155" s="51">
        <f>F156+F157</f>
        <v>13459.8</v>
      </c>
      <c r="I155" s="145">
        <f t="shared" si="2"/>
        <v>-13459.8</v>
      </c>
      <c r="J155" s="145"/>
    </row>
    <row r="156" spans="1:10" ht="31.5">
      <c r="A156" s="48" t="s">
        <v>56</v>
      </c>
      <c r="B156" s="50" t="s">
        <v>583</v>
      </c>
      <c r="C156" s="50" t="s">
        <v>101</v>
      </c>
      <c r="D156" s="50" t="s">
        <v>35</v>
      </c>
      <c r="E156" s="50" t="s">
        <v>58</v>
      </c>
      <c r="F156" s="51">
        <v>198.9</v>
      </c>
      <c r="G156" s="144">
        <f>SUM(Ведомственная!G561)</f>
        <v>198.9</v>
      </c>
      <c r="I156" s="145">
        <f t="shared" si="2"/>
        <v>0</v>
      </c>
      <c r="J156" s="145"/>
    </row>
    <row r="157" spans="1:10" ht="15.75">
      <c r="A157" s="48" t="s">
        <v>46</v>
      </c>
      <c r="B157" s="50" t="s">
        <v>583</v>
      </c>
      <c r="C157" s="50" t="s">
        <v>109</v>
      </c>
      <c r="D157" s="50" t="s">
        <v>35</v>
      </c>
      <c r="E157" s="50" t="s">
        <v>58</v>
      </c>
      <c r="F157" s="51">
        <v>13260.9</v>
      </c>
      <c r="G157" s="144">
        <f>SUM(Ведомственная!G562)</f>
        <v>13260.9</v>
      </c>
      <c r="I157" s="145">
        <f t="shared" si="2"/>
        <v>0</v>
      </c>
      <c r="J157" s="145"/>
    </row>
    <row r="158" spans="1:10" ht="31.5">
      <c r="A158" s="48" t="s">
        <v>584</v>
      </c>
      <c r="B158" s="50" t="s">
        <v>585</v>
      </c>
      <c r="C158" s="50"/>
      <c r="D158" s="50"/>
      <c r="E158" s="50"/>
      <c r="F158" s="51">
        <f>F159+F160</f>
        <v>127639.90000000001</v>
      </c>
      <c r="I158" s="145">
        <f t="shared" si="2"/>
        <v>-127639.90000000001</v>
      </c>
      <c r="J158" s="145"/>
    </row>
    <row r="159" spans="1:10" ht="31.5">
      <c r="A159" s="48" t="s">
        <v>56</v>
      </c>
      <c r="B159" s="50" t="s">
        <v>585</v>
      </c>
      <c r="C159" s="50" t="s">
        <v>101</v>
      </c>
      <c r="D159" s="50" t="s">
        <v>35</v>
      </c>
      <c r="E159" s="50" t="s">
        <v>58</v>
      </c>
      <c r="F159" s="51">
        <v>1886.3</v>
      </c>
      <c r="G159" s="144">
        <f>SUM(Ведомственная!G564)</f>
        <v>1886.3</v>
      </c>
      <c r="I159" s="145">
        <f t="shared" si="2"/>
        <v>0</v>
      </c>
      <c r="J159" s="145"/>
    </row>
    <row r="160" spans="1:10" ht="15.75">
      <c r="A160" s="48" t="s">
        <v>46</v>
      </c>
      <c r="B160" s="50" t="s">
        <v>585</v>
      </c>
      <c r="C160" s="50" t="s">
        <v>109</v>
      </c>
      <c r="D160" s="50" t="s">
        <v>35</v>
      </c>
      <c r="E160" s="50" t="s">
        <v>58</v>
      </c>
      <c r="F160" s="51">
        <v>125753.6</v>
      </c>
      <c r="G160" s="144">
        <f>SUM(Ведомственная!G565)</f>
        <v>125753.6</v>
      </c>
      <c r="I160" s="145">
        <f t="shared" si="2"/>
        <v>0</v>
      </c>
      <c r="J160" s="145"/>
    </row>
    <row r="161" spans="1:10" ht="94.5">
      <c r="A161" s="48" t="s">
        <v>586</v>
      </c>
      <c r="B161" s="50" t="s">
        <v>587</v>
      </c>
      <c r="C161" s="50"/>
      <c r="D161" s="50"/>
      <c r="E161" s="50"/>
      <c r="F161" s="51">
        <f>F162+F163</f>
        <v>14</v>
      </c>
      <c r="I161" s="145">
        <f t="shared" si="2"/>
        <v>-14</v>
      </c>
      <c r="J161" s="145"/>
    </row>
    <row r="162" spans="1:10" ht="31.5">
      <c r="A162" s="48" t="s">
        <v>56</v>
      </c>
      <c r="B162" s="50" t="s">
        <v>587</v>
      </c>
      <c r="C162" s="50" t="s">
        <v>101</v>
      </c>
      <c r="D162" s="50" t="s">
        <v>35</v>
      </c>
      <c r="E162" s="50" t="s">
        <v>58</v>
      </c>
      <c r="F162" s="51">
        <v>0.2</v>
      </c>
      <c r="G162" s="144">
        <f>SUM(Ведомственная!G567)</f>
        <v>0.2</v>
      </c>
      <c r="I162" s="145">
        <f t="shared" si="2"/>
        <v>0</v>
      </c>
      <c r="J162" s="145"/>
    </row>
    <row r="163" spans="1:10" ht="15.75">
      <c r="A163" s="48" t="s">
        <v>46</v>
      </c>
      <c r="B163" s="50" t="s">
        <v>587</v>
      </c>
      <c r="C163" s="50" t="s">
        <v>109</v>
      </c>
      <c r="D163" s="50" t="s">
        <v>35</v>
      </c>
      <c r="E163" s="50" t="s">
        <v>58</v>
      </c>
      <c r="F163" s="51">
        <v>13.8</v>
      </c>
      <c r="G163" s="144">
        <f>SUM(Ведомственная!G568)</f>
        <v>13.8</v>
      </c>
      <c r="I163" s="145">
        <f t="shared" si="2"/>
        <v>0</v>
      </c>
      <c r="J163" s="145"/>
    </row>
    <row r="164" spans="1:10" ht="47.25">
      <c r="A164" s="48" t="s">
        <v>588</v>
      </c>
      <c r="B164" s="50" t="s">
        <v>589</v>
      </c>
      <c r="C164" s="50"/>
      <c r="D164" s="50"/>
      <c r="E164" s="50"/>
      <c r="F164" s="51">
        <f>F165+F166+F167</f>
        <v>8057.1</v>
      </c>
      <c r="I164" s="145">
        <f aca="true" t="shared" si="3" ref="I164:I239">G164-F164</f>
        <v>-8057.1</v>
      </c>
      <c r="J164" s="145"/>
    </row>
    <row r="165" spans="1:10" ht="31.5">
      <c r="A165" s="48" t="s">
        <v>56</v>
      </c>
      <c r="B165" s="50" t="s">
        <v>589</v>
      </c>
      <c r="C165" s="50" t="s">
        <v>101</v>
      </c>
      <c r="D165" s="50" t="s">
        <v>35</v>
      </c>
      <c r="E165" s="50" t="s">
        <v>58</v>
      </c>
      <c r="F165" s="51">
        <v>35.7</v>
      </c>
      <c r="G165" s="144">
        <f>SUM(Ведомственная!G570)</f>
        <v>35.7</v>
      </c>
      <c r="I165" s="145">
        <f t="shared" si="3"/>
        <v>0</v>
      </c>
      <c r="J165" s="145"/>
    </row>
    <row r="166" spans="1:10" ht="15.75">
      <c r="A166" s="48" t="s">
        <v>46</v>
      </c>
      <c r="B166" s="50" t="s">
        <v>589</v>
      </c>
      <c r="C166" s="50" t="s">
        <v>109</v>
      </c>
      <c r="D166" s="50" t="s">
        <v>35</v>
      </c>
      <c r="E166" s="50" t="s">
        <v>58</v>
      </c>
      <c r="F166" s="51">
        <v>7554.6</v>
      </c>
      <c r="G166" s="144">
        <f>SUM(Ведомственная!G571+Ведомственная!G949)+Ведомственная!G1077</f>
        <v>7554.6</v>
      </c>
      <c r="I166" s="145">
        <f t="shared" si="3"/>
        <v>0</v>
      </c>
      <c r="J166" s="145"/>
    </row>
    <row r="167" spans="1:10" ht="31.5">
      <c r="A167" s="48" t="s">
        <v>134</v>
      </c>
      <c r="B167" s="50" t="s">
        <v>589</v>
      </c>
      <c r="C167" s="50" t="s">
        <v>135</v>
      </c>
      <c r="D167" s="50" t="s">
        <v>35</v>
      </c>
      <c r="E167" s="50" t="s">
        <v>58</v>
      </c>
      <c r="F167" s="51">
        <v>466.8</v>
      </c>
      <c r="G167" s="144">
        <f>Ведомственная!G950</f>
        <v>466.8</v>
      </c>
      <c r="I167" s="145">
        <f t="shared" si="3"/>
        <v>0</v>
      </c>
      <c r="J167" s="145"/>
    </row>
    <row r="168" spans="1:10" ht="63">
      <c r="A168" s="48" t="s">
        <v>590</v>
      </c>
      <c r="B168" s="50" t="s">
        <v>591</v>
      </c>
      <c r="C168" s="50"/>
      <c r="D168" s="50"/>
      <c r="E168" s="50"/>
      <c r="F168" s="51">
        <f>F169+F170</f>
        <v>1800.2</v>
      </c>
      <c r="I168" s="145">
        <f t="shared" si="3"/>
        <v>-1800.2</v>
      </c>
      <c r="J168" s="145"/>
    </row>
    <row r="169" spans="1:10" ht="31.5">
      <c r="A169" s="48" t="s">
        <v>56</v>
      </c>
      <c r="B169" s="50" t="s">
        <v>591</v>
      </c>
      <c r="C169" s="50" t="s">
        <v>101</v>
      </c>
      <c r="D169" s="50" t="s">
        <v>35</v>
      </c>
      <c r="E169" s="50" t="s">
        <v>58</v>
      </c>
      <c r="F169" s="51">
        <v>30.4</v>
      </c>
      <c r="G169" s="144">
        <f>SUM(Ведомственная!G573)</f>
        <v>30.4</v>
      </c>
      <c r="I169" s="145">
        <f t="shared" si="3"/>
        <v>0</v>
      </c>
      <c r="J169" s="145"/>
    </row>
    <row r="170" spans="1:10" ht="15.75">
      <c r="A170" s="48" t="s">
        <v>46</v>
      </c>
      <c r="B170" s="50" t="s">
        <v>591</v>
      </c>
      <c r="C170" s="50" t="s">
        <v>109</v>
      </c>
      <c r="D170" s="50" t="s">
        <v>35</v>
      </c>
      <c r="E170" s="50" t="s">
        <v>58</v>
      </c>
      <c r="F170" s="51">
        <v>1769.8</v>
      </c>
      <c r="G170" s="144">
        <f>SUM(Ведомственная!G574)</f>
        <v>1769.8</v>
      </c>
      <c r="I170" s="145">
        <f t="shared" si="3"/>
        <v>0</v>
      </c>
      <c r="J170" s="145"/>
    </row>
    <row r="171" spans="1:10" ht="31.5">
      <c r="A171" s="48" t="s">
        <v>592</v>
      </c>
      <c r="B171" s="50" t="s">
        <v>593</v>
      </c>
      <c r="C171" s="50"/>
      <c r="D171" s="50"/>
      <c r="E171" s="50"/>
      <c r="F171" s="51">
        <f>F172+F173</f>
        <v>69.3</v>
      </c>
      <c r="I171" s="145">
        <f t="shared" si="3"/>
        <v>-69.3</v>
      </c>
      <c r="J171" s="145"/>
    </row>
    <row r="172" spans="1:10" ht="31.5">
      <c r="A172" s="48" t="s">
        <v>56</v>
      </c>
      <c r="B172" s="50" t="s">
        <v>593</v>
      </c>
      <c r="C172" s="50" t="s">
        <v>101</v>
      </c>
      <c r="D172" s="50" t="s">
        <v>35</v>
      </c>
      <c r="E172" s="50" t="s">
        <v>58</v>
      </c>
      <c r="F172" s="51">
        <v>1</v>
      </c>
      <c r="G172" s="144">
        <f>SUM(Ведомственная!G576)</f>
        <v>1</v>
      </c>
      <c r="I172" s="145">
        <f t="shared" si="3"/>
        <v>0</v>
      </c>
      <c r="J172" s="145"/>
    </row>
    <row r="173" spans="1:10" ht="15.75">
      <c r="A173" s="48" t="s">
        <v>46</v>
      </c>
      <c r="B173" s="50" t="s">
        <v>593</v>
      </c>
      <c r="C173" s="50" t="s">
        <v>109</v>
      </c>
      <c r="D173" s="50" t="s">
        <v>35</v>
      </c>
      <c r="E173" s="50" t="s">
        <v>58</v>
      </c>
      <c r="F173" s="51">
        <v>68.3</v>
      </c>
      <c r="G173" s="144">
        <f>SUM(Ведомственная!G577)</f>
        <v>68.3</v>
      </c>
      <c r="I173" s="145">
        <f t="shared" si="3"/>
        <v>0</v>
      </c>
      <c r="J173" s="145"/>
    </row>
    <row r="174" spans="1:10" ht="63">
      <c r="A174" s="48" t="s">
        <v>594</v>
      </c>
      <c r="B174" s="50" t="s">
        <v>595</v>
      </c>
      <c r="C174" s="50"/>
      <c r="D174" s="50"/>
      <c r="E174" s="50"/>
      <c r="F174" s="51">
        <f>F175+F176</f>
        <v>690.9000000000001</v>
      </c>
      <c r="I174" s="145">
        <f t="shared" si="3"/>
        <v>-690.9000000000001</v>
      </c>
      <c r="J174" s="145"/>
    </row>
    <row r="175" spans="1:10" ht="31.5">
      <c r="A175" s="48" t="s">
        <v>56</v>
      </c>
      <c r="B175" s="50" t="s">
        <v>595</v>
      </c>
      <c r="C175" s="50" t="s">
        <v>101</v>
      </c>
      <c r="D175" s="50" t="s">
        <v>35</v>
      </c>
      <c r="E175" s="50" t="s">
        <v>58</v>
      </c>
      <c r="F175" s="51">
        <v>16.2</v>
      </c>
      <c r="G175" s="144">
        <f>SUM(Ведомственная!G579)</f>
        <v>16.2</v>
      </c>
      <c r="I175" s="145">
        <f t="shared" si="3"/>
        <v>0</v>
      </c>
      <c r="J175" s="145"/>
    </row>
    <row r="176" spans="1:10" ht="15.75">
      <c r="A176" s="48" t="s">
        <v>46</v>
      </c>
      <c r="B176" s="50" t="s">
        <v>595</v>
      </c>
      <c r="C176" s="50" t="s">
        <v>109</v>
      </c>
      <c r="D176" s="50" t="s">
        <v>35</v>
      </c>
      <c r="E176" s="50" t="s">
        <v>58</v>
      </c>
      <c r="F176" s="51">
        <v>674.7</v>
      </c>
      <c r="G176" s="144">
        <f>SUM(Ведомственная!G580)</f>
        <v>674.7</v>
      </c>
      <c r="I176" s="145">
        <f t="shared" si="3"/>
        <v>0</v>
      </c>
      <c r="J176" s="145"/>
    </row>
    <row r="177" spans="1:10" ht="31.5">
      <c r="A177" s="48" t="s">
        <v>705</v>
      </c>
      <c r="B177" s="50" t="s">
        <v>706</v>
      </c>
      <c r="C177" s="50"/>
      <c r="D177" s="50"/>
      <c r="E177" s="50"/>
      <c r="F177" s="51">
        <f>SUM(F178:F179)</f>
        <v>15497.2</v>
      </c>
      <c r="I177" s="145">
        <f t="shared" si="3"/>
        <v>-15497.2</v>
      </c>
      <c r="J177" s="145"/>
    </row>
    <row r="178" spans="1:10" ht="31.5">
      <c r="A178" s="48" t="s">
        <v>56</v>
      </c>
      <c r="B178" s="50" t="s">
        <v>706</v>
      </c>
      <c r="C178" s="50" t="s">
        <v>101</v>
      </c>
      <c r="D178" s="50" t="s">
        <v>35</v>
      </c>
      <c r="E178" s="50" t="s">
        <v>58</v>
      </c>
      <c r="F178" s="51">
        <v>491.5</v>
      </c>
      <c r="G178" s="144">
        <f>SUM(Ведомственная!G582)</f>
        <v>491.5</v>
      </c>
      <c r="I178" s="145">
        <f t="shared" si="3"/>
        <v>0</v>
      </c>
      <c r="J178" s="145"/>
    </row>
    <row r="179" spans="1:10" ht="15.75">
      <c r="A179" s="48" t="s">
        <v>46</v>
      </c>
      <c r="B179" s="50" t="s">
        <v>706</v>
      </c>
      <c r="C179" s="50" t="s">
        <v>109</v>
      </c>
      <c r="D179" s="50" t="s">
        <v>35</v>
      </c>
      <c r="E179" s="50" t="s">
        <v>58</v>
      </c>
      <c r="F179" s="51">
        <v>15005.7</v>
      </c>
      <c r="G179" s="144">
        <f>SUM(Ведомственная!G583)</f>
        <v>15005.7</v>
      </c>
      <c r="I179" s="145">
        <f t="shared" si="3"/>
        <v>0</v>
      </c>
      <c r="J179" s="145"/>
    </row>
    <row r="180" spans="1:10" ht="47.25">
      <c r="A180" s="48" t="s">
        <v>555</v>
      </c>
      <c r="B180" s="50" t="s">
        <v>556</v>
      </c>
      <c r="C180" s="49"/>
      <c r="D180" s="50"/>
      <c r="E180" s="50"/>
      <c r="F180" s="51">
        <f>F186+F181</f>
        <v>82488.4</v>
      </c>
      <c r="I180" s="145">
        <f t="shared" si="3"/>
        <v>-82488.4</v>
      </c>
      <c r="J180" s="145"/>
    </row>
    <row r="181" spans="1:10" ht="47.25">
      <c r="A181" s="48" t="s">
        <v>612</v>
      </c>
      <c r="B181" s="49" t="s">
        <v>613</v>
      </c>
      <c r="C181" s="49"/>
      <c r="D181" s="50"/>
      <c r="E181" s="50"/>
      <c r="F181" s="51">
        <f>F182</f>
        <v>17222.6</v>
      </c>
      <c r="I181" s="145">
        <f t="shared" si="3"/>
        <v>-17222.6</v>
      </c>
      <c r="J181" s="145"/>
    </row>
    <row r="182" spans="1:10" ht="31.5">
      <c r="A182" s="48" t="s">
        <v>614</v>
      </c>
      <c r="B182" s="49" t="s">
        <v>615</v>
      </c>
      <c r="C182" s="49"/>
      <c r="D182" s="50"/>
      <c r="E182" s="50"/>
      <c r="F182" s="51">
        <f>F183+F184+F185</f>
        <v>17222.6</v>
      </c>
      <c r="I182" s="145">
        <f t="shared" si="3"/>
        <v>-17222.6</v>
      </c>
      <c r="J182" s="145"/>
    </row>
    <row r="183" spans="1:10" ht="63">
      <c r="A183" s="48" t="s">
        <v>55</v>
      </c>
      <c r="B183" s="49" t="s">
        <v>615</v>
      </c>
      <c r="C183" s="49">
        <v>100</v>
      </c>
      <c r="D183" s="50" t="s">
        <v>35</v>
      </c>
      <c r="E183" s="50" t="s">
        <v>82</v>
      </c>
      <c r="F183" s="51">
        <v>14583.1</v>
      </c>
      <c r="G183" s="144">
        <f>SUM(Ведомственная!G664)</f>
        <v>14583.1</v>
      </c>
      <c r="I183" s="145">
        <f t="shared" si="3"/>
        <v>0</v>
      </c>
      <c r="J183" s="145"/>
    </row>
    <row r="184" spans="1:10" ht="31.5">
      <c r="A184" s="48" t="s">
        <v>56</v>
      </c>
      <c r="B184" s="49" t="s">
        <v>615</v>
      </c>
      <c r="C184" s="49">
        <v>200</v>
      </c>
      <c r="D184" s="50" t="s">
        <v>35</v>
      </c>
      <c r="E184" s="50" t="s">
        <v>82</v>
      </c>
      <c r="F184" s="51">
        <v>2321.2</v>
      </c>
      <c r="G184" s="144">
        <f>SUM(Ведомственная!G665)</f>
        <v>2321.2</v>
      </c>
      <c r="I184" s="145">
        <f t="shared" si="3"/>
        <v>0</v>
      </c>
      <c r="J184" s="145"/>
    </row>
    <row r="185" spans="1:10" ht="15.75">
      <c r="A185" s="48" t="s">
        <v>26</v>
      </c>
      <c r="B185" s="49" t="s">
        <v>615</v>
      </c>
      <c r="C185" s="49">
        <v>800</v>
      </c>
      <c r="D185" s="50" t="s">
        <v>35</v>
      </c>
      <c r="E185" s="50" t="s">
        <v>82</v>
      </c>
      <c r="F185" s="51">
        <v>318.3</v>
      </c>
      <c r="G185" s="144">
        <f>SUM(Ведомственная!G666)</f>
        <v>318.3</v>
      </c>
      <c r="I185" s="145">
        <f t="shared" si="3"/>
        <v>0</v>
      </c>
      <c r="J185" s="145"/>
    </row>
    <row r="186" spans="1:10" ht="94.5">
      <c r="A186" s="48" t="s">
        <v>317</v>
      </c>
      <c r="B186" s="50" t="s">
        <v>557</v>
      </c>
      <c r="C186" s="49"/>
      <c r="D186" s="50"/>
      <c r="E186" s="50"/>
      <c r="F186" s="51">
        <f>F187</f>
        <v>65265.8</v>
      </c>
      <c r="I186" s="145">
        <f t="shared" si="3"/>
        <v>-65265.8</v>
      </c>
      <c r="J186" s="145"/>
    </row>
    <row r="187" spans="1:10" ht="31.5">
      <c r="A187" s="48" t="s">
        <v>558</v>
      </c>
      <c r="B187" s="50" t="s">
        <v>559</v>
      </c>
      <c r="C187" s="49"/>
      <c r="D187" s="50"/>
      <c r="E187" s="50"/>
      <c r="F187" s="51">
        <f>F188+F189+F191+F190</f>
        <v>65265.8</v>
      </c>
      <c r="I187" s="145">
        <f t="shared" si="3"/>
        <v>-65265.8</v>
      </c>
      <c r="J187" s="145"/>
    </row>
    <row r="188" spans="1:10" ht="63">
      <c r="A188" s="48" t="s">
        <v>55</v>
      </c>
      <c r="B188" s="50" t="s">
        <v>559</v>
      </c>
      <c r="C188" s="49">
        <v>100</v>
      </c>
      <c r="D188" s="50" t="s">
        <v>35</v>
      </c>
      <c r="E188" s="50" t="s">
        <v>48</v>
      </c>
      <c r="F188" s="51">
        <v>54460.9</v>
      </c>
      <c r="G188" s="144">
        <f>SUM(Ведомственная!G516)</f>
        <v>54460.9</v>
      </c>
      <c r="I188" s="145">
        <f t="shared" si="3"/>
        <v>0</v>
      </c>
      <c r="J188" s="145"/>
    </row>
    <row r="189" spans="1:10" ht="31.5">
      <c r="A189" s="48" t="s">
        <v>56</v>
      </c>
      <c r="B189" s="50" t="s">
        <v>559</v>
      </c>
      <c r="C189" s="49">
        <v>200</v>
      </c>
      <c r="D189" s="50" t="s">
        <v>35</v>
      </c>
      <c r="E189" s="50" t="s">
        <v>48</v>
      </c>
      <c r="F189" s="51">
        <v>10588.7</v>
      </c>
      <c r="G189" s="144">
        <f>SUM(Ведомственная!G517)</f>
        <v>10588.7</v>
      </c>
      <c r="I189" s="145">
        <f t="shared" si="3"/>
        <v>0</v>
      </c>
      <c r="J189" s="145"/>
    </row>
    <row r="190" spans="1:10" ht="15.75">
      <c r="A190" s="183" t="s">
        <v>46</v>
      </c>
      <c r="B190" s="184" t="s">
        <v>559</v>
      </c>
      <c r="C190" s="49">
        <v>300</v>
      </c>
      <c r="D190" s="184" t="s">
        <v>35</v>
      </c>
      <c r="E190" s="184" t="s">
        <v>48</v>
      </c>
      <c r="F190" s="51">
        <v>3.2</v>
      </c>
      <c r="G190" s="144">
        <f>SUM(Ведомственная!G518)</f>
        <v>3.2</v>
      </c>
      <c r="I190" s="145">
        <f t="shared" si="3"/>
        <v>0</v>
      </c>
      <c r="J190" s="145"/>
    </row>
    <row r="191" spans="1:10" ht="15.75">
      <c r="A191" s="48" t="s">
        <v>26</v>
      </c>
      <c r="B191" s="50" t="s">
        <v>559</v>
      </c>
      <c r="C191" s="49">
        <v>800</v>
      </c>
      <c r="D191" s="50" t="s">
        <v>35</v>
      </c>
      <c r="E191" s="50" t="s">
        <v>48</v>
      </c>
      <c r="F191" s="51">
        <v>213</v>
      </c>
      <c r="G191" s="144">
        <f>SUM(Ведомственная!G519)</f>
        <v>213</v>
      </c>
      <c r="I191" s="145">
        <f t="shared" si="3"/>
        <v>0</v>
      </c>
      <c r="J191" s="145"/>
    </row>
    <row r="192" spans="1:10" ht="31.5">
      <c r="A192" s="99" t="s">
        <v>818</v>
      </c>
      <c r="B192" s="54" t="s">
        <v>826</v>
      </c>
      <c r="C192" s="54"/>
      <c r="D192" s="178"/>
      <c r="E192" s="178"/>
      <c r="F192" s="57">
        <f>F193</f>
        <v>101.7</v>
      </c>
      <c r="H192" s="146">
        <f>SUM(G193:G199)</f>
        <v>101.7</v>
      </c>
      <c r="I192" s="145">
        <f aca="true" t="shared" si="4" ref="I192:I199">G192-F192</f>
        <v>-101.7</v>
      </c>
      <c r="J192" s="145">
        <f aca="true" t="shared" si="5" ref="J192:J199">SUM(H192-F192)</f>
        <v>0</v>
      </c>
    </row>
    <row r="193" spans="1:10" ht="31.5">
      <c r="A193" s="99" t="s">
        <v>819</v>
      </c>
      <c r="B193" s="54" t="s">
        <v>827</v>
      </c>
      <c r="C193" s="54"/>
      <c r="D193" s="178"/>
      <c r="E193" s="178"/>
      <c r="F193" s="57">
        <f>F194+F197</f>
        <v>101.7</v>
      </c>
      <c r="I193" s="145">
        <f t="shared" si="4"/>
        <v>-101.7</v>
      </c>
      <c r="J193" s="145">
        <f t="shared" si="5"/>
        <v>-101.7</v>
      </c>
    </row>
    <row r="194" spans="1:10" ht="47.25">
      <c r="A194" s="99" t="s">
        <v>612</v>
      </c>
      <c r="B194" s="54" t="s">
        <v>828</v>
      </c>
      <c r="C194" s="54"/>
      <c r="D194" s="178"/>
      <c r="E194" s="178"/>
      <c r="F194" s="57">
        <f>F195</f>
        <v>76.7</v>
      </c>
      <c r="I194" s="145">
        <f t="shared" si="4"/>
        <v>-76.7</v>
      </c>
      <c r="J194" s="145">
        <f t="shared" si="5"/>
        <v>-76.7</v>
      </c>
    </row>
    <row r="195" spans="1:10" ht="47.25">
      <c r="A195" s="99" t="s">
        <v>820</v>
      </c>
      <c r="B195" s="54" t="s">
        <v>821</v>
      </c>
      <c r="C195" s="54"/>
      <c r="D195" s="178"/>
      <c r="E195" s="178"/>
      <c r="F195" s="57">
        <f>F196</f>
        <v>76.7</v>
      </c>
      <c r="I195" s="145">
        <f t="shared" si="4"/>
        <v>-76.7</v>
      </c>
      <c r="J195" s="145">
        <f t="shared" si="5"/>
        <v>-76.7</v>
      </c>
    </row>
    <row r="196" spans="1:10" ht="31.5">
      <c r="A196" s="99" t="s">
        <v>56</v>
      </c>
      <c r="B196" s="54" t="s">
        <v>821</v>
      </c>
      <c r="C196" s="54" t="s">
        <v>101</v>
      </c>
      <c r="D196" s="178" t="s">
        <v>19</v>
      </c>
      <c r="E196" s="178" t="s">
        <v>38</v>
      </c>
      <c r="F196" s="57">
        <v>76.7</v>
      </c>
      <c r="G196" s="144">
        <f>SUM(Ведомственная!G996)</f>
        <v>76.7</v>
      </c>
      <c r="I196" s="145">
        <f t="shared" si="4"/>
        <v>0</v>
      </c>
      <c r="J196" s="145">
        <f t="shared" si="5"/>
        <v>-76.7</v>
      </c>
    </row>
    <row r="197" spans="1:10" ht="15.75">
      <c r="A197" s="99" t="s">
        <v>822</v>
      </c>
      <c r="B197" s="54" t="s">
        <v>823</v>
      </c>
      <c r="C197" s="54"/>
      <c r="D197" s="178"/>
      <c r="E197" s="178"/>
      <c r="F197" s="57">
        <f>F198</f>
        <v>25</v>
      </c>
      <c r="I197" s="145">
        <f t="shared" si="4"/>
        <v>-25</v>
      </c>
      <c r="J197" s="145">
        <f t="shared" si="5"/>
        <v>-25</v>
      </c>
    </row>
    <row r="198" spans="1:10" ht="15.75">
      <c r="A198" s="99" t="s">
        <v>824</v>
      </c>
      <c r="B198" s="54" t="s">
        <v>825</v>
      </c>
      <c r="C198" s="54"/>
      <c r="D198" s="178"/>
      <c r="E198" s="178"/>
      <c r="F198" s="57">
        <f>F199</f>
        <v>25</v>
      </c>
      <c r="I198" s="145">
        <f t="shared" si="4"/>
        <v>-25</v>
      </c>
      <c r="J198" s="145">
        <f t="shared" si="5"/>
        <v>-25</v>
      </c>
    </row>
    <row r="199" spans="1:10" ht="63">
      <c r="A199" s="99" t="s">
        <v>55</v>
      </c>
      <c r="B199" s="54" t="s">
        <v>825</v>
      </c>
      <c r="C199" s="54" t="s">
        <v>99</v>
      </c>
      <c r="D199" s="178" t="s">
        <v>19</v>
      </c>
      <c r="E199" s="178" t="s">
        <v>38</v>
      </c>
      <c r="F199" s="57">
        <v>25</v>
      </c>
      <c r="G199" s="144">
        <f>SUM(Ведомственная!G999)</f>
        <v>25</v>
      </c>
      <c r="I199" s="145">
        <f t="shared" si="4"/>
        <v>0</v>
      </c>
      <c r="J199" s="145">
        <f t="shared" si="5"/>
        <v>-25</v>
      </c>
    </row>
    <row r="200" spans="1:10" ht="63">
      <c r="A200" s="48" t="s">
        <v>550</v>
      </c>
      <c r="B200" s="50" t="s">
        <v>551</v>
      </c>
      <c r="C200" s="50"/>
      <c r="D200" s="50"/>
      <c r="E200" s="50"/>
      <c r="F200" s="51">
        <f>SUM(F201)</f>
        <v>6985.1</v>
      </c>
      <c r="H200" s="150">
        <f>SUM(G203:G205)</f>
        <v>6985.1</v>
      </c>
      <c r="I200" s="145">
        <f t="shared" si="3"/>
        <v>-6985.1</v>
      </c>
      <c r="J200" s="145">
        <f aca="true" t="shared" si="6" ref="J200:J252">SUM(H200-F200)</f>
        <v>0</v>
      </c>
    </row>
    <row r="201" spans="1:10" ht="94.5">
      <c r="A201" s="52" t="s">
        <v>246</v>
      </c>
      <c r="B201" s="50" t="s">
        <v>552</v>
      </c>
      <c r="C201" s="50"/>
      <c r="D201" s="50"/>
      <c r="E201" s="50"/>
      <c r="F201" s="51">
        <f>SUM(F202)</f>
        <v>6985.1</v>
      </c>
      <c r="I201" s="145">
        <f t="shared" si="3"/>
        <v>-6985.1</v>
      </c>
      <c r="J201" s="145">
        <f t="shared" si="6"/>
        <v>-6985.1</v>
      </c>
    </row>
    <row r="202" spans="1:10" ht="31.5">
      <c r="A202" s="48" t="s">
        <v>285</v>
      </c>
      <c r="B202" s="50" t="s">
        <v>553</v>
      </c>
      <c r="C202" s="50"/>
      <c r="D202" s="50"/>
      <c r="E202" s="50"/>
      <c r="F202" s="51">
        <f>SUM(F203:F205)</f>
        <v>6985.1</v>
      </c>
      <c r="I202" s="145">
        <f t="shared" si="3"/>
        <v>-6985.1</v>
      </c>
      <c r="J202" s="145">
        <f t="shared" si="6"/>
        <v>-6985.1</v>
      </c>
    </row>
    <row r="203" spans="1:10" ht="63">
      <c r="A203" s="48" t="s">
        <v>55</v>
      </c>
      <c r="B203" s="50" t="s">
        <v>553</v>
      </c>
      <c r="C203" s="50" t="s">
        <v>99</v>
      </c>
      <c r="D203" s="50" t="s">
        <v>58</v>
      </c>
      <c r="E203" s="50" t="s">
        <v>17</v>
      </c>
      <c r="F203" s="51">
        <v>4164.1</v>
      </c>
      <c r="G203" s="144">
        <f>SUM(Ведомственная!G161)</f>
        <v>4164.1</v>
      </c>
      <c r="I203" s="145">
        <f t="shared" si="3"/>
        <v>0</v>
      </c>
      <c r="J203" s="145">
        <f t="shared" si="6"/>
        <v>-4164.1</v>
      </c>
    </row>
    <row r="204" spans="1:10" ht="31.5">
      <c r="A204" s="48" t="s">
        <v>56</v>
      </c>
      <c r="B204" s="50" t="s">
        <v>553</v>
      </c>
      <c r="C204" s="50" t="s">
        <v>101</v>
      </c>
      <c r="D204" s="50" t="s">
        <v>58</v>
      </c>
      <c r="E204" s="50" t="s">
        <v>17</v>
      </c>
      <c r="F204" s="51">
        <v>2723</v>
      </c>
      <c r="G204" s="144">
        <f>SUM(Ведомственная!G162)</f>
        <v>2723</v>
      </c>
      <c r="I204" s="145">
        <f t="shared" si="3"/>
        <v>0</v>
      </c>
      <c r="J204" s="145">
        <f t="shared" si="6"/>
        <v>-2723</v>
      </c>
    </row>
    <row r="205" spans="1:10" ht="15.75">
      <c r="A205" s="48" t="s">
        <v>26</v>
      </c>
      <c r="B205" s="50" t="s">
        <v>553</v>
      </c>
      <c r="C205" s="50" t="s">
        <v>106</v>
      </c>
      <c r="D205" s="50" t="s">
        <v>58</v>
      </c>
      <c r="E205" s="50" t="s">
        <v>17</v>
      </c>
      <c r="F205" s="51">
        <v>98</v>
      </c>
      <c r="G205" s="144">
        <f>SUM(Ведомственная!G163)</f>
        <v>98</v>
      </c>
      <c r="I205" s="145">
        <f t="shared" si="3"/>
        <v>0</v>
      </c>
      <c r="J205" s="145">
        <f t="shared" si="6"/>
        <v>-98</v>
      </c>
    </row>
    <row r="206" spans="1:10" ht="31.5">
      <c r="A206" s="48" t="s">
        <v>319</v>
      </c>
      <c r="B206" s="49" t="s">
        <v>286</v>
      </c>
      <c r="C206" s="49"/>
      <c r="D206" s="50"/>
      <c r="E206" s="50"/>
      <c r="F206" s="51">
        <f>SUM(F207+F214)</f>
        <v>13564</v>
      </c>
      <c r="H206" s="146">
        <f>SUM(G210:G219)</f>
        <v>13564</v>
      </c>
      <c r="I206" s="145">
        <f t="shared" si="3"/>
        <v>-13564</v>
      </c>
      <c r="J206" s="145">
        <f t="shared" si="6"/>
        <v>0</v>
      </c>
    </row>
    <row r="207" spans="1:10" ht="47.25">
      <c r="A207" s="156" t="s">
        <v>780</v>
      </c>
      <c r="B207" s="50" t="s">
        <v>287</v>
      </c>
      <c r="C207" s="49"/>
      <c r="D207" s="50"/>
      <c r="E207" s="50"/>
      <c r="F207" s="51">
        <f>SUM(F211)+F208</f>
        <v>12054</v>
      </c>
      <c r="I207" s="145">
        <f t="shared" si="3"/>
        <v>-12054</v>
      </c>
      <c r="J207" s="145">
        <f t="shared" si="6"/>
        <v>-12054</v>
      </c>
    </row>
    <row r="208" spans="1:10" ht="47.25">
      <c r="A208" s="179" t="s">
        <v>612</v>
      </c>
      <c r="B208" s="180" t="s">
        <v>830</v>
      </c>
      <c r="C208" s="49"/>
      <c r="D208" s="180"/>
      <c r="E208" s="180"/>
      <c r="F208" s="51">
        <f>SUM(F209)</f>
        <v>10554</v>
      </c>
      <c r="I208" s="145">
        <f t="shared" si="3"/>
        <v>-10554</v>
      </c>
      <c r="J208" s="145">
        <f t="shared" si="6"/>
        <v>-10554</v>
      </c>
    </row>
    <row r="209" spans="1:10" ht="31.5">
      <c r="A209" s="179" t="s">
        <v>831</v>
      </c>
      <c r="B209" s="180" t="s">
        <v>832</v>
      </c>
      <c r="C209" s="49"/>
      <c r="D209" s="180"/>
      <c r="E209" s="180"/>
      <c r="F209" s="51">
        <f>SUM(F210)</f>
        <v>10554</v>
      </c>
      <c r="I209" s="145"/>
      <c r="J209" s="145"/>
    </row>
    <row r="210" spans="1:10" ht="15.75">
      <c r="A210" s="179" t="s">
        <v>26</v>
      </c>
      <c r="B210" s="162" t="s">
        <v>832</v>
      </c>
      <c r="C210" s="49">
        <v>800</v>
      </c>
      <c r="D210" s="180" t="s">
        <v>17</v>
      </c>
      <c r="E210" s="180" t="s">
        <v>28</v>
      </c>
      <c r="F210" s="51">
        <v>10554</v>
      </c>
      <c r="G210" s="144">
        <f>SUM(Ведомственная!G216)</f>
        <v>10554</v>
      </c>
      <c r="I210" s="145"/>
      <c r="J210" s="145"/>
    </row>
    <row r="211" spans="1:10" ht="47.25">
      <c r="A211" s="63" t="s">
        <v>22</v>
      </c>
      <c r="B211" s="50" t="s">
        <v>344</v>
      </c>
      <c r="C211" s="49"/>
      <c r="D211" s="50"/>
      <c r="E211" s="50"/>
      <c r="F211" s="51">
        <f>SUM(F212)</f>
        <v>1500</v>
      </c>
      <c r="I211" s="145">
        <f t="shared" si="3"/>
        <v>-1500</v>
      </c>
      <c r="J211" s="145">
        <f t="shared" si="6"/>
        <v>-1500</v>
      </c>
    </row>
    <row r="212" spans="1:10" ht="31.5">
      <c r="A212" s="48" t="s">
        <v>288</v>
      </c>
      <c r="B212" s="50" t="s">
        <v>345</v>
      </c>
      <c r="C212" s="50"/>
      <c r="D212" s="50"/>
      <c r="E212" s="50"/>
      <c r="F212" s="51">
        <f>SUM(F213)</f>
        <v>1500</v>
      </c>
      <c r="I212" s="145">
        <f t="shared" si="3"/>
        <v>-1500</v>
      </c>
      <c r="J212" s="145">
        <f t="shared" si="6"/>
        <v>-1500</v>
      </c>
    </row>
    <row r="213" spans="1:10" ht="15.75">
      <c r="A213" s="48" t="s">
        <v>26</v>
      </c>
      <c r="B213" s="50" t="s">
        <v>345</v>
      </c>
      <c r="C213" s="50" t="s">
        <v>106</v>
      </c>
      <c r="D213" s="50" t="s">
        <v>17</v>
      </c>
      <c r="E213" s="50" t="s">
        <v>28</v>
      </c>
      <c r="F213" s="51">
        <v>1500</v>
      </c>
      <c r="G213" s="144">
        <f>SUM(Ведомственная!G219)</f>
        <v>1500</v>
      </c>
      <c r="I213" s="145">
        <f t="shared" si="3"/>
        <v>0</v>
      </c>
      <c r="J213" s="145">
        <f t="shared" si="6"/>
        <v>-1500</v>
      </c>
    </row>
    <row r="214" spans="1:10" ht="31.5">
      <c r="A214" s="48" t="s">
        <v>289</v>
      </c>
      <c r="B214" s="50" t="s">
        <v>290</v>
      </c>
      <c r="C214" s="49"/>
      <c r="D214" s="50"/>
      <c r="E214" s="50"/>
      <c r="F214" s="51">
        <f>SUM(F215)</f>
        <v>1510</v>
      </c>
      <c r="I214" s="145">
        <f t="shared" si="3"/>
        <v>-1510</v>
      </c>
      <c r="J214" s="145">
        <f t="shared" si="6"/>
        <v>-1510</v>
      </c>
    </row>
    <row r="215" spans="1:10" ht="31.5">
      <c r="A215" s="63" t="s">
        <v>73</v>
      </c>
      <c r="B215" s="50" t="s">
        <v>645</v>
      </c>
      <c r="C215" s="49"/>
      <c r="D215" s="50"/>
      <c r="E215" s="50"/>
      <c r="F215" s="51">
        <f>SUM(F216)+F218</f>
        <v>1510</v>
      </c>
      <c r="I215" s="145">
        <f t="shared" si="3"/>
        <v>-1510</v>
      </c>
      <c r="J215" s="145">
        <f t="shared" si="6"/>
        <v>-1510</v>
      </c>
    </row>
    <row r="216" spans="1:10" ht="47.25">
      <c r="A216" s="48" t="s">
        <v>291</v>
      </c>
      <c r="B216" s="50" t="s">
        <v>343</v>
      </c>
      <c r="C216" s="50"/>
      <c r="D216" s="50"/>
      <c r="E216" s="50"/>
      <c r="F216" s="51">
        <f>SUM(F217)</f>
        <v>1500</v>
      </c>
      <c r="I216" s="145">
        <f t="shared" si="3"/>
        <v>-1500</v>
      </c>
      <c r="J216" s="145">
        <f t="shared" si="6"/>
        <v>-1500</v>
      </c>
    </row>
    <row r="217" spans="1:10" ht="31.5">
      <c r="A217" s="48" t="s">
        <v>283</v>
      </c>
      <c r="B217" s="50" t="s">
        <v>343</v>
      </c>
      <c r="C217" s="50" t="s">
        <v>135</v>
      </c>
      <c r="D217" s="50" t="s">
        <v>17</v>
      </c>
      <c r="E217" s="50" t="s">
        <v>28</v>
      </c>
      <c r="F217" s="51">
        <v>1500</v>
      </c>
      <c r="G217" s="144">
        <f>SUM(Ведомственная!G223)</f>
        <v>1500</v>
      </c>
      <c r="I217" s="145">
        <f t="shared" si="3"/>
        <v>0</v>
      </c>
      <c r="J217" s="145">
        <f t="shared" si="6"/>
        <v>-1500</v>
      </c>
    </row>
    <row r="218" spans="1:10" ht="47.25">
      <c r="A218" s="48" t="s">
        <v>677</v>
      </c>
      <c r="B218" s="50" t="s">
        <v>655</v>
      </c>
      <c r="C218" s="50"/>
      <c r="D218" s="50"/>
      <c r="E218" s="64"/>
      <c r="F218" s="51">
        <f>SUM(F219)</f>
        <v>10</v>
      </c>
      <c r="I218" s="145">
        <f t="shared" si="3"/>
        <v>-10</v>
      </c>
      <c r="J218" s="145"/>
    </row>
    <row r="219" spans="1:10" ht="31.5">
      <c r="A219" s="48" t="s">
        <v>283</v>
      </c>
      <c r="B219" s="50" t="s">
        <v>655</v>
      </c>
      <c r="C219" s="50" t="s">
        <v>135</v>
      </c>
      <c r="D219" s="50" t="s">
        <v>17</v>
      </c>
      <c r="E219" s="50" t="s">
        <v>28</v>
      </c>
      <c r="F219" s="51">
        <v>10</v>
      </c>
      <c r="G219" s="144">
        <f>SUM(Ведомственная!G225)</f>
        <v>10</v>
      </c>
      <c r="I219" s="145">
        <f t="shared" si="3"/>
        <v>0</v>
      </c>
      <c r="J219" s="145"/>
    </row>
    <row r="220" spans="1:10" ht="31.5">
      <c r="A220" s="48" t="s">
        <v>518</v>
      </c>
      <c r="B220" s="50" t="s">
        <v>258</v>
      </c>
      <c r="C220" s="49"/>
      <c r="D220" s="50"/>
      <c r="E220" s="50"/>
      <c r="F220" s="51">
        <f>SUM(F221)</f>
        <v>357.70000000000005</v>
      </c>
      <c r="H220" s="146">
        <f>SUM(G223:G224)</f>
        <v>357.70000000000005</v>
      </c>
      <c r="I220" s="145">
        <f t="shared" si="3"/>
        <v>-357.70000000000005</v>
      </c>
      <c r="J220" s="145">
        <f t="shared" si="6"/>
        <v>0</v>
      </c>
    </row>
    <row r="221" spans="1:10" ht="94.5">
      <c r="A221" s="52" t="s">
        <v>246</v>
      </c>
      <c r="B221" s="49" t="s">
        <v>530</v>
      </c>
      <c r="C221" s="49"/>
      <c r="D221" s="50"/>
      <c r="E221" s="50"/>
      <c r="F221" s="51">
        <f>SUM(F222)</f>
        <v>357.70000000000005</v>
      </c>
      <c r="I221" s="145">
        <f t="shared" si="3"/>
        <v>-357.70000000000005</v>
      </c>
      <c r="J221" s="145">
        <f t="shared" si="6"/>
        <v>-357.70000000000005</v>
      </c>
    </row>
    <row r="222" spans="1:10" ht="31.5">
      <c r="A222" s="48" t="s">
        <v>255</v>
      </c>
      <c r="B222" s="49" t="s">
        <v>531</v>
      </c>
      <c r="C222" s="49"/>
      <c r="D222" s="50"/>
      <c r="E222" s="50"/>
      <c r="F222" s="51">
        <f>SUM(F223:F224)</f>
        <v>357.70000000000005</v>
      </c>
      <c r="I222" s="145">
        <f t="shared" si="3"/>
        <v>-357.70000000000005</v>
      </c>
      <c r="J222" s="145">
        <f t="shared" si="6"/>
        <v>-357.70000000000005</v>
      </c>
    </row>
    <row r="223" spans="1:10" ht="63">
      <c r="A223" s="48" t="s">
        <v>55</v>
      </c>
      <c r="B223" s="49" t="s">
        <v>531</v>
      </c>
      <c r="C223" s="49">
        <v>100</v>
      </c>
      <c r="D223" s="50" t="s">
        <v>38</v>
      </c>
      <c r="E223" s="50" t="s">
        <v>17</v>
      </c>
      <c r="F223" s="51">
        <v>288.8</v>
      </c>
      <c r="G223" s="144">
        <f>SUM(Ведомственная!G87)</f>
        <v>288.8</v>
      </c>
      <c r="I223" s="145">
        <f t="shared" si="3"/>
        <v>0</v>
      </c>
      <c r="J223" s="145">
        <f t="shared" si="6"/>
        <v>-288.8</v>
      </c>
    </row>
    <row r="224" spans="1:10" ht="31.5">
      <c r="A224" s="48" t="s">
        <v>56</v>
      </c>
      <c r="B224" s="49" t="s">
        <v>531</v>
      </c>
      <c r="C224" s="50" t="s">
        <v>101</v>
      </c>
      <c r="D224" s="50" t="s">
        <v>38</v>
      </c>
      <c r="E224" s="50" t="s">
        <v>17</v>
      </c>
      <c r="F224" s="51">
        <v>68.9</v>
      </c>
      <c r="G224" s="144">
        <f>SUM(Ведомственная!G88)</f>
        <v>68.9</v>
      </c>
      <c r="I224" s="145">
        <f t="shared" si="3"/>
        <v>0</v>
      </c>
      <c r="J224" s="145">
        <f t="shared" si="6"/>
        <v>-68.9</v>
      </c>
    </row>
    <row r="225" spans="1:10" ht="31.5">
      <c r="A225" s="48" t="s">
        <v>259</v>
      </c>
      <c r="B225" s="50" t="s">
        <v>260</v>
      </c>
      <c r="C225" s="49"/>
      <c r="D225" s="50"/>
      <c r="E225" s="50"/>
      <c r="F225" s="51">
        <f>SUM(F226:F227)</f>
        <v>100</v>
      </c>
      <c r="H225" s="144">
        <f>SUM(G226:G227)</f>
        <v>100</v>
      </c>
      <c r="I225" s="145">
        <f t="shared" si="3"/>
        <v>-100</v>
      </c>
      <c r="J225" s="145">
        <f t="shared" si="6"/>
        <v>0</v>
      </c>
    </row>
    <row r="226" spans="1:10" ht="31.5">
      <c r="A226" s="48" t="s">
        <v>56</v>
      </c>
      <c r="B226" s="49" t="s">
        <v>260</v>
      </c>
      <c r="C226" s="49">
        <v>200</v>
      </c>
      <c r="D226" s="50" t="s">
        <v>38</v>
      </c>
      <c r="E226" s="50">
        <v>13</v>
      </c>
      <c r="F226" s="51">
        <v>100</v>
      </c>
      <c r="G226" s="144">
        <f>SUM(Ведомственная!G112)</f>
        <v>100</v>
      </c>
      <c r="I226" s="145">
        <f t="shared" si="3"/>
        <v>0</v>
      </c>
      <c r="J226" s="145">
        <f t="shared" si="6"/>
        <v>-100</v>
      </c>
    </row>
    <row r="227" spans="1:10" ht="29.25" customHeight="1" hidden="1">
      <c r="A227" s="48" t="s">
        <v>26</v>
      </c>
      <c r="B227" s="49" t="s">
        <v>260</v>
      </c>
      <c r="C227" s="49">
        <v>800</v>
      </c>
      <c r="D227" s="50" t="s">
        <v>38</v>
      </c>
      <c r="E227" s="50">
        <v>13</v>
      </c>
      <c r="F227" s="51"/>
      <c r="G227" s="144">
        <f>SUM(Ведомственная!G113)</f>
        <v>0</v>
      </c>
      <c r="I227" s="145">
        <f t="shared" si="3"/>
        <v>0</v>
      </c>
      <c r="J227" s="145">
        <f t="shared" si="6"/>
        <v>0</v>
      </c>
    </row>
    <row r="228" spans="1:10" ht="31.5">
      <c r="A228" s="52" t="s">
        <v>239</v>
      </c>
      <c r="B228" s="49" t="s">
        <v>240</v>
      </c>
      <c r="C228" s="49"/>
      <c r="D228" s="50"/>
      <c r="E228" s="50"/>
      <c r="F228" s="51">
        <f>SUM(F229)</f>
        <v>133954.5</v>
      </c>
      <c r="H228" s="146">
        <f>SUM(G229:G244)</f>
        <v>133954.49999999997</v>
      </c>
      <c r="I228" s="145">
        <f t="shared" si="3"/>
        <v>-133954.5</v>
      </c>
      <c r="J228" s="145">
        <f t="shared" si="6"/>
        <v>-2.9103830456733704E-11</v>
      </c>
    </row>
    <row r="229" spans="1:10" ht="47.25">
      <c r="A229" s="48" t="s">
        <v>84</v>
      </c>
      <c r="B229" s="50" t="s">
        <v>241</v>
      </c>
      <c r="C229" s="50"/>
      <c r="D229" s="50"/>
      <c r="E229" s="50"/>
      <c r="F229" s="51">
        <f>SUM(F230)+F232+F236+F239+F241</f>
        <v>133954.5</v>
      </c>
      <c r="I229" s="145">
        <f t="shared" si="3"/>
        <v>-133954.5</v>
      </c>
      <c r="J229" s="145">
        <f t="shared" si="6"/>
        <v>-133954.5</v>
      </c>
    </row>
    <row r="230" spans="1:10" ht="15.75">
      <c r="A230" s="48" t="s">
        <v>242</v>
      </c>
      <c r="B230" s="50" t="s">
        <v>243</v>
      </c>
      <c r="C230" s="50"/>
      <c r="D230" s="50"/>
      <c r="E230" s="50"/>
      <c r="F230" s="51">
        <f>SUM(F231)</f>
        <v>1836</v>
      </c>
      <c r="I230" s="145">
        <f t="shared" si="3"/>
        <v>-1836</v>
      </c>
      <c r="J230" s="145">
        <f t="shared" si="6"/>
        <v>-1836</v>
      </c>
    </row>
    <row r="231" spans="1:10" ht="63">
      <c r="A231" s="48" t="s">
        <v>55</v>
      </c>
      <c r="B231" s="50" t="s">
        <v>243</v>
      </c>
      <c r="C231" s="50" t="s">
        <v>99</v>
      </c>
      <c r="D231" s="50" t="s">
        <v>38</v>
      </c>
      <c r="E231" s="50" t="s">
        <v>48</v>
      </c>
      <c r="F231" s="51">
        <v>1836</v>
      </c>
      <c r="G231" s="144">
        <f>SUM(Ведомственная!G76)</f>
        <v>1836</v>
      </c>
      <c r="I231" s="145">
        <f t="shared" si="3"/>
        <v>0</v>
      </c>
      <c r="J231" s="145">
        <f t="shared" si="6"/>
        <v>-1836</v>
      </c>
    </row>
    <row r="232" spans="1:10" ht="15.75">
      <c r="A232" s="48" t="s">
        <v>86</v>
      </c>
      <c r="B232" s="50" t="s">
        <v>251</v>
      </c>
      <c r="C232" s="50"/>
      <c r="D232" s="50"/>
      <c r="E232" s="50"/>
      <c r="F232" s="51">
        <f>SUM(F233:F235)</f>
        <v>106340.7</v>
      </c>
      <c r="I232" s="145">
        <f t="shared" si="3"/>
        <v>-106340.7</v>
      </c>
      <c r="J232" s="145">
        <f t="shared" si="6"/>
        <v>-106340.7</v>
      </c>
    </row>
    <row r="233" spans="1:10" ht="63">
      <c r="A233" s="48" t="s">
        <v>55</v>
      </c>
      <c r="B233" s="50" t="s">
        <v>251</v>
      </c>
      <c r="C233" s="50" t="s">
        <v>99</v>
      </c>
      <c r="D233" s="50" t="s">
        <v>38</v>
      </c>
      <c r="E233" s="50" t="s">
        <v>17</v>
      </c>
      <c r="F233" s="51">
        <v>106310.7</v>
      </c>
      <c r="G233" s="144">
        <f>SUM(Ведомственная!G92)</f>
        <v>106310.7</v>
      </c>
      <c r="I233" s="145">
        <f t="shared" si="3"/>
        <v>0</v>
      </c>
      <c r="J233" s="145">
        <f t="shared" si="6"/>
        <v>-106310.7</v>
      </c>
    </row>
    <row r="234" spans="1:10" ht="29.25" customHeight="1">
      <c r="A234" s="48" t="s">
        <v>56</v>
      </c>
      <c r="B234" s="50" t="s">
        <v>251</v>
      </c>
      <c r="C234" s="50" t="s">
        <v>101</v>
      </c>
      <c r="D234" s="50" t="s">
        <v>38</v>
      </c>
      <c r="E234" s="50" t="s">
        <v>17</v>
      </c>
      <c r="F234" s="51">
        <v>30</v>
      </c>
      <c r="G234" s="144">
        <f>SUM(Ведомственная!G93)</f>
        <v>30</v>
      </c>
      <c r="I234" s="145">
        <f t="shared" si="3"/>
        <v>0</v>
      </c>
      <c r="J234" s="145">
        <f t="shared" si="6"/>
        <v>-30</v>
      </c>
    </row>
    <row r="235" spans="1:10" ht="15.75" hidden="1">
      <c r="A235" s="48" t="s">
        <v>46</v>
      </c>
      <c r="B235" s="50" t="s">
        <v>251</v>
      </c>
      <c r="C235" s="50" t="s">
        <v>109</v>
      </c>
      <c r="D235" s="50" t="s">
        <v>38</v>
      </c>
      <c r="E235" s="50" t="s">
        <v>17</v>
      </c>
      <c r="F235" s="51">
        <v>0</v>
      </c>
      <c r="G235" s="144">
        <f>SUM(Ведомственная!G94)</f>
        <v>0</v>
      </c>
      <c r="I235" s="145">
        <f t="shared" si="3"/>
        <v>0</v>
      </c>
      <c r="J235" s="145">
        <f t="shared" si="6"/>
        <v>0</v>
      </c>
    </row>
    <row r="236" spans="1:10" ht="15.75">
      <c r="A236" s="48" t="s">
        <v>105</v>
      </c>
      <c r="B236" s="49" t="s">
        <v>261</v>
      </c>
      <c r="C236" s="49"/>
      <c r="D236" s="50"/>
      <c r="E236" s="50"/>
      <c r="F236" s="51">
        <f>SUM(F237:F238)</f>
        <v>3504.5</v>
      </c>
      <c r="I236" s="145">
        <f t="shared" si="3"/>
        <v>-3504.5</v>
      </c>
      <c r="J236" s="145">
        <f t="shared" si="6"/>
        <v>-3504.5</v>
      </c>
    </row>
    <row r="237" spans="1:10" ht="31.5">
      <c r="A237" s="48" t="s">
        <v>56</v>
      </c>
      <c r="B237" s="49" t="s">
        <v>261</v>
      </c>
      <c r="C237" s="49">
        <v>200</v>
      </c>
      <c r="D237" s="50" t="s">
        <v>38</v>
      </c>
      <c r="E237" s="50">
        <v>13</v>
      </c>
      <c r="F237" s="51">
        <v>3433.4</v>
      </c>
      <c r="G237" s="144">
        <f>SUM(Ведомственная!G117)</f>
        <v>3433.4</v>
      </c>
      <c r="I237" s="145">
        <f t="shared" si="3"/>
        <v>0</v>
      </c>
      <c r="J237" s="145">
        <f t="shared" si="6"/>
        <v>-3433.4</v>
      </c>
    </row>
    <row r="238" spans="1:10" ht="15.75">
      <c r="A238" s="48" t="s">
        <v>26</v>
      </c>
      <c r="B238" s="49" t="s">
        <v>261</v>
      </c>
      <c r="C238" s="49">
        <v>800</v>
      </c>
      <c r="D238" s="50" t="s">
        <v>38</v>
      </c>
      <c r="E238" s="50">
        <v>13</v>
      </c>
      <c r="F238" s="51">
        <v>71.1</v>
      </c>
      <c r="G238" s="144">
        <f>SUM(Ведомственная!G118)</f>
        <v>71.1</v>
      </c>
      <c r="I238" s="145">
        <f t="shared" si="3"/>
        <v>0</v>
      </c>
      <c r="J238" s="145">
        <f t="shared" si="6"/>
        <v>-71.1</v>
      </c>
    </row>
    <row r="239" spans="1:10" ht="31.5">
      <c r="A239" s="48" t="s">
        <v>107</v>
      </c>
      <c r="B239" s="49" t="s">
        <v>262</v>
      </c>
      <c r="C239" s="49"/>
      <c r="D239" s="50"/>
      <c r="E239" s="50"/>
      <c r="F239" s="51">
        <f>SUM(F240)</f>
        <v>8921.4</v>
      </c>
      <c r="I239" s="145">
        <f t="shared" si="3"/>
        <v>-8921.4</v>
      </c>
      <c r="J239" s="145">
        <f t="shared" si="6"/>
        <v>-8921.4</v>
      </c>
    </row>
    <row r="240" spans="1:10" ht="31.5">
      <c r="A240" s="48" t="s">
        <v>56</v>
      </c>
      <c r="B240" s="49" t="s">
        <v>262</v>
      </c>
      <c r="C240" s="49">
        <v>200</v>
      </c>
      <c r="D240" s="50" t="s">
        <v>38</v>
      </c>
      <c r="E240" s="50">
        <v>13</v>
      </c>
      <c r="F240" s="51">
        <v>8921.4</v>
      </c>
      <c r="G240" s="144">
        <f>SUM(Ведомственная!G120)</f>
        <v>8921.4</v>
      </c>
      <c r="I240" s="145">
        <f aca="true" t="shared" si="7" ref="I240:I308">G240-F240</f>
        <v>0</v>
      </c>
      <c r="J240" s="145">
        <f t="shared" si="6"/>
        <v>-8921.4</v>
      </c>
    </row>
    <row r="241" spans="1:10" ht="31.5">
      <c r="A241" s="48" t="s">
        <v>108</v>
      </c>
      <c r="B241" s="49" t="s">
        <v>263</v>
      </c>
      <c r="C241" s="49"/>
      <c r="D241" s="50"/>
      <c r="E241" s="50"/>
      <c r="F241" s="51">
        <f>SUM(F242:F244)</f>
        <v>13351.9</v>
      </c>
      <c r="I241" s="145">
        <f t="shared" si="7"/>
        <v>-13351.9</v>
      </c>
      <c r="J241" s="145">
        <f t="shared" si="6"/>
        <v>-13351.9</v>
      </c>
    </row>
    <row r="242" spans="1:10" ht="31.5">
      <c r="A242" s="48" t="s">
        <v>56</v>
      </c>
      <c r="B242" s="49" t="s">
        <v>263</v>
      </c>
      <c r="C242" s="49">
        <v>200</v>
      </c>
      <c r="D242" s="50" t="s">
        <v>38</v>
      </c>
      <c r="E242" s="50">
        <v>13</v>
      </c>
      <c r="F242" s="51">
        <v>10776</v>
      </c>
      <c r="G242" s="144">
        <f>SUM(Ведомственная!G122)</f>
        <v>10776</v>
      </c>
      <c r="I242" s="145">
        <f t="shared" si="7"/>
        <v>0</v>
      </c>
      <c r="J242" s="145">
        <f t="shared" si="6"/>
        <v>-10776</v>
      </c>
    </row>
    <row r="243" spans="1:10" ht="15.75">
      <c r="A243" s="185" t="s">
        <v>46</v>
      </c>
      <c r="B243" s="49" t="s">
        <v>263</v>
      </c>
      <c r="C243" s="49">
        <v>300</v>
      </c>
      <c r="D243" s="186" t="s">
        <v>38</v>
      </c>
      <c r="E243" s="186">
        <v>13</v>
      </c>
      <c r="F243" s="51">
        <v>130</v>
      </c>
      <c r="G243" s="144">
        <f>SUM(Ведомственная!G123)</f>
        <v>130</v>
      </c>
      <c r="I243" s="145">
        <f t="shared" si="7"/>
        <v>0</v>
      </c>
      <c r="J243" s="145">
        <f t="shared" si="6"/>
        <v>-130</v>
      </c>
    </row>
    <row r="244" spans="1:10" ht="15.75">
      <c r="A244" s="48" t="s">
        <v>26</v>
      </c>
      <c r="B244" s="49" t="s">
        <v>263</v>
      </c>
      <c r="C244" s="49">
        <v>800</v>
      </c>
      <c r="D244" s="50" t="s">
        <v>38</v>
      </c>
      <c r="E244" s="50">
        <v>13</v>
      </c>
      <c r="F244" s="51">
        <v>2445.9</v>
      </c>
      <c r="G244" s="144">
        <f>SUM(Ведомственная!G124)</f>
        <v>2445.9</v>
      </c>
      <c r="I244" s="145">
        <f t="shared" si="7"/>
        <v>0</v>
      </c>
      <c r="J244" s="145">
        <f t="shared" si="6"/>
        <v>-2445.9</v>
      </c>
    </row>
    <row r="245" spans="1:10" ht="31.5">
      <c r="A245" s="96" t="s">
        <v>361</v>
      </c>
      <c r="B245" s="65" t="s">
        <v>411</v>
      </c>
      <c r="C245" s="65"/>
      <c r="D245" s="65"/>
      <c r="E245" s="65"/>
      <c r="F245" s="66">
        <f>SUM(F246,F253)</f>
        <v>87053</v>
      </c>
      <c r="H245" s="146">
        <f>SUM(G248:G257)</f>
        <v>87053</v>
      </c>
      <c r="I245" s="145">
        <f t="shared" si="7"/>
        <v>-87053</v>
      </c>
      <c r="J245" s="145">
        <f t="shared" si="6"/>
        <v>0</v>
      </c>
    </row>
    <row r="246" spans="1:10" ht="15.75">
      <c r="A246" s="14" t="s">
        <v>39</v>
      </c>
      <c r="B246" s="65" t="s">
        <v>412</v>
      </c>
      <c r="C246" s="65"/>
      <c r="D246" s="65"/>
      <c r="E246" s="65"/>
      <c r="F246" s="66">
        <f>SUM(F247+F251)+F249</f>
        <v>78440.9</v>
      </c>
      <c r="I246" s="145">
        <f t="shared" si="7"/>
        <v>-78440.9</v>
      </c>
      <c r="J246" s="145">
        <f t="shared" si="6"/>
        <v>-78440.9</v>
      </c>
    </row>
    <row r="247" spans="1:10" ht="15.75">
      <c r="A247" s="14" t="s">
        <v>362</v>
      </c>
      <c r="B247" s="65" t="s">
        <v>413</v>
      </c>
      <c r="C247" s="65"/>
      <c r="D247" s="65"/>
      <c r="E247" s="65"/>
      <c r="F247" s="66">
        <f>SUM(F248)</f>
        <v>48143.5</v>
      </c>
      <c r="I247" s="145">
        <f t="shared" si="7"/>
        <v>-48143.5</v>
      </c>
      <c r="J247" s="145">
        <f t="shared" si="6"/>
        <v>-48143.5</v>
      </c>
    </row>
    <row r="248" spans="1:10" ht="29.25" customHeight="1">
      <c r="A248" s="14" t="s">
        <v>56</v>
      </c>
      <c r="B248" s="65" t="s">
        <v>413</v>
      </c>
      <c r="C248" s="65" t="s">
        <v>101</v>
      </c>
      <c r="D248" s="65" t="s">
        <v>188</v>
      </c>
      <c r="E248" s="65" t="s">
        <v>58</v>
      </c>
      <c r="F248" s="66">
        <v>48143.5</v>
      </c>
      <c r="G248" s="144">
        <f>SUM(Ведомственная!G293)</f>
        <v>48143.5</v>
      </c>
      <c r="I248" s="145">
        <f t="shared" si="7"/>
        <v>0</v>
      </c>
      <c r="J248" s="145">
        <f t="shared" si="6"/>
        <v>-48143.5</v>
      </c>
    </row>
    <row r="249" spans="1:10" ht="15.75">
      <c r="A249" s="14" t="s">
        <v>363</v>
      </c>
      <c r="B249" s="65" t="s">
        <v>414</v>
      </c>
      <c r="C249" s="65"/>
      <c r="D249" s="65"/>
      <c r="E249" s="65"/>
      <c r="F249" s="66">
        <f>SUM(F250)</f>
        <v>1964</v>
      </c>
      <c r="I249" s="145">
        <f t="shared" si="7"/>
        <v>-1964</v>
      </c>
      <c r="J249" s="145">
        <f t="shared" si="6"/>
        <v>-1964</v>
      </c>
    </row>
    <row r="250" spans="1:10" ht="31.5">
      <c r="A250" s="14" t="s">
        <v>56</v>
      </c>
      <c r="B250" s="65" t="s">
        <v>414</v>
      </c>
      <c r="C250" s="65" t="s">
        <v>101</v>
      </c>
      <c r="D250" s="65" t="s">
        <v>188</v>
      </c>
      <c r="E250" s="65" t="s">
        <v>58</v>
      </c>
      <c r="F250" s="66">
        <v>1964</v>
      </c>
      <c r="G250" s="144">
        <f>SUM(Ведомственная!G295)</f>
        <v>1964</v>
      </c>
      <c r="I250" s="145">
        <f t="shared" si="7"/>
        <v>0</v>
      </c>
      <c r="J250" s="145">
        <f t="shared" si="6"/>
        <v>-1964</v>
      </c>
    </row>
    <row r="251" spans="1:10" ht="15.75">
      <c r="A251" s="14" t="s">
        <v>364</v>
      </c>
      <c r="B251" s="65" t="s">
        <v>415</v>
      </c>
      <c r="C251" s="65"/>
      <c r="D251" s="65"/>
      <c r="E251" s="65"/>
      <c r="F251" s="66">
        <f>SUM(F252)</f>
        <v>28333.4</v>
      </c>
      <c r="I251" s="145">
        <f t="shared" si="7"/>
        <v>-28333.4</v>
      </c>
      <c r="J251" s="145">
        <f t="shared" si="6"/>
        <v>-28333.4</v>
      </c>
    </row>
    <row r="252" spans="1:10" ht="31.5">
      <c r="A252" s="14" t="s">
        <v>56</v>
      </c>
      <c r="B252" s="65" t="s">
        <v>415</v>
      </c>
      <c r="C252" s="65" t="s">
        <v>101</v>
      </c>
      <c r="D252" s="65" t="s">
        <v>188</v>
      </c>
      <c r="E252" s="65" t="s">
        <v>58</v>
      </c>
      <c r="F252" s="66">
        <v>28333.4</v>
      </c>
      <c r="G252" s="144">
        <f>SUM(Ведомственная!G297)</f>
        <v>28333.4</v>
      </c>
      <c r="I252" s="145">
        <f t="shared" si="7"/>
        <v>0</v>
      </c>
      <c r="J252" s="145">
        <f t="shared" si="6"/>
        <v>-28333.4</v>
      </c>
    </row>
    <row r="253" spans="1:10" ht="47.25">
      <c r="A253" s="14" t="s">
        <v>30</v>
      </c>
      <c r="B253" s="65" t="s">
        <v>416</v>
      </c>
      <c r="C253" s="65"/>
      <c r="D253" s="65"/>
      <c r="E253" s="65"/>
      <c r="F253" s="66">
        <f>SUM(F256+F254)</f>
        <v>8612.1</v>
      </c>
      <c r="I253" s="145">
        <f t="shared" si="7"/>
        <v>-8612.1</v>
      </c>
      <c r="J253" s="145">
        <f aca="true" t="shared" si="8" ref="J253:J329">SUM(H253-F253)</f>
        <v>-8612.1</v>
      </c>
    </row>
    <row r="254" spans="1:10" ht="15.75">
      <c r="A254" s="67" t="s">
        <v>363</v>
      </c>
      <c r="B254" s="77" t="s">
        <v>786</v>
      </c>
      <c r="C254" s="65"/>
      <c r="D254" s="65"/>
      <c r="E254" s="65"/>
      <c r="F254" s="66">
        <f>SUM(F255)</f>
        <v>1307.5</v>
      </c>
      <c r="I254" s="145">
        <f t="shared" si="7"/>
        <v>-1307.5</v>
      </c>
      <c r="J254" s="145"/>
    </row>
    <row r="255" spans="1:10" ht="31.5">
      <c r="A255" s="67" t="s">
        <v>283</v>
      </c>
      <c r="B255" s="77" t="s">
        <v>786</v>
      </c>
      <c r="C255" s="65" t="s">
        <v>135</v>
      </c>
      <c r="D255" s="65" t="s">
        <v>188</v>
      </c>
      <c r="E255" s="65" t="s">
        <v>58</v>
      </c>
      <c r="F255" s="66">
        <v>1307.5</v>
      </c>
      <c r="G255" s="144">
        <f>SUM(Ведомственная!G300)</f>
        <v>1307.5</v>
      </c>
      <c r="I255" s="145">
        <f t="shared" si="7"/>
        <v>0</v>
      </c>
      <c r="J255" s="145"/>
    </row>
    <row r="256" spans="1:10" ht="15.75">
      <c r="A256" s="14" t="s">
        <v>364</v>
      </c>
      <c r="B256" s="65" t="s">
        <v>417</v>
      </c>
      <c r="C256" s="65"/>
      <c r="D256" s="65"/>
      <c r="E256" s="65"/>
      <c r="F256" s="66">
        <f>SUM(F257)</f>
        <v>7304.6</v>
      </c>
      <c r="I256" s="145">
        <f t="shared" si="7"/>
        <v>-7304.6</v>
      </c>
      <c r="J256" s="145">
        <f t="shared" si="8"/>
        <v>-7304.6</v>
      </c>
    </row>
    <row r="257" spans="1:10" ht="31.5">
      <c r="A257" s="14" t="s">
        <v>283</v>
      </c>
      <c r="B257" s="65" t="s">
        <v>417</v>
      </c>
      <c r="C257" s="65" t="s">
        <v>135</v>
      </c>
      <c r="D257" s="65" t="s">
        <v>188</v>
      </c>
      <c r="E257" s="65" t="s">
        <v>58</v>
      </c>
      <c r="F257" s="66">
        <v>7304.6</v>
      </c>
      <c r="G257" s="144">
        <f>SUM(Ведомственная!G302)</f>
        <v>7304.6</v>
      </c>
      <c r="I257" s="145">
        <f t="shared" si="7"/>
        <v>0</v>
      </c>
      <c r="J257" s="145">
        <f t="shared" si="8"/>
        <v>-7304.6</v>
      </c>
    </row>
    <row r="258" spans="1:10" ht="47.25">
      <c r="A258" s="14" t="s">
        <v>354</v>
      </c>
      <c r="B258" s="65" t="s">
        <v>401</v>
      </c>
      <c r="C258" s="65"/>
      <c r="D258" s="65"/>
      <c r="E258" s="65"/>
      <c r="F258" s="66">
        <f>SUM(F259)</f>
        <v>39079.5</v>
      </c>
      <c r="H258" s="146">
        <f>SUM(G260:G262)</f>
        <v>39079.5</v>
      </c>
      <c r="I258" s="145">
        <f t="shared" si="7"/>
        <v>-39079.5</v>
      </c>
      <c r="J258" s="145">
        <f t="shared" si="8"/>
        <v>0</v>
      </c>
    </row>
    <row r="259" spans="1:10" ht="15.75">
      <c r="A259" s="14" t="s">
        <v>39</v>
      </c>
      <c r="B259" s="65" t="s">
        <v>402</v>
      </c>
      <c r="C259" s="65"/>
      <c r="D259" s="65"/>
      <c r="E259" s="65"/>
      <c r="F259" s="66">
        <f>SUM(F260)</f>
        <v>39079.5</v>
      </c>
      <c r="I259" s="145">
        <f t="shared" si="7"/>
        <v>-39079.5</v>
      </c>
      <c r="J259" s="145">
        <f t="shared" si="8"/>
        <v>-39079.5</v>
      </c>
    </row>
    <row r="260" spans="1:10" ht="15.75">
      <c r="A260" s="14" t="s">
        <v>355</v>
      </c>
      <c r="B260" s="65" t="s">
        <v>403</v>
      </c>
      <c r="C260" s="65"/>
      <c r="D260" s="65"/>
      <c r="E260" s="65"/>
      <c r="F260" s="66">
        <f>SUM(F261:F262)</f>
        <v>39079.5</v>
      </c>
      <c r="I260" s="145">
        <f t="shared" si="7"/>
        <v>-39079.5</v>
      </c>
      <c r="J260" s="145">
        <f t="shared" si="8"/>
        <v>-39079.5</v>
      </c>
    </row>
    <row r="261" spans="1:10" ht="31.5">
      <c r="A261" s="14" t="s">
        <v>56</v>
      </c>
      <c r="B261" s="65" t="s">
        <v>403</v>
      </c>
      <c r="C261" s="65" t="s">
        <v>101</v>
      </c>
      <c r="D261" s="65" t="s">
        <v>188</v>
      </c>
      <c r="E261" s="65" t="s">
        <v>48</v>
      </c>
      <c r="F261" s="66">
        <v>5055.6</v>
      </c>
      <c r="G261" s="144">
        <f>SUM(Ведомственная!G263)</f>
        <v>5055.6</v>
      </c>
      <c r="I261" s="145">
        <f t="shared" si="7"/>
        <v>0</v>
      </c>
      <c r="J261" s="145">
        <f t="shared" si="8"/>
        <v>-5055.6</v>
      </c>
    </row>
    <row r="262" spans="1:10" ht="15.75">
      <c r="A262" s="67" t="s">
        <v>26</v>
      </c>
      <c r="B262" s="65" t="s">
        <v>403</v>
      </c>
      <c r="C262" s="65" t="s">
        <v>106</v>
      </c>
      <c r="D262" s="65" t="s">
        <v>188</v>
      </c>
      <c r="E262" s="65" t="s">
        <v>48</v>
      </c>
      <c r="F262" s="66">
        <v>34023.9</v>
      </c>
      <c r="G262" s="144">
        <f>SUM(Ведомственная!G264)</f>
        <v>34023.9</v>
      </c>
      <c r="I262" s="145">
        <f t="shared" si="7"/>
        <v>0</v>
      </c>
      <c r="J262" s="145"/>
    </row>
    <row r="263" spans="1:10" ht="47.25">
      <c r="A263" s="14" t="s">
        <v>441</v>
      </c>
      <c r="B263" s="65" t="s">
        <v>404</v>
      </c>
      <c r="C263" s="65"/>
      <c r="D263" s="65"/>
      <c r="E263" s="65"/>
      <c r="F263" s="66">
        <f>SUM(F264)</f>
        <v>2551.2</v>
      </c>
      <c r="H263" s="146">
        <f>SUM(G264:G268)</f>
        <v>2551.2</v>
      </c>
      <c r="I263" s="145">
        <f t="shared" si="7"/>
        <v>-2551.2</v>
      </c>
      <c r="J263" s="145">
        <f t="shared" si="8"/>
        <v>0</v>
      </c>
    </row>
    <row r="264" spans="1:10" ht="15.75">
      <c r="A264" s="14" t="s">
        <v>39</v>
      </c>
      <c r="B264" s="65" t="s">
        <v>405</v>
      </c>
      <c r="C264" s="65"/>
      <c r="D264" s="65"/>
      <c r="E264" s="65"/>
      <c r="F264" s="66">
        <f>SUM(F267)+F265</f>
        <v>2551.2</v>
      </c>
      <c r="I264" s="145">
        <f t="shared" si="7"/>
        <v>-2551.2</v>
      </c>
      <c r="J264" s="145">
        <f t="shared" si="8"/>
        <v>-2551.2</v>
      </c>
    </row>
    <row r="265" spans="1:10" ht="15.75">
      <c r="A265" s="14" t="s">
        <v>364</v>
      </c>
      <c r="B265" s="65" t="s">
        <v>418</v>
      </c>
      <c r="C265" s="65"/>
      <c r="D265" s="65"/>
      <c r="E265" s="65"/>
      <c r="F265" s="66">
        <f>SUM(F266)</f>
        <v>1545.2</v>
      </c>
      <c r="I265" s="145">
        <f t="shared" si="7"/>
        <v>-1545.2</v>
      </c>
      <c r="J265" s="145">
        <f t="shared" si="8"/>
        <v>-1545.2</v>
      </c>
    </row>
    <row r="266" spans="1:10" ht="31.5">
      <c r="A266" s="14" t="s">
        <v>56</v>
      </c>
      <c r="B266" s="65" t="s">
        <v>418</v>
      </c>
      <c r="C266" s="65" t="s">
        <v>101</v>
      </c>
      <c r="D266" s="65" t="s">
        <v>188</v>
      </c>
      <c r="E266" s="65" t="s">
        <v>58</v>
      </c>
      <c r="F266" s="66">
        <v>1545.2</v>
      </c>
      <c r="G266" s="152">
        <f>SUM(Ведомственная!G306)</f>
        <v>1545.2</v>
      </c>
      <c r="I266" s="145">
        <f t="shared" si="7"/>
        <v>0</v>
      </c>
      <c r="J266" s="145">
        <f t="shared" si="8"/>
        <v>-1545.2</v>
      </c>
    </row>
    <row r="267" spans="1:10" ht="15.75">
      <c r="A267" s="14" t="s">
        <v>355</v>
      </c>
      <c r="B267" s="65" t="s">
        <v>406</v>
      </c>
      <c r="C267" s="65"/>
      <c r="D267" s="65"/>
      <c r="E267" s="65"/>
      <c r="F267" s="66">
        <f>SUM(F268)</f>
        <v>1006</v>
      </c>
      <c r="G267" s="152"/>
      <c r="I267" s="145">
        <f t="shared" si="7"/>
        <v>-1006</v>
      </c>
      <c r="J267" s="145">
        <f t="shared" si="8"/>
        <v>-1006</v>
      </c>
    </row>
    <row r="268" spans="1:10" ht="31.5">
      <c r="A268" s="14" t="s">
        <v>56</v>
      </c>
      <c r="B268" s="65" t="s">
        <v>406</v>
      </c>
      <c r="C268" s="65" t="s">
        <v>101</v>
      </c>
      <c r="D268" s="65" t="s">
        <v>188</v>
      </c>
      <c r="E268" s="65" t="s">
        <v>48</v>
      </c>
      <c r="F268" s="66">
        <v>1006</v>
      </c>
      <c r="G268" s="152">
        <f>SUM(Ведомственная!G268)</f>
        <v>1006</v>
      </c>
      <c r="I268" s="145">
        <f t="shared" si="7"/>
        <v>0</v>
      </c>
      <c r="J268" s="145">
        <f t="shared" si="8"/>
        <v>-1006</v>
      </c>
    </row>
    <row r="269" spans="1:10" ht="47.25">
      <c r="A269" s="14" t="s">
        <v>346</v>
      </c>
      <c r="B269" s="65" t="s">
        <v>387</v>
      </c>
      <c r="C269" s="65"/>
      <c r="D269" s="65"/>
      <c r="E269" s="65"/>
      <c r="F269" s="66">
        <f>SUM(F270)+F275</f>
        <v>193111.6</v>
      </c>
      <c r="G269" s="152"/>
      <c r="H269" s="146">
        <f>SUM(G271:G280)</f>
        <v>193111.6</v>
      </c>
      <c r="I269" s="145">
        <f t="shared" si="7"/>
        <v>-193111.6</v>
      </c>
      <c r="J269" s="145">
        <f t="shared" si="8"/>
        <v>0</v>
      </c>
    </row>
    <row r="270" spans="1:10" ht="31.5">
      <c r="A270" s="14" t="s">
        <v>350</v>
      </c>
      <c r="B270" s="65" t="s">
        <v>392</v>
      </c>
      <c r="C270" s="65"/>
      <c r="D270" s="65"/>
      <c r="E270" s="65"/>
      <c r="F270" s="66">
        <f>SUM(F271)</f>
        <v>99868.90000000001</v>
      </c>
      <c r="I270" s="145">
        <f t="shared" si="7"/>
        <v>-99868.90000000001</v>
      </c>
      <c r="J270" s="145">
        <f t="shared" si="8"/>
        <v>-99868.90000000001</v>
      </c>
    </row>
    <row r="271" spans="1:10" ht="15.75">
      <c r="A271" s="14" t="s">
        <v>39</v>
      </c>
      <c r="B271" s="65" t="s">
        <v>393</v>
      </c>
      <c r="C271" s="65"/>
      <c r="D271" s="65"/>
      <c r="E271" s="65"/>
      <c r="F271" s="66">
        <f>SUM(F272)</f>
        <v>99868.90000000001</v>
      </c>
      <c r="I271" s="145">
        <f t="shared" si="7"/>
        <v>-99868.90000000001</v>
      </c>
      <c r="J271" s="145">
        <f t="shared" si="8"/>
        <v>-99868.90000000001</v>
      </c>
    </row>
    <row r="272" spans="1:10" ht="47.25">
      <c r="A272" s="14" t="s">
        <v>351</v>
      </c>
      <c r="B272" s="65" t="s">
        <v>394</v>
      </c>
      <c r="C272" s="65"/>
      <c r="D272" s="65"/>
      <c r="E272" s="65"/>
      <c r="F272" s="66">
        <f>SUM(F273:F274)</f>
        <v>99868.90000000001</v>
      </c>
      <c r="I272" s="145">
        <f t="shared" si="7"/>
        <v>-99868.90000000001</v>
      </c>
      <c r="J272" s="145">
        <f t="shared" si="8"/>
        <v>-99868.90000000001</v>
      </c>
    </row>
    <row r="273" spans="1:10" ht="31.5">
      <c r="A273" s="14" t="s">
        <v>56</v>
      </c>
      <c r="B273" s="65" t="s">
        <v>394</v>
      </c>
      <c r="C273" s="65" t="s">
        <v>101</v>
      </c>
      <c r="D273" s="65" t="s">
        <v>17</v>
      </c>
      <c r="E273" s="65" t="s">
        <v>192</v>
      </c>
      <c r="F273" s="66">
        <v>99635.8</v>
      </c>
      <c r="G273" s="152">
        <f>SUM(Ведомственная!G201)</f>
        <v>99635.8</v>
      </c>
      <c r="I273" s="145">
        <f t="shared" si="7"/>
        <v>0</v>
      </c>
      <c r="J273" s="145">
        <f t="shared" si="8"/>
        <v>-99635.8</v>
      </c>
    </row>
    <row r="274" spans="1:10" ht="31.5">
      <c r="A274" s="67" t="s">
        <v>359</v>
      </c>
      <c r="B274" s="65" t="s">
        <v>394</v>
      </c>
      <c r="C274" s="65" t="s">
        <v>313</v>
      </c>
      <c r="D274" s="65" t="s">
        <v>17</v>
      </c>
      <c r="E274" s="65" t="s">
        <v>192</v>
      </c>
      <c r="F274" s="66">
        <v>233.1</v>
      </c>
      <c r="G274" s="152">
        <f>SUM(Ведомственная!G202)</f>
        <v>233.1</v>
      </c>
      <c r="I274" s="145">
        <f t="shared" si="7"/>
        <v>0</v>
      </c>
      <c r="J274" s="145">
        <f t="shared" si="8"/>
        <v>-233.1</v>
      </c>
    </row>
    <row r="275" spans="1:10" ht="31.5">
      <c r="A275" s="14" t="s">
        <v>347</v>
      </c>
      <c r="B275" s="65" t="s">
        <v>388</v>
      </c>
      <c r="C275" s="65"/>
      <c r="D275" s="65"/>
      <c r="E275" s="65"/>
      <c r="F275" s="66">
        <f>SUM(F276)</f>
        <v>93242.7</v>
      </c>
      <c r="I275" s="145">
        <f t="shared" si="7"/>
        <v>-93242.7</v>
      </c>
      <c r="J275" s="145">
        <f t="shared" si="8"/>
        <v>-93242.7</v>
      </c>
    </row>
    <row r="276" spans="1:10" ht="47.25">
      <c r="A276" s="14" t="s">
        <v>22</v>
      </c>
      <c r="B276" s="65" t="s">
        <v>389</v>
      </c>
      <c r="C276" s="65"/>
      <c r="D276" s="65"/>
      <c r="E276" s="65"/>
      <c r="F276" s="66">
        <f>SUM(F277+F279)</f>
        <v>93242.7</v>
      </c>
      <c r="I276" s="145">
        <f t="shared" si="7"/>
        <v>-93242.7</v>
      </c>
      <c r="J276" s="145">
        <f t="shared" si="8"/>
        <v>-93242.7</v>
      </c>
    </row>
    <row r="277" spans="1:10" ht="15.75">
      <c r="A277" s="14" t="s">
        <v>24</v>
      </c>
      <c r="B277" s="65" t="s">
        <v>390</v>
      </c>
      <c r="C277" s="65"/>
      <c r="D277" s="65"/>
      <c r="E277" s="65"/>
      <c r="F277" s="66">
        <f>SUM(F278)</f>
        <v>47642.7</v>
      </c>
      <c r="I277" s="145">
        <f t="shared" si="7"/>
        <v>-47642.7</v>
      </c>
      <c r="J277" s="145">
        <f t="shared" si="8"/>
        <v>-47642.7</v>
      </c>
    </row>
    <row r="278" spans="1:10" ht="15.75">
      <c r="A278" s="14" t="s">
        <v>26</v>
      </c>
      <c r="B278" s="65" t="s">
        <v>390</v>
      </c>
      <c r="C278" s="65" t="s">
        <v>106</v>
      </c>
      <c r="D278" s="65" t="s">
        <v>17</v>
      </c>
      <c r="E278" s="65" t="s">
        <v>19</v>
      </c>
      <c r="F278" s="66">
        <v>47642.7</v>
      </c>
      <c r="G278" s="144">
        <f>SUM(Ведомственная!G193)</f>
        <v>47642.7</v>
      </c>
      <c r="I278" s="145">
        <f t="shared" si="7"/>
        <v>0</v>
      </c>
      <c r="J278" s="145">
        <f t="shared" si="8"/>
        <v>-47642.7</v>
      </c>
    </row>
    <row r="279" spans="1:10" ht="15.75">
      <c r="A279" s="14" t="s">
        <v>348</v>
      </c>
      <c r="B279" s="65" t="s">
        <v>391</v>
      </c>
      <c r="C279" s="65"/>
      <c r="D279" s="65"/>
      <c r="E279" s="65"/>
      <c r="F279" s="66">
        <f>SUM(F280)</f>
        <v>45600</v>
      </c>
      <c r="I279" s="145">
        <f t="shared" si="7"/>
        <v>-45600</v>
      </c>
      <c r="J279" s="145">
        <f t="shared" si="8"/>
        <v>-45600</v>
      </c>
    </row>
    <row r="280" spans="1:10" ht="15.75">
      <c r="A280" s="14" t="s">
        <v>26</v>
      </c>
      <c r="B280" s="65" t="s">
        <v>391</v>
      </c>
      <c r="C280" s="65" t="s">
        <v>106</v>
      </c>
      <c r="D280" s="65" t="s">
        <v>17</v>
      </c>
      <c r="E280" s="65" t="s">
        <v>19</v>
      </c>
      <c r="F280" s="66">
        <v>45600</v>
      </c>
      <c r="G280" s="144">
        <f>SUM(Ведомственная!G195)</f>
        <v>45600</v>
      </c>
      <c r="I280" s="145">
        <f t="shared" si="7"/>
        <v>0</v>
      </c>
      <c r="J280" s="145">
        <f t="shared" si="8"/>
        <v>-45600</v>
      </c>
    </row>
    <row r="281" spans="1:10" ht="47.25">
      <c r="A281" s="14" t="s">
        <v>440</v>
      </c>
      <c r="B281" s="65" t="s">
        <v>395</v>
      </c>
      <c r="C281" s="65"/>
      <c r="D281" s="65"/>
      <c r="E281" s="65"/>
      <c r="F281" s="66">
        <f>SUM(F282)</f>
        <v>12194</v>
      </c>
      <c r="H281" s="146">
        <f>SUM(G282:G284)</f>
        <v>12194</v>
      </c>
      <c r="I281" s="145">
        <f t="shared" si="7"/>
        <v>-12194</v>
      </c>
      <c r="J281" s="145">
        <f t="shared" si="8"/>
        <v>0</v>
      </c>
    </row>
    <row r="282" spans="1:10" ht="15.75">
      <c r="A282" s="14" t="s">
        <v>39</v>
      </c>
      <c r="B282" s="65" t="s">
        <v>396</v>
      </c>
      <c r="C282" s="65"/>
      <c r="D282" s="65"/>
      <c r="E282" s="65"/>
      <c r="F282" s="66">
        <f>SUM(F283)</f>
        <v>12194</v>
      </c>
      <c r="I282" s="145">
        <f t="shared" si="7"/>
        <v>-12194</v>
      </c>
      <c r="J282" s="145">
        <f t="shared" si="8"/>
        <v>-12194</v>
      </c>
    </row>
    <row r="283" spans="1:10" ht="47.25">
      <c r="A283" s="14" t="s">
        <v>351</v>
      </c>
      <c r="B283" s="65" t="s">
        <v>397</v>
      </c>
      <c r="C283" s="65"/>
      <c r="D283" s="65"/>
      <c r="E283" s="65"/>
      <c r="F283" s="66">
        <f>SUM(F284)</f>
        <v>12194</v>
      </c>
      <c r="I283" s="145">
        <f t="shared" si="7"/>
        <v>-12194</v>
      </c>
      <c r="J283" s="145">
        <f t="shared" si="8"/>
        <v>-12194</v>
      </c>
    </row>
    <row r="284" spans="1:10" ht="31.5">
      <c r="A284" s="14" t="s">
        <v>56</v>
      </c>
      <c r="B284" s="65" t="s">
        <v>397</v>
      </c>
      <c r="C284" s="65" t="s">
        <v>101</v>
      </c>
      <c r="D284" s="65" t="s">
        <v>17</v>
      </c>
      <c r="E284" s="65" t="s">
        <v>192</v>
      </c>
      <c r="F284" s="66">
        <v>12194</v>
      </c>
      <c r="G284" s="144">
        <f>SUM(Ведомственная!G206)</f>
        <v>12194</v>
      </c>
      <c r="I284" s="145">
        <f t="shared" si="7"/>
        <v>0</v>
      </c>
      <c r="J284" s="145">
        <f t="shared" si="8"/>
        <v>-12194</v>
      </c>
    </row>
    <row r="285" spans="1:10" ht="47.25">
      <c r="A285" s="14" t="s">
        <v>370</v>
      </c>
      <c r="B285" s="65" t="s">
        <v>376</v>
      </c>
      <c r="C285" s="65"/>
      <c r="D285" s="65"/>
      <c r="E285" s="65"/>
      <c r="F285" s="66">
        <f>SUM(F286,F296,F300)</f>
        <v>18946.800000000003</v>
      </c>
      <c r="H285" s="146">
        <f>SUM(G286:G302)</f>
        <v>18946.8</v>
      </c>
      <c r="I285" s="145">
        <f t="shared" si="7"/>
        <v>-18946.800000000003</v>
      </c>
      <c r="J285" s="145">
        <f t="shared" si="8"/>
        <v>-3.637978807091713E-12</v>
      </c>
    </row>
    <row r="286" spans="1:10" ht="47.25">
      <c r="A286" s="14" t="s">
        <v>371</v>
      </c>
      <c r="B286" s="65" t="s">
        <v>377</v>
      </c>
      <c r="C286" s="65"/>
      <c r="D286" s="65"/>
      <c r="E286" s="65"/>
      <c r="F286" s="66">
        <f>SUM(F287,F292)</f>
        <v>17397.7</v>
      </c>
      <c r="I286" s="145">
        <f t="shared" si="7"/>
        <v>-17397.7</v>
      </c>
      <c r="J286" s="145">
        <f t="shared" si="8"/>
        <v>-17397.7</v>
      </c>
    </row>
    <row r="287" spans="1:10" ht="15.75">
      <c r="A287" s="14" t="s">
        <v>39</v>
      </c>
      <c r="B287" s="65" t="s">
        <v>378</v>
      </c>
      <c r="C287" s="65"/>
      <c r="D287" s="65"/>
      <c r="E287" s="65"/>
      <c r="F287" s="66">
        <f>SUM(F288)+F290</f>
        <v>1079.9</v>
      </c>
      <c r="I287" s="145">
        <f t="shared" si="7"/>
        <v>-1079.9</v>
      </c>
      <c r="J287" s="145">
        <f t="shared" si="8"/>
        <v>-1079.9</v>
      </c>
    </row>
    <row r="288" spans="1:10" ht="31.5">
      <c r="A288" s="14" t="s">
        <v>372</v>
      </c>
      <c r="B288" s="65" t="s">
        <v>379</v>
      </c>
      <c r="C288" s="65"/>
      <c r="D288" s="65"/>
      <c r="E288" s="65"/>
      <c r="F288" s="66">
        <f>SUM(F289)</f>
        <v>1036.9</v>
      </c>
      <c r="I288" s="145">
        <f t="shared" si="7"/>
        <v>-1036.9</v>
      </c>
      <c r="J288" s="145">
        <f t="shared" si="8"/>
        <v>-1036.9</v>
      </c>
    </row>
    <row r="289" spans="1:10" ht="31.5">
      <c r="A289" s="14" t="s">
        <v>56</v>
      </c>
      <c r="B289" s="65" t="s">
        <v>379</v>
      </c>
      <c r="C289" s="65" t="s">
        <v>101</v>
      </c>
      <c r="D289" s="65" t="s">
        <v>58</v>
      </c>
      <c r="E289" s="65" t="s">
        <v>192</v>
      </c>
      <c r="F289" s="66">
        <v>1036.9</v>
      </c>
      <c r="G289" s="144">
        <f>SUM(Ведомственная!G169)</f>
        <v>1036.9</v>
      </c>
      <c r="I289" s="145">
        <f t="shared" si="7"/>
        <v>0</v>
      </c>
      <c r="J289" s="145">
        <f t="shared" si="8"/>
        <v>-1036.9</v>
      </c>
    </row>
    <row r="290" spans="1:10" ht="31.5">
      <c r="A290" s="14" t="s">
        <v>373</v>
      </c>
      <c r="B290" s="65" t="s">
        <v>380</v>
      </c>
      <c r="C290" s="65"/>
      <c r="D290" s="65"/>
      <c r="E290" s="65"/>
      <c r="F290" s="66">
        <f>SUM(F291)</f>
        <v>43</v>
      </c>
      <c r="I290" s="145">
        <f t="shared" si="7"/>
        <v>-43</v>
      </c>
      <c r="J290" s="145">
        <f t="shared" si="8"/>
        <v>-43</v>
      </c>
    </row>
    <row r="291" spans="1:10" ht="31.5">
      <c r="A291" s="14" t="s">
        <v>56</v>
      </c>
      <c r="B291" s="65" t="s">
        <v>380</v>
      </c>
      <c r="C291" s="65" t="s">
        <v>101</v>
      </c>
      <c r="D291" s="65" t="s">
        <v>58</v>
      </c>
      <c r="E291" s="65" t="s">
        <v>192</v>
      </c>
      <c r="F291" s="66">
        <v>43</v>
      </c>
      <c r="G291" s="144">
        <f>SUM(Ведомственная!G171)</f>
        <v>43</v>
      </c>
      <c r="I291" s="145">
        <f t="shared" si="7"/>
        <v>0</v>
      </c>
      <c r="J291" s="145">
        <f t="shared" si="8"/>
        <v>-43</v>
      </c>
    </row>
    <row r="292" spans="1:10" ht="31.5">
      <c r="A292" s="14" t="s">
        <v>49</v>
      </c>
      <c r="B292" s="65" t="s">
        <v>381</v>
      </c>
      <c r="C292" s="65"/>
      <c r="D292" s="65"/>
      <c r="E292" s="65"/>
      <c r="F292" s="66">
        <f>SUM(F293:F295)</f>
        <v>16317.800000000001</v>
      </c>
      <c r="I292" s="145">
        <f t="shared" si="7"/>
        <v>-16317.800000000001</v>
      </c>
      <c r="J292" s="145">
        <f t="shared" si="8"/>
        <v>-16317.800000000001</v>
      </c>
    </row>
    <row r="293" spans="1:10" ht="63">
      <c r="A293" s="14" t="s">
        <v>55</v>
      </c>
      <c r="B293" s="65" t="s">
        <v>381</v>
      </c>
      <c r="C293" s="65" t="s">
        <v>99</v>
      </c>
      <c r="D293" s="65" t="s">
        <v>58</v>
      </c>
      <c r="E293" s="65" t="s">
        <v>192</v>
      </c>
      <c r="F293" s="66">
        <v>10907.7</v>
      </c>
      <c r="G293" s="144">
        <f>SUM(Ведомственная!G173)</f>
        <v>10907.7</v>
      </c>
      <c r="I293" s="145">
        <f t="shared" si="7"/>
        <v>0</v>
      </c>
      <c r="J293" s="145">
        <f t="shared" si="8"/>
        <v>-10907.7</v>
      </c>
    </row>
    <row r="294" spans="1:10" ht="31.5">
      <c r="A294" s="14" t="s">
        <v>56</v>
      </c>
      <c r="B294" s="65" t="s">
        <v>381</v>
      </c>
      <c r="C294" s="65" t="s">
        <v>101</v>
      </c>
      <c r="D294" s="65" t="s">
        <v>58</v>
      </c>
      <c r="E294" s="65" t="s">
        <v>192</v>
      </c>
      <c r="F294" s="66">
        <v>5288</v>
      </c>
      <c r="G294" s="144">
        <f>SUM(Ведомственная!G174)</f>
        <v>5288</v>
      </c>
      <c r="I294" s="145">
        <f t="shared" si="7"/>
        <v>0</v>
      </c>
      <c r="J294" s="145">
        <f t="shared" si="8"/>
        <v>-5288</v>
      </c>
    </row>
    <row r="295" spans="1:10" ht="15.75">
      <c r="A295" s="14" t="s">
        <v>26</v>
      </c>
      <c r="B295" s="65" t="s">
        <v>381</v>
      </c>
      <c r="C295" s="65" t="s">
        <v>106</v>
      </c>
      <c r="D295" s="65" t="s">
        <v>58</v>
      </c>
      <c r="E295" s="65" t="s">
        <v>192</v>
      </c>
      <c r="F295" s="66">
        <v>122.1</v>
      </c>
      <c r="G295" s="144">
        <f>SUM(Ведомственная!G175)</f>
        <v>122.1</v>
      </c>
      <c r="I295" s="145">
        <f t="shared" si="7"/>
        <v>0</v>
      </c>
      <c r="J295" s="145">
        <f t="shared" si="8"/>
        <v>-122.1</v>
      </c>
    </row>
    <row r="296" spans="1:10" ht="47.25">
      <c r="A296" s="14" t="s">
        <v>374</v>
      </c>
      <c r="B296" s="65" t="s">
        <v>382</v>
      </c>
      <c r="C296" s="65"/>
      <c r="D296" s="65"/>
      <c r="E296" s="65"/>
      <c r="F296" s="66">
        <f>SUM(F297)</f>
        <v>1089.2</v>
      </c>
      <c r="I296" s="145">
        <f t="shared" si="7"/>
        <v>-1089.2</v>
      </c>
      <c r="J296" s="145">
        <f t="shared" si="8"/>
        <v>-1089.2</v>
      </c>
    </row>
    <row r="297" spans="1:10" ht="15.75">
      <c r="A297" s="14" t="s">
        <v>39</v>
      </c>
      <c r="B297" s="65" t="s">
        <v>383</v>
      </c>
      <c r="C297" s="65"/>
      <c r="D297" s="65"/>
      <c r="E297" s="65"/>
      <c r="F297" s="66">
        <f>SUM(F298)</f>
        <v>1089.2</v>
      </c>
      <c r="I297" s="145">
        <f t="shared" si="7"/>
        <v>-1089.2</v>
      </c>
      <c r="J297" s="145">
        <f t="shared" si="8"/>
        <v>-1089.2</v>
      </c>
    </row>
    <row r="298" spans="1:10" ht="31.5">
      <c r="A298" s="14" t="s">
        <v>373</v>
      </c>
      <c r="B298" s="65" t="s">
        <v>384</v>
      </c>
      <c r="C298" s="65"/>
      <c r="D298" s="65"/>
      <c r="E298" s="65"/>
      <c r="F298" s="66">
        <f>SUM(F299)</f>
        <v>1089.2</v>
      </c>
      <c r="I298" s="145">
        <f t="shared" si="7"/>
        <v>-1089.2</v>
      </c>
      <c r="J298" s="145">
        <f t="shared" si="8"/>
        <v>-1089.2</v>
      </c>
    </row>
    <row r="299" spans="1:10" ht="31.5">
      <c r="A299" s="14" t="s">
        <v>56</v>
      </c>
      <c r="B299" s="65" t="s">
        <v>384</v>
      </c>
      <c r="C299" s="65" t="s">
        <v>101</v>
      </c>
      <c r="D299" s="65" t="s">
        <v>58</v>
      </c>
      <c r="E299" s="65" t="s">
        <v>192</v>
      </c>
      <c r="F299" s="66">
        <v>1089.2</v>
      </c>
      <c r="G299" s="144">
        <f>SUM(Ведомственная!G179)</f>
        <v>1089.2</v>
      </c>
      <c r="I299" s="145">
        <f t="shared" si="7"/>
        <v>0</v>
      </c>
      <c r="J299" s="145">
        <f t="shared" si="8"/>
        <v>-1089.2</v>
      </c>
    </row>
    <row r="300" spans="1:10" ht="47.25">
      <c r="A300" s="14" t="s">
        <v>375</v>
      </c>
      <c r="B300" s="65" t="s">
        <v>385</v>
      </c>
      <c r="C300" s="65"/>
      <c r="D300" s="65"/>
      <c r="E300" s="65"/>
      <c r="F300" s="66">
        <f>SUM(F301)</f>
        <v>459.9</v>
      </c>
      <c r="I300" s="145">
        <f t="shared" si="7"/>
        <v>-459.9</v>
      </c>
      <c r="J300" s="145">
        <f t="shared" si="8"/>
        <v>-459.9</v>
      </c>
    </row>
    <row r="301" spans="1:10" ht="15.75">
      <c r="A301" s="14" t="s">
        <v>39</v>
      </c>
      <c r="B301" s="65" t="s">
        <v>386</v>
      </c>
      <c r="C301" s="65"/>
      <c r="D301" s="65"/>
      <c r="E301" s="65"/>
      <c r="F301" s="66">
        <f>SUM(F302)</f>
        <v>459.9</v>
      </c>
      <c r="I301" s="145">
        <f t="shared" si="7"/>
        <v>-459.9</v>
      </c>
      <c r="J301" s="145">
        <f t="shared" si="8"/>
        <v>-459.9</v>
      </c>
    </row>
    <row r="302" spans="1:10" ht="31.5">
      <c r="A302" s="14" t="s">
        <v>56</v>
      </c>
      <c r="B302" s="65" t="s">
        <v>386</v>
      </c>
      <c r="C302" s="65" t="s">
        <v>101</v>
      </c>
      <c r="D302" s="65" t="s">
        <v>58</v>
      </c>
      <c r="E302" s="65" t="s">
        <v>192</v>
      </c>
      <c r="F302" s="66">
        <v>459.9</v>
      </c>
      <c r="G302" s="144">
        <f>SUM(Ведомственная!G182)</f>
        <v>459.9</v>
      </c>
      <c r="I302" s="145">
        <f t="shared" si="7"/>
        <v>0</v>
      </c>
      <c r="J302" s="145">
        <f t="shared" si="8"/>
        <v>-459.9</v>
      </c>
    </row>
    <row r="303" spans="1:10" ht="31.5">
      <c r="A303" s="67" t="s">
        <v>842</v>
      </c>
      <c r="B303" s="77" t="s">
        <v>843</v>
      </c>
      <c r="C303" s="65"/>
      <c r="D303" s="65"/>
      <c r="E303" s="65"/>
      <c r="F303" s="66">
        <f>SUM(F304)</f>
        <v>3500</v>
      </c>
      <c r="I303" s="145"/>
      <c r="J303" s="145"/>
    </row>
    <row r="304" spans="1:10" ht="15.75">
      <c r="A304" s="67" t="s">
        <v>39</v>
      </c>
      <c r="B304" s="77" t="s">
        <v>844</v>
      </c>
      <c r="C304" s="65"/>
      <c r="D304" s="65"/>
      <c r="E304" s="65"/>
      <c r="F304" s="66">
        <f>SUM(F305)</f>
        <v>3500</v>
      </c>
      <c r="I304" s="145"/>
      <c r="J304" s="145"/>
    </row>
    <row r="305" spans="1:10" ht="15.75">
      <c r="A305" s="67" t="s">
        <v>364</v>
      </c>
      <c r="B305" s="77" t="s">
        <v>845</v>
      </c>
      <c r="C305" s="65"/>
      <c r="D305" s="65"/>
      <c r="E305" s="65"/>
      <c r="F305" s="66">
        <f>SUM(F306)</f>
        <v>3500</v>
      </c>
      <c r="I305" s="145"/>
      <c r="J305" s="145"/>
    </row>
    <row r="306" spans="1:10" ht="31.5">
      <c r="A306" s="67" t="s">
        <v>56</v>
      </c>
      <c r="B306" s="77" t="s">
        <v>845</v>
      </c>
      <c r="C306" s="65" t="s">
        <v>101</v>
      </c>
      <c r="D306" s="65" t="s">
        <v>188</v>
      </c>
      <c r="E306" s="65" t="s">
        <v>58</v>
      </c>
      <c r="F306" s="66">
        <v>3500</v>
      </c>
      <c r="G306" s="144">
        <f>SUM(Ведомственная!G310)</f>
        <v>3500</v>
      </c>
      <c r="I306" s="145"/>
      <c r="J306" s="145"/>
    </row>
    <row r="307" spans="1:10" ht="31.5">
      <c r="A307" s="48" t="s">
        <v>305</v>
      </c>
      <c r="B307" s="49" t="s">
        <v>306</v>
      </c>
      <c r="C307" s="49"/>
      <c r="D307" s="50"/>
      <c r="E307" s="50"/>
      <c r="F307" s="51">
        <f>SUM(F318)+F308+F312</f>
        <v>3725.6</v>
      </c>
      <c r="H307" s="146">
        <f>SUM(G308:G319)</f>
        <v>3725.6</v>
      </c>
      <c r="I307" s="145">
        <f t="shared" si="7"/>
        <v>-3725.6</v>
      </c>
      <c r="J307" s="145">
        <f t="shared" si="8"/>
        <v>0</v>
      </c>
    </row>
    <row r="308" spans="1:10" ht="31.5">
      <c r="A308" s="14" t="s">
        <v>357</v>
      </c>
      <c r="B308" s="65" t="s">
        <v>407</v>
      </c>
      <c r="C308" s="65"/>
      <c r="D308" s="65"/>
      <c r="E308" s="65"/>
      <c r="F308" s="66">
        <f>SUM(F309)</f>
        <v>775.5</v>
      </c>
      <c r="I308" s="145">
        <f t="shared" si="7"/>
        <v>-775.5</v>
      </c>
      <c r="J308" s="145">
        <f t="shared" si="8"/>
        <v>-775.5</v>
      </c>
    </row>
    <row r="309" spans="1:10" ht="31.5">
      <c r="A309" s="14" t="s">
        <v>358</v>
      </c>
      <c r="B309" s="65" t="s">
        <v>408</v>
      </c>
      <c r="C309" s="65"/>
      <c r="D309" s="65"/>
      <c r="E309" s="65"/>
      <c r="F309" s="66">
        <f>SUM(F310:F311)</f>
        <v>775.5</v>
      </c>
      <c r="I309" s="145">
        <f aca="true" t="shared" si="9" ref="I309:I375">G309-F309</f>
        <v>-775.5</v>
      </c>
      <c r="J309" s="145">
        <f t="shared" si="8"/>
        <v>-775.5</v>
      </c>
    </row>
    <row r="310" spans="1:10" ht="29.25" customHeight="1">
      <c r="A310" s="14" t="s">
        <v>359</v>
      </c>
      <c r="B310" s="65" t="s">
        <v>408</v>
      </c>
      <c r="C310" s="65" t="s">
        <v>313</v>
      </c>
      <c r="D310" s="65" t="s">
        <v>17</v>
      </c>
      <c r="E310" s="65" t="s">
        <v>192</v>
      </c>
      <c r="F310" s="66">
        <v>395.5</v>
      </c>
      <c r="G310" s="144">
        <f>SUM(Ведомственная!G210)</f>
        <v>395.5</v>
      </c>
      <c r="I310" s="145">
        <f t="shared" si="9"/>
        <v>0</v>
      </c>
      <c r="J310" s="145">
        <f t="shared" si="8"/>
        <v>-395.5</v>
      </c>
    </row>
    <row r="311" spans="1:10" ht="31.5">
      <c r="A311" s="14" t="s">
        <v>359</v>
      </c>
      <c r="B311" s="65" t="s">
        <v>408</v>
      </c>
      <c r="C311" s="65" t="s">
        <v>313</v>
      </c>
      <c r="D311" s="65" t="s">
        <v>188</v>
      </c>
      <c r="E311" s="65" t="s">
        <v>188</v>
      </c>
      <c r="F311" s="66">
        <v>380</v>
      </c>
      <c r="G311" s="144">
        <f>SUM(Ведомственная!G324)</f>
        <v>380</v>
      </c>
      <c r="I311" s="145">
        <f t="shared" si="9"/>
        <v>0</v>
      </c>
      <c r="J311" s="145">
        <f t="shared" si="8"/>
        <v>-380</v>
      </c>
    </row>
    <row r="312" spans="1:10" ht="31.5">
      <c r="A312" s="14" t="s">
        <v>360</v>
      </c>
      <c r="B312" s="65" t="s">
        <v>409</v>
      </c>
      <c r="C312" s="65"/>
      <c r="D312" s="65"/>
      <c r="E312" s="65"/>
      <c r="F312" s="66">
        <f>SUM(F316)+F313</f>
        <v>2476.5</v>
      </c>
      <c r="I312" s="145">
        <f t="shared" si="9"/>
        <v>-2476.5</v>
      </c>
      <c r="J312" s="145">
        <f t="shared" si="8"/>
        <v>-2476.5</v>
      </c>
    </row>
    <row r="313" spans="1:10" ht="15.75">
      <c r="A313" s="67" t="s">
        <v>39</v>
      </c>
      <c r="B313" s="77" t="s">
        <v>840</v>
      </c>
      <c r="C313" s="65"/>
      <c r="D313" s="65"/>
      <c r="E313" s="65"/>
      <c r="F313" s="66">
        <f>SUM(F314)</f>
        <v>16</v>
      </c>
      <c r="I313" s="145"/>
      <c r="J313" s="145"/>
    </row>
    <row r="314" spans="1:10" ht="15.75">
      <c r="A314" s="67" t="s">
        <v>355</v>
      </c>
      <c r="B314" s="77" t="s">
        <v>841</v>
      </c>
      <c r="C314" s="65"/>
      <c r="D314" s="65"/>
      <c r="E314" s="65"/>
      <c r="F314" s="66">
        <f>SUM(F315)</f>
        <v>16</v>
      </c>
      <c r="I314" s="145"/>
      <c r="J314" s="145"/>
    </row>
    <row r="315" spans="1:10" ht="31.5">
      <c r="A315" s="67" t="s">
        <v>56</v>
      </c>
      <c r="B315" s="77" t="s">
        <v>841</v>
      </c>
      <c r="C315" s="65" t="s">
        <v>101</v>
      </c>
      <c r="D315" s="65" t="s">
        <v>188</v>
      </c>
      <c r="E315" s="65" t="s">
        <v>48</v>
      </c>
      <c r="F315" s="66">
        <v>16</v>
      </c>
      <c r="G315" s="144">
        <f>SUM(Ведомственная!G276)</f>
        <v>16</v>
      </c>
      <c r="I315" s="145">
        <f>G315-F315</f>
        <v>0</v>
      </c>
      <c r="J315" s="145">
        <f>SUM(H315-F315)</f>
        <v>-16</v>
      </c>
    </row>
    <row r="316" spans="1:10" ht="31.5">
      <c r="A316" s="14" t="s">
        <v>358</v>
      </c>
      <c r="B316" s="65" t="s">
        <v>410</v>
      </c>
      <c r="C316" s="65"/>
      <c r="D316" s="65"/>
      <c r="E316" s="65"/>
      <c r="F316" s="66">
        <f>SUM(F317)</f>
        <v>2460.5</v>
      </c>
      <c r="I316" s="145">
        <f t="shared" si="9"/>
        <v>-2460.5</v>
      </c>
      <c r="J316" s="145">
        <f t="shared" si="8"/>
        <v>-2460.5</v>
      </c>
    </row>
    <row r="317" spans="1:10" ht="31.5">
      <c r="A317" s="14" t="s">
        <v>359</v>
      </c>
      <c r="B317" s="65" t="s">
        <v>410</v>
      </c>
      <c r="C317" s="65" t="s">
        <v>313</v>
      </c>
      <c r="D317" s="65" t="s">
        <v>188</v>
      </c>
      <c r="E317" s="65" t="s">
        <v>48</v>
      </c>
      <c r="F317" s="66">
        <v>2460.5</v>
      </c>
      <c r="G317" s="144">
        <f>SUM(Ведомственная!G278)+Ведомственная!G327</f>
        <v>2460.5</v>
      </c>
      <c r="I317" s="145">
        <f t="shared" si="9"/>
        <v>0</v>
      </c>
      <c r="J317" s="145">
        <f t="shared" si="8"/>
        <v>-2460.5</v>
      </c>
    </row>
    <row r="318" spans="1:10" ht="31.5">
      <c r="A318" s="48" t="s">
        <v>320</v>
      </c>
      <c r="B318" s="49" t="s">
        <v>307</v>
      </c>
      <c r="C318" s="49"/>
      <c r="D318" s="50"/>
      <c r="E318" s="50"/>
      <c r="F318" s="51">
        <f>SUM(F319)</f>
        <v>473.6</v>
      </c>
      <c r="I318" s="145">
        <f t="shared" si="9"/>
        <v>-473.6</v>
      </c>
      <c r="J318" s="145">
        <f t="shared" si="8"/>
        <v>-473.6</v>
      </c>
    </row>
    <row r="319" spans="1:10" ht="15.75">
      <c r="A319" s="48" t="s">
        <v>46</v>
      </c>
      <c r="B319" s="49" t="s">
        <v>307</v>
      </c>
      <c r="C319" s="49">
        <v>300</v>
      </c>
      <c r="D319" s="50" t="s">
        <v>35</v>
      </c>
      <c r="E319" s="50" t="s">
        <v>58</v>
      </c>
      <c r="F319" s="51">
        <v>473.6</v>
      </c>
      <c r="G319" s="144">
        <f>SUM(Ведомственная!G381)</f>
        <v>473.6</v>
      </c>
      <c r="I319" s="145">
        <f t="shared" si="9"/>
        <v>0</v>
      </c>
      <c r="J319" s="145">
        <f t="shared" si="8"/>
        <v>-473.6</v>
      </c>
    </row>
    <row r="320" spans="1:10" ht="31.5">
      <c r="A320" s="14" t="s">
        <v>352</v>
      </c>
      <c r="B320" s="65" t="s">
        <v>398</v>
      </c>
      <c r="C320" s="65"/>
      <c r="D320" s="65"/>
      <c r="E320" s="65"/>
      <c r="F320" s="66">
        <f>SUM(F324)+F321</f>
        <v>17613.800000000003</v>
      </c>
      <c r="H320" s="146">
        <f>SUM(G321:G328)</f>
        <v>17613.800000000003</v>
      </c>
      <c r="I320" s="145">
        <f t="shared" si="9"/>
        <v>-17613.800000000003</v>
      </c>
      <c r="J320" s="145">
        <f t="shared" si="8"/>
        <v>0</v>
      </c>
    </row>
    <row r="321" spans="1:10" ht="31.5">
      <c r="A321" s="14" t="s">
        <v>358</v>
      </c>
      <c r="B321" s="68" t="s">
        <v>421</v>
      </c>
      <c r="C321" s="68"/>
      <c r="D321" s="68"/>
      <c r="E321" s="68"/>
      <c r="F321" s="69">
        <f>SUM(F322)+F323</f>
        <v>12362.900000000001</v>
      </c>
      <c r="I321" s="145">
        <f t="shared" si="9"/>
        <v>-12362.900000000001</v>
      </c>
      <c r="J321" s="145">
        <f t="shared" si="8"/>
        <v>-12362.900000000001</v>
      </c>
    </row>
    <row r="322" spans="1:10" ht="31.5">
      <c r="A322" s="14" t="s">
        <v>359</v>
      </c>
      <c r="B322" s="68" t="s">
        <v>421</v>
      </c>
      <c r="C322" s="68" t="s">
        <v>313</v>
      </c>
      <c r="D322" s="68" t="s">
        <v>188</v>
      </c>
      <c r="E322" s="68" t="s">
        <v>188</v>
      </c>
      <c r="F322" s="69">
        <f>510.8+467-0.1</f>
        <v>977.6999999999999</v>
      </c>
      <c r="G322" s="144">
        <f>SUM(Ведомственная!G330)+Ведомственная!G371+Ведомственная!G428</f>
        <v>977.6999999999999</v>
      </c>
      <c r="I322" s="145">
        <f t="shared" si="9"/>
        <v>0</v>
      </c>
      <c r="J322" s="145">
        <f t="shared" si="8"/>
        <v>-977.6999999999999</v>
      </c>
    </row>
    <row r="323" spans="1:10" ht="31.5">
      <c r="A323" s="14" t="s">
        <v>359</v>
      </c>
      <c r="B323" s="68" t="s">
        <v>421</v>
      </c>
      <c r="C323" s="68" t="s">
        <v>313</v>
      </c>
      <c r="D323" s="68" t="s">
        <v>189</v>
      </c>
      <c r="E323" s="68" t="s">
        <v>188</v>
      </c>
      <c r="F323" s="69">
        <v>11385.2</v>
      </c>
      <c r="G323" s="144">
        <f>Ведомственная!G438</f>
        <v>11385.2</v>
      </c>
      <c r="I323" s="145">
        <f t="shared" si="9"/>
        <v>0</v>
      </c>
      <c r="J323" s="145">
        <f t="shared" si="8"/>
        <v>-11385.2</v>
      </c>
    </row>
    <row r="324" spans="1:10" ht="31.5">
      <c r="A324" s="14" t="s">
        <v>353</v>
      </c>
      <c r="B324" s="65" t="s">
        <v>399</v>
      </c>
      <c r="C324" s="65"/>
      <c r="D324" s="65"/>
      <c r="E324" s="65"/>
      <c r="F324" s="66">
        <f>SUM(F325)</f>
        <v>5250.9</v>
      </c>
      <c r="I324" s="145">
        <f t="shared" si="9"/>
        <v>-5250.9</v>
      </c>
      <c r="J324" s="145">
        <f t="shared" si="8"/>
        <v>-5250.9</v>
      </c>
    </row>
    <row r="325" spans="1:10" ht="31.5">
      <c r="A325" s="14" t="s">
        <v>49</v>
      </c>
      <c r="B325" s="65" t="s">
        <v>400</v>
      </c>
      <c r="C325" s="65"/>
      <c r="D325" s="65"/>
      <c r="E325" s="65"/>
      <c r="F325" s="66">
        <f>SUM(F326:F328)</f>
        <v>5250.9</v>
      </c>
      <c r="I325" s="145">
        <f t="shared" si="9"/>
        <v>-5250.9</v>
      </c>
      <c r="J325" s="145">
        <f t="shared" si="8"/>
        <v>-5250.9</v>
      </c>
    </row>
    <row r="326" spans="1:10" ht="63">
      <c r="A326" s="14" t="s">
        <v>55</v>
      </c>
      <c r="B326" s="65" t="s">
        <v>400</v>
      </c>
      <c r="C326" s="65" t="s">
        <v>99</v>
      </c>
      <c r="D326" s="65" t="s">
        <v>17</v>
      </c>
      <c r="E326" s="65" t="s">
        <v>28</v>
      </c>
      <c r="F326" s="66">
        <v>4195.5</v>
      </c>
      <c r="G326" s="144">
        <f>SUM(Ведомственная!G229)</f>
        <v>4195.5</v>
      </c>
      <c r="I326" s="145">
        <f t="shared" si="9"/>
        <v>0</v>
      </c>
      <c r="J326" s="145">
        <f t="shared" si="8"/>
        <v>-4195.5</v>
      </c>
    </row>
    <row r="327" spans="1:10" ht="31.5">
      <c r="A327" s="14" t="s">
        <v>56</v>
      </c>
      <c r="B327" s="65" t="s">
        <v>400</v>
      </c>
      <c r="C327" s="65" t="s">
        <v>101</v>
      </c>
      <c r="D327" s="65" t="s">
        <v>17</v>
      </c>
      <c r="E327" s="65" t="s">
        <v>28</v>
      </c>
      <c r="F327" s="66">
        <v>1032</v>
      </c>
      <c r="G327" s="144">
        <f>SUM(Ведомственная!G230)</f>
        <v>1032</v>
      </c>
      <c r="I327" s="145">
        <f t="shared" si="9"/>
        <v>0</v>
      </c>
      <c r="J327" s="145">
        <f t="shared" si="8"/>
        <v>-1032</v>
      </c>
    </row>
    <row r="328" spans="1:10" ht="15.75">
      <c r="A328" s="14" t="s">
        <v>26</v>
      </c>
      <c r="B328" s="65" t="s">
        <v>400</v>
      </c>
      <c r="C328" s="65" t="s">
        <v>106</v>
      </c>
      <c r="D328" s="65" t="s">
        <v>17</v>
      </c>
      <c r="E328" s="65" t="s">
        <v>28</v>
      </c>
      <c r="F328" s="66">
        <v>23.4</v>
      </c>
      <c r="G328" s="144">
        <f>SUM(Ведомственная!G231)</f>
        <v>23.4</v>
      </c>
      <c r="I328" s="145">
        <f t="shared" si="9"/>
        <v>0</v>
      </c>
      <c r="J328" s="145">
        <f t="shared" si="8"/>
        <v>-23.4</v>
      </c>
    </row>
    <row r="329" spans="1:10" ht="31.5">
      <c r="A329" s="48" t="s">
        <v>302</v>
      </c>
      <c r="B329" s="49" t="s">
        <v>303</v>
      </c>
      <c r="C329" s="49"/>
      <c r="D329" s="50"/>
      <c r="E329" s="50"/>
      <c r="F329" s="51">
        <f>SUM(F330+F336)</f>
        <v>5853.8</v>
      </c>
      <c r="H329" s="146">
        <f>SUM(G332:G339)</f>
        <v>5853.799999999999</v>
      </c>
      <c r="I329" s="145">
        <f t="shared" si="9"/>
        <v>-5853.8</v>
      </c>
      <c r="J329" s="145">
        <f t="shared" si="8"/>
        <v>-9.094947017729282E-13</v>
      </c>
    </row>
    <row r="330" spans="1:10" ht="15.75">
      <c r="A330" s="48" t="s">
        <v>39</v>
      </c>
      <c r="B330" s="49" t="s">
        <v>315</v>
      </c>
      <c r="C330" s="49"/>
      <c r="D330" s="50"/>
      <c r="E330" s="50"/>
      <c r="F330" s="51">
        <f>SUM(F331)+F333</f>
        <v>894.1</v>
      </c>
      <c r="I330" s="145">
        <f t="shared" si="9"/>
        <v>-894.1</v>
      </c>
      <c r="J330" s="145">
        <f aca="true" t="shared" si="10" ref="J330:J398">SUM(H330-F330)</f>
        <v>-894.1</v>
      </c>
    </row>
    <row r="331" spans="1:10" ht="47.25" hidden="1">
      <c r="A331" s="48" t="s">
        <v>366</v>
      </c>
      <c r="B331" s="49" t="s">
        <v>367</v>
      </c>
      <c r="C331" s="49"/>
      <c r="D331" s="50"/>
      <c r="E331" s="50"/>
      <c r="F331" s="51">
        <f>SUM(F332)</f>
        <v>0</v>
      </c>
      <c r="I331" s="145">
        <f t="shared" si="9"/>
        <v>0</v>
      </c>
      <c r="J331" s="145">
        <f t="shared" si="10"/>
        <v>0</v>
      </c>
    </row>
    <row r="332" spans="1:10" ht="15.75" hidden="1">
      <c r="A332" s="48" t="s">
        <v>100</v>
      </c>
      <c r="B332" s="49" t="s">
        <v>367</v>
      </c>
      <c r="C332" s="50" t="s">
        <v>101</v>
      </c>
      <c r="D332" s="50"/>
      <c r="E332" s="50"/>
      <c r="F332" s="51"/>
      <c r="G332" s="144">
        <f>SUM(Ведомственная!G346)</f>
        <v>0</v>
      </c>
      <c r="I332" s="145">
        <f t="shared" si="9"/>
        <v>0</v>
      </c>
      <c r="J332" s="145">
        <f t="shared" si="10"/>
        <v>0</v>
      </c>
    </row>
    <row r="333" spans="1:10" ht="47.25">
      <c r="A333" s="48" t="s">
        <v>366</v>
      </c>
      <c r="B333" s="49" t="s">
        <v>367</v>
      </c>
      <c r="C333" s="49"/>
      <c r="D333" s="50"/>
      <c r="E333" s="50"/>
      <c r="F333" s="51">
        <f>SUM(F334:F335)</f>
        <v>894.1</v>
      </c>
      <c r="I333" s="145">
        <f t="shared" si="9"/>
        <v>-894.1</v>
      </c>
      <c r="J333" s="145">
        <f t="shared" si="10"/>
        <v>-894.1</v>
      </c>
    </row>
    <row r="334" spans="1:10" ht="63">
      <c r="A334" s="48" t="s">
        <v>55</v>
      </c>
      <c r="B334" s="49" t="s">
        <v>367</v>
      </c>
      <c r="C334" s="49">
        <v>100</v>
      </c>
      <c r="D334" s="50" t="s">
        <v>82</v>
      </c>
      <c r="E334" s="50" t="s">
        <v>188</v>
      </c>
      <c r="F334" s="51">
        <v>25</v>
      </c>
      <c r="G334" s="144">
        <f>SUM(Ведомственная!G348)</f>
        <v>25</v>
      </c>
      <c r="I334" s="145">
        <f t="shared" si="9"/>
        <v>0</v>
      </c>
      <c r="J334" s="145">
        <f t="shared" si="10"/>
        <v>-25</v>
      </c>
    </row>
    <row r="335" spans="1:10" ht="31.5">
      <c r="A335" s="48" t="s">
        <v>56</v>
      </c>
      <c r="B335" s="49" t="s">
        <v>367</v>
      </c>
      <c r="C335" s="50" t="s">
        <v>101</v>
      </c>
      <c r="D335" s="50" t="s">
        <v>82</v>
      </c>
      <c r="E335" s="50" t="s">
        <v>188</v>
      </c>
      <c r="F335" s="51">
        <v>869.1</v>
      </c>
      <c r="G335" s="144">
        <f>SUM(Ведомственная!G349)</f>
        <v>869.1</v>
      </c>
      <c r="I335" s="145">
        <f t="shared" si="9"/>
        <v>0</v>
      </c>
      <c r="J335" s="145">
        <f t="shared" si="10"/>
        <v>-869.1</v>
      </c>
    </row>
    <row r="336" spans="1:10" ht="31.5">
      <c r="A336" s="48" t="s">
        <v>49</v>
      </c>
      <c r="B336" s="49" t="s">
        <v>304</v>
      </c>
      <c r="C336" s="49"/>
      <c r="D336" s="50"/>
      <c r="E336" s="50"/>
      <c r="F336" s="51">
        <f>SUM(F337:F339)</f>
        <v>4959.7</v>
      </c>
      <c r="I336" s="145">
        <f t="shared" si="9"/>
        <v>-4959.7</v>
      </c>
      <c r="J336" s="145">
        <f t="shared" si="10"/>
        <v>-4959.7</v>
      </c>
    </row>
    <row r="337" spans="1:10" ht="63">
      <c r="A337" s="48" t="s">
        <v>55</v>
      </c>
      <c r="B337" s="49" t="s">
        <v>304</v>
      </c>
      <c r="C337" s="50" t="s">
        <v>99</v>
      </c>
      <c r="D337" s="50" t="s">
        <v>82</v>
      </c>
      <c r="E337" s="50" t="s">
        <v>58</v>
      </c>
      <c r="F337" s="51">
        <v>4162.8</v>
      </c>
      <c r="G337" s="144">
        <f>SUM(Ведомственная!G339)</f>
        <v>4162.799999999999</v>
      </c>
      <c r="I337" s="145">
        <f t="shared" si="9"/>
        <v>0</v>
      </c>
      <c r="J337" s="145">
        <f t="shared" si="10"/>
        <v>-4162.8</v>
      </c>
    </row>
    <row r="338" spans="1:10" ht="31.5">
      <c r="A338" s="48" t="s">
        <v>56</v>
      </c>
      <c r="B338" s="49" t="s">
        <v>304</v>
      </c>
      <c r="C338" s="50" t="s">
        <v>101</v>
      </c>
      <c r="D338" s="50" t="s">
        <v>82</v>
      </c>
      <c r="E338" s="50" t="s">
        <v>58</v>
      </c>
      <c r="F338" s="51">
        <v>742</v>
      </c>
      <c r="G338" s="144">
        <f>SUM(Ведомственная!G340)</f>
        <v>741.9999999999999</v>
      </c>
      <c r="I338" s="145">
        <f t="shared" si="9"/>
        <v>0</v>
      </c>
      <c r="J338" s="145">
        <f t="shared" si="10"/>
        <v>-742</v>
      </c>
    </row>
    <row r="339" spans="1:10" ht="15.75">
      <c r="A339" s="48" t="s">
        <v>26</v>
      </c>
      <c r="B339" s="49" t="s">
        <v>304</v>
      </c>
      <c r="C339" s="50" t="s">
        <v>106</v>
      </c>
      <c r="D339" s="50" t="s">
        <v>82</v>
      </c>
      <c r="E339" s="50" t="s">
        <v>58</v>
      </c>
      <c r="F339" s="51">
        <v>54.9</v>
      </c>
      <c r="G339" s="144">
        <f>SUM(Ведомственная!G341)</f>
        <v>54.9</v>
      </c>
      <c r="I339" s="145">
        <f t="shared" si="9"/>
        <v>0</v>
      </c>
      <c r="J339" s="145">
        <f t="shared" si="10"/>
        <v>-54.9</v>
      </c>
    </row>
    <row r="340" spans="1:10" ht="47.25">
      <c r="A340" s="48" t="s">
        <v>316</v>
      </c>
      <c r="B340" s="49" t="s">
        <v>264</v>
      </c>
      <c r="C340" s="49"/>
      <c r="D340" s="50"/>
      <c r="E340" s="50"/>
      <c r="F340" s="51">
        <f>SUM(F341)+F353+F351</f>
        <v>17859.6</v>
      </c>
      <c r="H340" s="146">
        <f>SUM(G341:G357)</f>
        <v>17859.600000000002</v>
      </c>
      <c r="I340" s="145">
        <f t="shared" si="9"/>
        <v>-17859.6</v>
      </c>
      <c r="J340" s="145">
        <f t="shared" si="10"/>
        <v>3.637978807091713E-12</v>
      </c>
    </row>
    <row r="341" spans="1:10" ht="47.25">
      <c r="A341" s="48" t="s">
        <v>265</v>
      </c>
      <c r="B341" s="49" t="s">
        <v>266</v>
      </c>
      <c r="C341" s="49"/>
      <c r="D341" s="50"/>
      <c r="E341" s="50"/>
      <c r="F341" s="51">
        <f>SUM(F344)+F342</f>
        <v>17379.6</v>
      </c>
      <c r="I341" s="145">
        <f t="shared" si="9"/>
        <v>-17379.6</v>
      </c>
      <c r="J341" s="145">
        <f t="shared" si="10"/>
        <v>-17379.6</v>
      </c>
    </row>
    <row r="342" spans="1:10" ht="47.25">
      <c r="A342" s="67" t="s">
        <v>652</v>
      </c>
      <c r="B342" s="49" t="s">
        <v>653</v>
      </c>
      <c r="C342" s="70"/>
      <c r="D342" s="71"/>
      <c r="E342" s="64"/>
      <c r="F342" s="69">
        <f>F343</f>
        <v>2000</v>
      </c>
      <c r="I342" s="145">
        <f t="shared" si="9"/>
        <v>-2000</v>
      </c>
      <c r="J342" s="145">
        <f t="shared" si="10"/>
        <v>-2000</v>
      </c>
    </row>
    <row r="343" spans="1:10" ht="31.5">
      <c r="A343" s="67" t="s">
        <v>359</v>
      </c>
      <c r="B343" s="49" t="s">
        <v>653</v>
      </c>
      <c r="C343" s="70" t="s">
        <v>313</v>
      </c>
      <c r="D343" s="50" t="s">
        <v>125</v>
      </c>
      <c r="E343" s="50" t="s">
        <v>38</v>
      </c>
      <c r="F343" s="69">
        <v>2000</v>
      </c>
      <c r="G343" s="144">
        <f>Ведомственная!G360</f>
        <v>2000</v>
      </c>
      <c r="I343" s="145">
        <f t="shared" si="9"/>
        <v>0</v>
      </c>
      <c r="J343" s="145"/>
    </row>
    <row r="344" spans="1:10" ht="47.25">
      <c r="A344" s="48" t="s">
        <v>84</v>
      </c>
      <c r="B344" s="49" t="s">
        <v>267</v>
      </c>
      <c r="C344" s="49"/>
      <c r="D344" s="50"/>
      <c r="E344" s="50"/>
      <c r="F344" s="51">
        <f>SUM(F345)</f>
        <v>15379.6</v>
      </c>
      <c r="I344" s="145">
        <f t="shared" si="9"/>
        <v>-15379.6</v>
      </c>
      <c r="J344" s="145">
        <f t="shared" si="10"/>
        <v>-15379.6</v>
      </c>
    </row>
    <row r="345" spans="1:10" ht="31.5">
      <c r="A345" s="48" t="s">
        <v>268</v>
      </c>
      <c r="B345" s="49" t="s">
        <v>269</v>
      </c>
      <c r="C345" s="49"/>
      <c r="D345" s="50"/>
      <c r="E345" s="50"/>
      <c r="F345" s="51">
        <f>SUM(F346:F350)</f>
        <v>15379.6</v>
      </c>
      <c r="I345" s="145">
        <f t="shared" si="9"/>
        <v>-15379.6</v>
      </c>
      <c r="J345" s="145">
        <f t="shared" si="10"/>
        <v>-15379.6</v>
      </c>
    </row>
    <row r="346" spans="1:10" ht="31.5">
      <c r="A346" s="48" t="s">
        <v>56</v>
      </c>
      <c r="B346" s="49" t="s">
        <v>269</v>
      </c>
      <c r="C346" s="49">
        <v>200</v>
      </c>
      <c r="D346" s="50" t="s">
        <v>38</v>
      </c>
      <c r="E346" s="50">
        <v>13</v>
      </c>
      <c r="F346" s="51">
        <v>7590.9</v>
      </c>
      <c r="G346" s="144">
        <f>SUM(Ведомственная!G129)</f>
        <v>7590.9</v>
      </c>
      <c r="I346" s="145">
        <f t="shared" si="9"/>
        <v>0</v>
      </c>
      <c r="J346" s="145">
        <f t="shared" si="10"/>
        <v>-7590.9</v>
      </c>
    </row>
    <row r="347" spans="1:10" ht="31.5">
      <c r="A347" s="157" t="s">
        <v>56</v>
      </c>
      <c r="B347" s="49" t="s">
        <v>269</v>
      </c>
      <c r="C347" s="49">
        <v>200</v>
      </c>
      <c r="D347" s="158" t="s">
        <v>188</v>
      </c>
      <c r="E347" s="158" t="s">
        <v>48</v>
      </c>
      <c r="F347" s="51">
        <v>7468</v>
      </c>
      <c r="G347" s="144">
        <f>SUM(Ведомственная!G283)</f>
        <v>7468</v>
      </c>
      <c r="I347" s="145">
        <f t="shared" si="9"/>
        <v>0</v>
      </c>
      <c r="J347" s="145"/>
    </row>
    <row r="348" spans="1:10" ht="31.5">
      <c r="A348" s="157" t="s">
        <v>56</v>
      </c>
      <c r="B348" s="49" t="s">
        <v>269</v>
      </c>
      <c r="C348" s="49">
        <v>200</v>
      </c>
      <c r="D348" s="158" t="s">
        <v>82</v>
      </c>
      <c r="E348" s="158" t="s">
        <v>188</v>
      </c>
      <c r="F348" s="51">
        <v>53</v>
      </c>
      <c r="G348" s="144">
        <f>SUM(Ведомственная!G354)</f>
        <v>53</v>
      </c>
      <c r="I348" s="145">
        <f t="shared" si="9"/>
        <v>0</v>
      </c>
      <c r="J348" s="145"/>
    </row>
    <row r="349" spans="1:10" ht="31.5">
      <c r="A349" s="157" t="s">
        <v>56</v>
      </c>
      <c r="B349" s="49" t="s">
        <v>269</v>
      </c>
      <c r="C349" s="49">
        <v>200</v>
      </c>
      <c r="D349" s="158" t="s">
        <v>125</v>
      </c>
      <c r="E349" s="158" t="s">
        <v>48</v>
      </c>
      <c r="F349" s="51">
        <v>182.7</v>
      </c>
      <c r="G349" s="144">
        <f>SUM(Ведомственная!G366)</f>
        <v>182.7</v>
      </c>
      <c r="I349" s="145">
        <f t="shared" si="9"/>
        <v>0</v>
      </c>
      <c r="J349" s="145"/>
    </row>
    <row r="350" spans="1:10" ht="15.75">
      <c r="A350" s="48" t="s">
        <v>26</v>
      </c>
      <c r="B350" s="49" t="s">
        <v>269</v>
      </c>
      <c r="C350" s="49">
        <v>800</v>
      </c>
      <c r="D350" s="50" t="s">
        <v>38</v>
      </c>
      <c r="E350" s="50">
        <v>13</v>
      </c>
      <c r="F350" s="51">
        <v>85</v>
      </c>
      <c r="G350" s="144">
        <f>SUM(Ведомственная!G130)</f>
        <v>85</v>
      </c>
      <c r="I350" s="145">
        <f t="shared" si="9"/>
        <v>0</v>
      </c>
      <c r="J350" s="145">
        <f t="shared" si="10"/>
        <v>-85</v>
      </c>
    </row>
    <row r="351" spans="1:10" ht="47.25">
      <c r="A351" s="48" t="s">
        <v>292</v>
      </c>
      <c r="B351" s="49" t="s">
        <v>293</v>
      </c>
      <c r="C351" s="50"/>
      <c r="D351" s="50"/>
      <c r="E351" s="50"/>
      <c r="F351" s="51">
        <f>SUM(F352)</f>
        <v>380</v>
      </c>
      <c r="I351" s="145">
        <f t="shared" si="9"/>
        <v>-380</v>
      </c>
      <c r="J351" s="145">
        <f t="shared" si="10"/>
        <v>-380</v>
      </c>
    </row>
    <row r="352" spans="1:10" ht="31.5">
      <c r="A352" s="48" t="s">
        <v>56</v>
      </c>
      <c r="B352" s="49" t="s">
        <v>293</v>
      </c>
      <c r="C352" s="50" t="s">
        <v>101</v>
      </c>
      <c r="D352" s="50" t="s">
        <v>17</v>
      </c>
      <c r="E352" s="50" t="s">
        <v>28</v>
      </c>
      <c r="F352" s="51">
        <v>380</v>
      </c>
      <c r="G352" s="144">
        <f>SUM(Ведомственная!G234)</f>
        <v>380</v>
      </c>
      <c r="I352" s="145">
        <f t="shared" si="9"/>
        <v>0</v>
      </c>
      <c r="J352" s="145">
        <f t="shared" si="10"/>
        <v>-380</v>
      </c>
    </row>
    <row r="353" spans="1:10" ht="31.5">
      <c r="A353" s="48" t="s">
        <v>270</v>
      </c>
      <c r="B353" s="49" t="s">
        <v>271</v>
      </c>
      <c r="C353" s="49"/>
      <c r="D353" s="50"/>
      <c r="E353" s="50"/>
      <c r="F353" s="51">
        <f>SUM(F354)</f>
        <v>100</v>
      </c>
      <c r="I353" s="145">
        <f t="shared" si="9"/>
        <v>-100</v>
      </c>
      <c r="J353" s="145">
        <f t="shared" si="10"/>
        <v>-100</v>
      </c>
    </row>
    <row r="354" spans="1:10" ht="47.25">
      <c r="A354" s="48" t="s">
        <v>84</v>
      </c>
      <c r="B354" s="49" t="s">
        <v>272</v>
      </c>
      <c r="C354" s="49"/>
      <c r="D354" s="50"/>
      <c r="E354" s="50"/>
      <c r="F354" s="51">
        <f>SUM(F355)</f>
        <v>100</v>
      </c>
      <c r="I354" s="145">
        <f t="shared" si="9"/>
        <v>-100</v>
      </c>
      <c r="J354" s="145">
        <f t="shared" si="10"/>
        <v>-100</v>
      </c>
    </row>
    <row r="355" spans="1:10" ht="31.5">
      <c r="A355" s="48" t="s">
        <v>268</v>
      </c>
      <c r="B355" s="49" t="s">
        <v>273</v>
      </c>
      <c r="C355" s="49"/>
      <c r="D355" s="50"/>
      <c r="E355" s="50"/>
      <c r="F355" s="51">
        <f>SUM(F356:F357)</f>
        <v>100</v>
      </c>
      <c r="I355" s="145">
        <f t="shared" si="9"/>
        <v>-100</v>
      </c>
      <c r="J355" s="145">
        <f t="shared" si="10"/>
        <v>-100</v>
      </c>
    </row>
    <row r="356" spans="1:10" ht="29.25" customHeight="1">
      <c r="A356" s="48" t="s">
        <v>56</v>
      </c>
      <c r="B356" s="49" t="s">
        <v>273</v>
      </c>
      <c r="C356" s="49">
        <v>200</v>
      </c>
      <c r="D356" s="50" t="s">
        <v>38</v>
      </c>
      <c r="E356" s="50">
        <v>13</v>
      </c>
      <c r="F356" s="51">
        <v>100</v>
      </c>
      <c r="G356" s="144">
        <f>SUM(Ведомственная!G134)</f>
        <v>100</v>
      </c>
      <c r="I356" s="145">
        <f t="shared" si="9"/>
        <v>0</v>
      </c>
      <c r="J356" s="145">
        <f t="shared" si="10"/>
        <v>-100</v>
      </c>
    </row>
    <row r="357" spans="1:10" ht="15.75" hidden="1">
      <c r="A357" s="48" t="s">
        <v>26</v>
      </c>
      <c r="B357" s="49" t="s">
        <v>273</v>
      </c>
      <c r="C357" s="49">
        <v>800</v>
      </c>
      <c r="D357" s="50" t="s">
        <v>38</v>
      </c>
      <c r="E357" s="50">
        <v>13</v>
      </c>
      <c r="F357" s="51"/>
      <c r="G357" s="144">
        <f>SUM(Ведомственная!G135)</f>
        <v>0</v>
      </c>
      <c r="I357" s="145">
        <f t="shared" si="9"/>
        <v>0</v>
      </c>
      <c r="J357" s="145">
        <f t="shared" si="10"/>
        <v>0</v>
      </c>
    </row>
    <row r="358" spans="1:10" ht="31.5">
      <c r="A358" s="48" t="s">
        <v>295</v>
      </c>
      <c r="B358" s="49" t="s">
        <v>296</v>
      </c>
      <c r="C358" s="50"/>
      <c r="D358" s="50"/>
      <c r="E358" s="50"/>
      <c r="F358" s="51">
        <f>SUM(F359)+F363+F365</f>
        <v>67656.3</v>
      </c>
      <c r="H358" s="146">
        <f>SUM(G359:G370)</f>
        <v>67656.3</v>
      </c>
      <c r="I358" s="145">
        <f t="shared" si="9"/>
        <v>-67656.3</v>
      </c>
      <c r="J358" s="145">
        <f t="shared" si="10"/>
        <v>0</v>
      </c>
    </row>
    <row r="359" spans="1:10" ht="31.5">
      <c r="A359" s="48" t="s">
        <v>297</v>
      </c>
      <c r="B359" s="49" t="s">
        <v>299</v>
      </c>
      <c r="C359" s="50"/>
      <c r="D359" s="50"/>
      <c r="E359" s="50"/>
      <c r="F359" s="51">
        <f>SUM(F361)</f>
        <v>3604.4</v>
      </c>
      <c r="I359" s="145">
        <f t="shared" si="9"/>
        <v>-3604.4</v>
      </c>
      <c r="J359" s="145">
        <f t="shared" si="10"/>
        <v>-3604.4</v>
      </c>
    </row>
    <row r="360" spans="1:10" ht="15.75" hidden="1">
      <c r="A360" s="48" t="s">
        <v>100</v>
      </c>
      <c r="B360" s="49" t="s">
        <v>299</v>
      </c>
      <c r="C360" s="50" t="s">
        <v>101</v>
      </c>
      <c r="D360" s="50"/>
      <c r="E360" s="50"/>
      <c r="F360" s="51">
        <v>0</v>
      </c>
      <c r="G360" s="144">
        <f>SUM(Ведомственная!G253)</f>
        <v>0</v>
      </c>
      <c r="I360" s="145">
        <f t="shared" si="9"/>
        <v>0</v>
      </c>
      <c r="J360" s="145">
        <f t="shared" si="10"/>
        <v>0</v>
      </c>
    </row>
    <row r="361" spans="1:10" ht="31.5">
      <c r="A361" s="67" t="s">
        <v>548</v>
      </c>
      <c r="B361" s="70" t="s">
        <v>549</v>
      </c>
      <c r="C361" s="70"/>
      <c r="D361" s="70"/>
      <c r="E361" s="70"/>
      <c r="F361" s="71">
        <f>SUM(F362)</f>
        <v>3604.4</v>
      </c>
      <c r="I361" s="145">
        <f t="shared" si="9"/>
        <v>-3604.4</v>
      </c>
      <c r="J361" s="145">
        <f t="shared" si="10"/>
        <v>-3604.4</v>
      </c>
    </row>
    <row r="362" spans="1:10" ht="31.5">
      <c r="A362" s="67" t="s">
        <v>359</v>
      </c>
      <c r="B362" s="70" t="s">
        <v>549</v>
      </c>
      <c r="C362" s="70" t="s">
        <v>313</v>
      </c>
      <c r="D362" s="70" t="s">
        <v>188</v>
      </c>
      <c r="E362" s="70" t="s">
        <v>188</v>
      </c>
      <c r="F362" s="71">
        <v>3604.4</v>
      </c>
      <c r="G362" s="144">
        <f>SUM(Ведомственная!G334)</f>
        <v>3604.4</v>
      </c>
      <c r="I362" s="145">
        <f t="shared" si="9"/>
        <v>0</v>
      </c>
      <c r="J362" s="145">
        <f t="shared" si="10"/>
        <v>-3604.4</v>
      </c>
    </row>
    <row r="363" spans="1:10" ht="78.75">
      <c r="A363" s="48" t="s">
        <v>309</v>
      </c>
      <c r="B363" s="49" t="s">
        <v>310</v>
      </c>
      <c r="C363" s="49"/>
      <c r="D363" s="50"/>
      <c r="E363" s="50"/>
      <c r="F363" s="51">
        <f>SUM(F364)</f>
        <v>3591.5</v>
      </c>
      <c r="I363" s="145">
        <f t="shared" si="9"/>
        <v>-3591.5</v>
      </c>
      <c r="J363" s="145">
        <f t="shared" si="10"/>
        <v>-3591.5</v>
      </c>
    </row>
    <row r="364" spans="1:10" ht="31.5">
      <c r="A364" s="67" t="s">
        <v>359</v>
      </c>
      <c r="B364" s="49" t="s">
        <v>310</v>
      </c>
      <c r="C364" s="49">
        <v>400</v>
      </c>
      <c r="D364" s="50" t="s">
        <v>35</v>
      </c>
      <c r="E364" s="50" t="s">
        <v>82</v>
      </c>
      <c r="F364" s="51">
        <v>3591.5</v>
      </c>
      <c r="G364" s="144">
        <f>SUM(Ведомственная!G408)</f>
        <v>3591.5</v>
      </c>
      <c r="I364" s="145">
        <f t="shared" si="9"/>
        <v>0</v>
      </c>
      <c r="J364" s="145">
        <f t="shared" si="10"/>
        <v>-3591.5</v>
      </c>
    </row>
    <row r="365" spans="1:10" ht="63">
      <c r="A365" s="48" t="s">
        <v>539</v>
      </c>
      <c r="B365" s="49" t="s">
        <v>544</v>
      </c>
      <c r="C365" s="49"/>
      <c r="D365" s="50"/>
      <c r="E365" s="50"/>
      <c r="F365" s="51">
        <f>SUM(F366)</f>
        <v>60460.4</v>
      </c>
      <c r="I365" s="145">
        <f t="shared" si="9"/>
        <v>-60460.4</v>
      </c>
      <c r="J365" s="145">
        <f t="shared" si="10"/>
        <v>-60460.4</v>
      </c>
    </row>
    <row r="366" spans="1:10" ht="94.5">
      <c r="A366" s="48" t="s">
        <v>537</v>
      </c>
      <c r="B366" s="49" t="s">
        <v>545</v>
      </c>
      <c r="C366" s="49"/>
      <c r="D366" s="50"/>
      <c r="E366" s="50"/>
      <c r="F366" s="51">
        <f>SUM(F367+F369)</f>
        <v>60460.4</v>
      </c>
      <c r="I366" s="145">
        <f t="shared" si="9"/>
        <v>-60460.4</v>
      </c>
      <c r="J366" s="145">
        <f t="shared" si="10"/>
        <v>-60460.4</v>
      </c>
    </row>
    <row r="367" spans="1:10" ht="63">
      <c r="A367" s="67" t="s">
        <v>311</v>
      </c>
      <c r="B367" s="49" t="s">
        <v>546</v>
      </c>
      <c r="C367" s="49"/>
      <c r="D367" s="50"/>
      <c r="E367" s="50"/>
      <c r="F367" s="51">
        <f>SUM(F368)</f>
        <v>23246.1</v>
      </c>
      <c r="I367" s="145">
        <f t="shared" si="9"/>
        <v>-23246.1</v>
      </c>
      <c r="J367" s="145">
        <f t="shared" si="10"/>
        <v>-23246.1</v>
      </c>
    </row>
    <row r="368" spans="1:10" ht="31.5">
      <c r="A368" s="48" t="s">
        <v>312</v>
      </c>
      <c r="B368" s="49" t="s">
        <v>546</v>
      </c>
      <c r="C368" s="49">
        <v>400</v>
      </c>
      <c r="D368" s="50" t="s">
        <v>35</v>
      </c>
      <c r="E368" s="50" t="s">
        <v>17</v>
      </c>
      <c r="F368" s="51">
        <v>23246.1</v>
      </c>
      <c r="G368" s="144">
        <f>SUM(Ведомственная!G402)</f>
        <v>23246.1</v>
      </c>
      <c r="I368" s="145">
        <f t="shared" si="9"/>
        <v>0</v>
      </c>
      <c r="J368" s="145">
        <f t="shared" si="10"/>
        <v>-23246.1</v>
      </c>
    </row>
    <row r="369" spans="1:10" ht="47.25">
      <c r="A369" s="48" t="s">
        <v>314</v>
      </c>
      <c r="B369" s="50" t="s">
        <v>651</v>
      </c>
      <c r="C369" s="49"/>
      <c r="D369" s="50"/>
      <c r="E369" s="50"/>
      <c r="F369" s="51">
        <f>SUM(F370)</f>
        <v>37214.3</v>
      </c>
      <c r="I369" s="145">
        <f t="shared" si="9"/>
        <v>-37214.3</v>
      </c>
      <c r="J369" s="145">
        <f t="shared" si="10"/>
        <v>-37214.3</v>
      </c>
    </row>
    <row r="370" spans="1:10" ht="31.5">
      <c r="A370" s="48" t="s">
        <v>312</v>
      </c>
      <c r="B370" s="50" t="s">
        <v>651</v>
      </c>
      <c r="C370" s="50" t="s">
        <v>313</v>
      </c>
      <c r="D370" s="166" t="s">
        <v>35</v>
      </c>
      <c r="E370" s="166" t="s">
        <v>17</v>
      </c>
      <c r="F370" s="51">
        <v>37214.3</v>
      </c>
      <c r="G370" s="144">
        <f>SUM(Ведомственная!G404)</f>
        <v>37214.3</v>
      </c>
      <c r="I370" s="145">
        <f t="shared" si="9"/>
        <v>0</v>
      </c>
      <c r="J370" s="145">
        <f t="shared" si="10"/>
        <v>-37214.3</v>
      </c>
    </row>
    <row r="371" spans="1:10" ht="31.5">
      <c r="A371" s="74" t="s">
        <v>489</v>
      </c>
      <c r="B371" s="73" t="s">
        <v>275</v>
      </c>
      <c r="C371" s="73"/>
      <c r="D371" s="73"/>
      <c r="E371" s="73"/>
      <c r="F371" s="55">
        <f>F372</f>
        <v>78</v>
      </c>
      <c r="H371" s="146">
        <f>SUM(G372:G374)</f>
        <v>78</v>
      </c>
      <c r="I371" s="145">
        <f t="shared" si="9"/>
        <v>-78</v>
      </c>
      <c r="J371" s="145">
        <f t="shared" si="10"/>
        <v>0</v>
      </c>
    </row>
    <row r="372" spans="1:10" ht="15.75">
      <c r="A372" s="74" t="s">
        <v>39</v>
      </c>
      <c r="B372" s="73" t="s">
        <v>490</v>
      </c>
      <c r="C372" s="73"/>
      <c r="D372" s="73"/>
      <c r="E372" s="73"/>
      <c r="F372" s="55">
        <f>F373</f>
        <v>78</v>
      </c>
      <c r="I372" s="145">
        <f t="shared" si="9"/>
        <v>-78</v>
      </c>
      <c r="J372" s="145">
        <f t="shared" si="10"/>
        <v>-78</v>
      </c>
    </row>
    <row r="373" spans="1:10" ht="15.75">
      <c r="A373" s="97" t="s">
        <v>168</v>
      </c>
      <c r="B373" s="73" t="s">
        <v>491</v>
      </c>
      <c r="C373" s="73"/>
      <c r="D373" s="73"/>
      <c r="E373" s="73"/>
      <c r="F373" s="55">
        <f>F374</f>
        <v>78</v>
      </c>
      <c r="I373" s="145">
        <f t="shared" si="9"/>
        <v>-78</v>
      </c>
      <c r="J373" s="145">
        <f t="shared" si="10"/>
        <v>-78</v>
      </c>
    </row>
    <row r="374" spans="1:10" ht="31.5">
      <c r="A374" s="74" t="s">
        <v>56</v>
      </c>
      <c r="B374" s="73" t="s">
        <v>491</v>
      </c>
      <c r="C374" s="73" t="s">
        <v>101</v>
      </c>
      <c r="D374" s="73" t="s">
        <v>125</v>
      </c>
      <c r="E374" s="73" t="s">
        <v>125</v>
      </c>
      <c r="F374" s="55">
        <v>78</v>
      </c>
      <c r="G374" s="144">
        <f>SUM(Ведомственная!G894)</f>
        <v>78</v>
      </c>
      <c r="I374" s="145">
        <f t="shared" si="9"/>
        <v>0</v>
      </c>
      <c r="J374" s="145">
        <f t="shared" si="10"/>
        <v>-78</v>
      </c>
    </row>
    <row r="375" spans="1:10" ht="47.25">
      <c r="A375" s="74" t="s">
        <v>492</v>
      </c>
      <c r="B375" s="73" t="s">
        <v>493</v>
      </c>
      <c r="C375" s="73"/>
      <c r="D375" s="73"/>
      <c r="E375" s="73"/>
      <c r="F375" s="55">
        <f>F376</f>
        <v>78.5</v>
      </c>
      <c r="H375" s="146">
        <f>SUM(G376:G378)</f>
        <v>78.5</v>
      </c>
      <c r="I375" s="145">
        <f t="shared" si="9"/>
        <v>-78.5</v>
      </c>
      <c r="J375" s="145">
        <f t="shared" si="10"/>
        <v>0</v>
      </c>
    </row>
    <row r="376" spans="1:10" ht="15.75">
      <c r="A376" s="74" t="s">
        <v>39</v>
      </c>
      <c r="B376" s="73" t="s">
        <v>494</v>
      </c>
      <c r="C376" s="73"/>
      <c r="D376" s="73"/>
      <c r="E376" s="73"/>
      <c r="F376" s="55">
        <f>F377</f>
        <v>78.5</v>
      </c>
      <c r="I376" s="145">
        <f aca="true" t="shared" si="11" ref="I376:I439">G376-F376</f>
        <v>-78.5</v>
      </c>
      <c r="J376" s="145">
        <f t="shared" si="10"/>
        <v>-78.5</v>
      </c>
    </row>
    <row r="377" spans="1:10" ht="15.75">
      <c r="A377" s="97" t="s">
        <v>168</v>
      </c>
      <c r="B377" s="73" t="s">
        <v>495</v>
      </c>
      <c r="C377" s="73"/>
      <c r="D377" s="73"/>
      <c r="E377" s="73"/>
      <c r="F377" s="55">
        <f>F378</f>
        <v>78.5</v>
      </c>
      <c r="I377" s="145">
        <f t="shared" si="11"/>
        <v>-78.5</v>
      </c>
      <c r="J377" s="145">
        <f t="shared" si="10"/>
        <v>-78.5</v>
      </c>
    </row>
    <row r="378" spans="1:10" ht="31.5">
      <c r="A378" s="74" t="s">
        <v>56</v>
      </c>
      <c r="B378" s="73" t="s">
        <v>495</v>
      </c>
      <c r="C378" s="73" t="s">
        <v>101</v>
      </c>
      <c r="D378" s="73" t="s">
        <v>125</v>
      </c>
      <c r="E378" s="73" t="s">
        <v>125</v>
      </c>
      <c r="F378" s="55">
        <v>78.5</v>
      </c>
      <c r="G378" s="144">
        <f>SUM(Ведомственная!G897)</f>
        <v>78.5</v>
      </c>
      <c r="I378" s="145">
        <f t="shared" si="11"/>
        <v>0</v>
      </c>
      <c r="J378" s="145">
        <f t="shared" si="10"/>
        <v>-78.5</v>
      </c>
    </row>
    <row r="379" spans="1:10" ht="31.5">
      <c r="A379" s="74" t="s">
        <v>127</v>
      </c>
      <c r="B379" s="54" t="s">
        <v>128</v>
      </c>
      <c r="C379" s="54"/>
      <c r="D379" s="54"/>
      <c r="E379" s="54"/>
      <c r="F379" s="57">
        <f>F380+F389+F393+F399+F403+F411+F416+F446</f>
        <v>212688.90000000002</v>
      </c>
      <c r="H379" s="146">
        <f>SUM(G383:G451)</f>
        <v>212688.90000000002</v>
      </c>
      <c r="I379" s="145">
        <f t="shared" si="11"/>
        <v>-212688.90000000002</v>
      </c>
      <c r="J379" s="145">
        <f t="shared" si="10"/>
        <v>0</v>
      </c>
    </row>
    <row r="380" spans="1:10" ht="15.75">
      <c r="A380" s="74" t="s">
        <v>138</v>
      </c>
      <c r="B380" s="54" t="s">
        <v>139</v>
      </c>
      <c r="C380" s="54"/>
      <c r="D380" s="54"/>
      <c r="E380" s="54"/>
      <c r="F380" s="57">
        <f>F381+F384</f>
        <v>65957.4</v>
      </c>
      <c r="I380" s="145">
        <f t="shared" si="11"/>
        <v>-65957.4</v>
      </c>
      <c r="J380" s="145">
        <f t="shared" si="10"/>
        <v>-65957.4</v>
      </c>
    </row>
    <row r="381" spans="1:10" ht="47.25">
      <c r="A381" s="74" t="s">
        <v>30</v>
      </c>
      <c r="B381" s="54" t="s">
        <v>140</v>
      </c>
      <c r="C381" s="54"/>
      <c r="D381" s="54"/>
      <c r="E381" s="54"/>
      <c r="F381" s="57">
        <f>F382</f>
        <v>38558.2</v>
      </c>
      <c r="I381" s="145">
        <f t="shared" si="11"/>
        <v>-38558.2</v>
      </c>
      <c r="J381" s="145">
        <f t="shared" si="10"/>
        <v>-38558.2</v>
      </c>
    </row>
    <row r="382" spans="1:10" ht="15.75">
      <c r="A382" s="74" t="s">
        <v>141</v>
      </c>
      <c r="B382" s="54" t="s">
        <v>142</v>
      </c>
      <c r="C382" s="54"/>
      <c r="D382" s="54"/>
      <c r="E382" s="54"/>
      <c r="F382" s="57">
        <f>F383</f>
        <v>38558.2</v>
      </c>
      <c r="I382" s="145">
        <f t="shared" si="11"/>
        <v>-38558.2</v>
      </c>
      <c r="J382" s="145">
        <f t="shared" si="10"/>
        <v>-38558.2</v>
      </c>
    </row>
    <row r="383" spans="1:10" ht="31.5">
      <c r="A383" s="74" t="s">
        <v>134</v>
      </c>
      <c r="B383" s="54" t="s">
        <v>142</v>
      </c>
      <c r="C383" s="54" t="s">
        <v>135</v>
      </c>
      <c r="D383" s="54" t="s">
        <v>19</v>
      </c>
      <c r="E383" s="54" t="s">
        <v>38</v>
      </c>
      <c r="F383" s="57">
        <v>38558.2</v>
      </c>
      <c r="G383" s="144">
        <f>SUM(Ведомственная!G1004)</f>
        <v>38558.2</v>
      </c>
      <c r="I383" s="145">
        <f t="shared" si="11"/>
        <v>0</v>
      </c>
      <c r="J383" s="145">
        <f t="shared" si="10"/>
        <v>-38558.2</v>
      </c>
    </row>
    <row r="384" spans="1:10" ht="31.5">
      <c r="A384" s="74" t="s">
        <v>49</v>
      </c>
      <c r="B384" s="54" t="s">
        <v>143</v>
      </c>
      <c r="C384" s="54"/>
      <c r="D384" s="54"/>
      <c r="E384" s="54"/>
      <c r="F384" s="57">
        <f>F385</f>
        <v>27399.199999999997</v>
      </c>
      <c r="I384" s="145">
        <f t="shared" si="11"/>
        <v>-27399.199999999997</v>
      </c>
      <c r="J384" s="145">
        <f t="shared" si="10"/>
        <v>-27399.199999999997</v>
      </c>
    </row>
    <row r="385" spans="1:10" ht="15.75">
      <c r="A385" s="74" t="s">
        <v>141</v>
      </c>
      <c r="B385" s="54" t="s">
        <v>144</v>
      </c>
      <c r="C385" s="54"/>
      <c r="D385" s="54"/>
      <c r="E385" s="54"/>
      <c r="F385" s="57">
        <f>F386+F387+F388</f>
        <v>27399.199999999997</v>
      </c>
      <c r="I385" s="145">
        <f t="shared" si="11"/>
        <v>-27399.199999999997</v>
      </c>
      <c r="J385" s="145">
        <f t="shared" si="10"/>
        <v>-27399.199999999997</v>
      </c>
    </row>
    <row r="386" spans="1:10" ht="63">
      <c r="A386" s="74" t="s">
        <v>145</v>
      </c>
      <c r="B386" s="54" t="s">
        <v>144</v>
      </c>
      <c r="C386" s="54" t="s">
        <v>99</v>
      </c>
      <c r="D386" s="54" t="s">
        <v>19</v>
      </c>
      <c r="E386" s="54" t="s">
        <v>38</v>
      </c>
      <c r="F386" s="57">
        <v>23640</v>
      </c>
      <c r="G386" s="144">
        <f>SUM(Ведомственная!G1007)</f>
        <v>23640</v>
      </c>
      <c r="I386" s="145">
        <f t="shared" si="11"/>
        <v>0</v>
      </c>
      <c r="J386" s="145">
        <f t="shared" si="10"/>
        <v>-23640</v>
      </c>
    </row>
    <row r="387" spans="1:10" ht="31.5">
      <c r="A387" s="74" t="s">
        <v>56</v>
      </c>
      <c r="B387" s="54" t="s">
        <v>144</v>
      </c>
      <c r="C387" s="54" t="s">
        <v>101</v>
      </c>
      <c r="D387" s="54" t="s">
        <v>19</v>
      </c>
      <c r="E387" s="54" t="s">
        <v>38</v>
      </c>
      <c r="F387" s="55">
        <v>3355.6</v>
      </c>
      <c r="G387" s="144">
        <f>SUM(Ведомственная!G1008)</f>
        <v>3355.6</v>
      </c>
      <c r="I387" s="145">
        <f t="shared" si="11"/>
        <v>0</v>
      </c>
      <c r="J387" s="145">
        <f t="shared" si="10"/>
        <v>-3355.6</v>
      </c>
    </row>
    <row r="388" spans="1:10" ht="15.75">
      <c r="A388" s="74" t="s">
        <v>26</v>
      </c>
      <c r="B388" s="54" t="s">
        <v>144</v>
      </c>
      <c r="C388" s="54" t="s">
        <v>106</v>
      </c>
      <c r="D388" s="54" t="s">
        <v>19</v>
      </c>
      <c r="E388" s="54" t="s">
        <v>38</v>
      </c>
      <c r="F388" s="57">
        <v>403.6</v>
      </c>
      <c r="G388" s="144">
        <f>SUM(Ведомственная!G1009)</f>
        <v>403.6</v>
      </c>
      <c r="I388" s="145">
        <f t="shared" si="11"/>
        <v>0</v>
      </c>
      <c r="J388" s="145">
        <f t="shared" si="10"/>
        <v>-403.6</v>
      </c>
    </row>
    <row r="389" spans="1:10" ht="15.75">
      <c r="A389" s="74" t="s">
        <v>129</v>
      </c>
      <c r="B389" s="54" t="s">
        <v>130</v>
      </c>
      <c r="C389" s="54"/>
      <c r="D389" s="54"/>
      <c r="E389" s="54"/>
      <c r="F389" s="57">
        <f>F390</f>
        <v>73193.3</v>
      </c>
      <c r="I389" s="145">
        <f t="shared" si="11"/>
        <v>-73193.3</v>
      </c>
      <c r="J389" s="145">
        <f t="shared" si="10"/>
        <v>-73193.3</v>
      </c>
    </row>
    <row r="390" spans="1:10" ht="47.25">
      <c r="A390" s="74" t="s">
        <v>30</v>
      </c>
      <c r="B390" s="54" t="s">
        <v>131</v>
      </c>
      <c r="C390" s="54"/>
      <c r="D390" s="54"/>
      <c r="E390" s="54"/>
      <c r="F390" s="57">
        <f>F391</f>
        <v>73193.3</v>
      </c>
      <c r="I390" s="145">
        <f t="shared" si="11"/>
        <v>-73193.3</v>
      </c>
      <c r="J390" s="145">
        <f t="shared" si="10"/>
        <v>-73193.3</v>
      </c>
    </row>
    <row r="391" spans="1:10" ht="15.75">
      <c r="A391" s="74" t="s">
        <v>132</v>
      </c>
      <c r="B391" s="54" t="s">
        <v>133</v>
      </c>
      <c r="C391" s="54"/>
      <c r="D391" s="54"/>
      <c r="E391" s="54"/>
      <c r="F391" s="57">
        <f>F392</f>
        <v>73193.3</v>
      </c>
      <c r="I391" s="145">
        <f t="shared" si="11"/>
        <v>-73193.3</v>
      </c>
      <c r="J391" s="145">
        <f t="shared" si="10"/>
        <v>-73193.3</v>
      </c>
    </row>
    <row r="392" spans="1:10" ht="31.5">
      <c r="A392" s="74" t="s">
        <v>134</v>
      </c>
      <c r="B392" s="54" t="s">
        <v>133</v>
      </c>
      <c r="C392" s="54" t="s">
        <v>135</v>
      </c>
      <c r="D392" s="54" t="s">
        <v>125</v>
      </c>
      <c r="E392" s="54" t="s">
        <v>58</v>
      </c>
      <c r="F392" s="57">
        <v>73193.3</v>
      </c>
      <c r="G392" s="144">
        <f>SUM(Ведомственная!G982)</f>
        <v>73193.3</v>
      </c>
      <c r="I392" s="145">
        <f t="shared" si="11"/>
        <v>0</v>
      </c>
      <c r="J392" s="145">
        <f t="shared" si="10"/>
        <v>-73193.3</v>
      </c>
    </row>
    <row r="393" spans="1:10" ht="31.5">
      <c r="A393" s="74" t="s">
        <v>146</v>
      </c>
      <c r="B393" s="54" t="s">
        <v>147</v>
      </c>
      <c r="C393" s="54"/>
      <c r="D393" s="54"/>
      <c r="E393" s="54"/>
      <c r="F393" s="57">
        <f>F394</f>
        <v>49994.2</v>
      </c>
      <c r="I393" s="145">
        <f t="shared" si="11"/>
        <v>-49994.2</v>
      </c>
      <c r="J393" s="145">
        <f t="shared" si="10"/>
        <v>-49994.2</v>
      </c>
    </row>
    <row r="394" spans="1:10" ht="31.5">
      <c r="A394" s="74" t="s">
        <v>49</v>
      </c>
      <c r="B394" s="54" t="s">
        <v>148</v>
      </c>
      <c r="C394" s="54"/>
      <c r="D394" s="54"/>
      <c r="E394" s="54"/>
      <c r="F394" s="57">
        <f>F395</f>
        <v>49994.2</v>
      </c>
      <c r="I394" s="145">
        <f t="shared" si="11"/>
        <v>-49994.2</v>
      </c>
      <c r="J394" s="145">
        <f t="shared" si="10"/>
        <v>-49994.2</v>
      </c>
    </row>
    <row r="395" spans="1:10" ht="15.75">
      <c r="A395" s="74" t="s">
        <v>149</v>
      </c>
      <c r="B395" s="54" t="s">
        <v>150</v>
      </c>
      <c r="C395" s="54"/>
      <c r="D395" s="54"/>
      <c r="E395" s="54"/>
      <c r="F395" s="57">
        <f>F396+F397+F398</f>
        <v>49994.2</v>
      </c>
      <c r="I395" s="145">
        <f t="shared" si="11"/>
        <v>-49994.2</v>
      </c>
      <c r="J395" s="145">
        <f t="shared" si="10"/>
        <v>-49994.2</v>
      </c>
    </row>
    <row r="396" spans="1:10" ht="63">
      <c r="A396" s="74" t="s">
        <v>145</v>
      </c>
      <c r="B396" s="54" t="s">
        <v>150</v>
      </c>
      <c r="C396" s="54" t="s">
        <v>99</v>
      </c>
      <c r="D396" s="54" t="s">
        <v>19</v>
      </c>
      <c r="E396" s="54" t="s">
        <v>38</v>
      </c>
      <c r="F396" s="57">
        <v>43780.9</v>
      </c>
      <c r="G396" s="144">
        <f>SUM(Ведомственная!G1013)</f>
        <v>43780.9</v>
      </c>
      <c r="I396" s="145">
        <f t="shared" si="11"/>
        <v>0</v>
      </c>
      <c r="J396" s="145">
        <f t="shared" si="10"/>
        <v>-43780.9</v>
      </c>
    </row>
    <row r="397" spans="1:10" ht="31.5">
      <c r="A397" s="74" t="s">
        <v>56</v>
      </c>
      <c r="B397" s="54" t="s">
        <v>150</v>
      </c>
      <c r="C397" s="54" t="s">
        <v>101</v>
      </c>
      <c r="D397" s="54" t="s">
        <v>19</v>
      </c>
      <c r="E397" s="54" t="s">
        <v>38</v>
      </c>
      <c r="F397" s="55">
        <v>5685.1</v>
      </c>
      <c r="G397" s="144">
        <f>SUM(Ведомственная!G1014)</f>
        <v>5685.1</v>
      </c>
      <c r="I397" s="145">
        <f t="shared" si="11"/>
        <v>0</v>
      </c>
      <c r="J397" s="145">
        <f t="shared" si="10"/>
        <v>-5685.1</v>
      </c>
    </row>
    <row r="398" spans="1:10" ht="15.75">
      <c r="A398" s="74" t="s">
        <v>26</v>
      </c>
      <c r="B398" s="54" t="s">
        <v>150</v>
      </c>
      <c r="C398" s="54" t="s">
        <v>106</v>
      </c>
      <c r="D398" s="54" t="s">
        <v>19</v>
      </c>
      <c r="E398" s="54" t="s">
        <v>38</v>
      </c>
      <c r="F398" s="57">
        <v>528.2</v>
      </c>
      <c r="G398" s="144">
        <f>SUM(Ведомственная!G1015)</f>
        <v>528.2</v>
      </c>
      <c r="I398" s="145">
        <f t="shared" si="11"/>
        <v>0</v>
      </c>
      <c r="J398" s="145">
        <f t="shared" si="10"/>
        <v>-528.2</v>
      </c>
    </row>
    <row r="399" spans="1:10" ht="31.5">
      <c r="A399" s="74" t="s">
        <v>151</v>
      </c>
      <c r="B399" s="54" t="s">
        <v>152</v>
      </c>
      <c r="C399" s="54"/>
      <c r="D399" s="54"/>
      <c r="E399" s="54"/>
      <c r="F399" s="57">
        <f>F400</f>
        <v>9015.7</v>
      </c>
      <c r="I399" s="145">
        <f t="shared" si="11"/>
        <v>-9015.7</v>
      </c>
      <c r="J399" s="145">
        <f aca="true" t="shared" si="12" ref="J399:J507">SUM(H399-F399)</f>
        <v>-9015.7</v>
      </c>
    </row>
    <row r="400" spans="1:10" ht="47.25">
      <c r="A400" s="74" t="s">
        <v>30</v>
      </c>
      <c r="B400" s="54" t="s">
        <v>153</v>
      </c>
      <c r="C400" s="54"/>
      <c r="D400" s="54"/>
      <c r="E400" s="54"/>
      <c r="F400" s="57">
        <f>F401</f>
        <v>9015.7</v>
      </c>
      <c r="I400" s="145">
        <f t="shared" si="11"/>
        <v>-9015.7</v>
      </c>
      <c r="J400" s="145">
        <f t="shared" si="12"/>
        <v>-9015.7</v>
      </c>
    </row>
    <row r="401" spans="1:10" ht="15.75">
      <c r="A401" s="74" t="s">
        <v>154</v>
      </c>
      <c r="B401" s="54" t="s">
        <v>155</v>
      </c>
      <c r="C401" s="54"/>
      <c r="D401" s="54"/>
      <c r="E401" s="54"/>
      <c r="F401" s="57">
        <f>F402</f>
        <v>9015.7</v>
      </c>
      <c r="I401" s="145">
        <f t="shared" si="11"/>
        <v>-9015.7</v>
      </c>
      <c r="J401" s="145">
        <f t="shared" si="12"/>
        <v>-9015.7</v>
      </c>
    </row>
    <row r="402" spans="1:10" ht="31.5">
      <c r="A402" s="74" t="s">
        <v>134</v>
      </c>
      <c r="B402" s="54" t="s">
        <v>155</v>
      </c>
      <c r="C402" s="54" t="s">
        <v>135</v>
      </c>
      <c r="D402" s="54" t="s">
        <v>19</v>
      </c>
      <c r="E402" s="54" t="s">
        <v>38</v>
      </c>
      <c r="F402" s="57">
        <v>9015.7</v>
      </c>
      <c r="G402" s="144">
        <f>SUM(Ведомственная!G1019)</f>
        <v>9015.7</v>
      </c>
      <c r="I402" s="145">
        <f t="shared" si="11"/>
        <v>0</v>
      </c>
      <c r="J402" s="145">
        <f t="shared" si="12"/>
        <v>-9015.7</v>
      </c>
    </row>
    <row r="403" spans="1:10" ht="31.5">
      <c r="A403" s="74" t="s">
        <v>164</v>
      </c>
      <c r="B403" s="54" t="s">
        <v>165</v>
      </c>
      <c r="C403" s="75"/>
      <c r="D403" s="54"/>
      <c r="E403" s="54"/>
      <c r="F403" s="57">
        <f>F407+F404</f>
        <v>866</v>
      </c>
      <c r="I403" s="145">
        <f t="shared" si="11"/>
        <v>-866</v>
      </c>
      <c r="J403" s="145">
        <f t="shared" si="12"/>
        <v>-866</v>
      </c>
    </row>
    <row r="404" spans="1:10" ht="15.75">
      <c r="A404" s="74" t="s">
        <v>39</v>
      </c>
      <c r="B404" s="54" t="s">
        <v>660</v>
      </c>
      <c r="C404" s="75"/>
      <c r="D404" s="54"/>
      <c r="E404" s="54"/>
      <c r="F404" s="57">
        <f>F405</f>
        <v>366.1</v>
      </c>
      <c r="I404" s="145">
        <f>G404-F404</f>
        <v>-366.1</v>
      </c>
      <c r="J404" s="145">
        <f>SUM(H404-F404)</f>
        <v>-366.1</v>
      </c>
    </row>
    <row r="405" spans="1:10" ht="25.5" customHeight="1">
      <c r="A405" s="74" t="s">
        <v>141</v>
      </c>
      <c r="B405" s="54" t="s">
        <v>661</v>
      </c>
      <c r="C405" s="75"/>
      <c r="D405" s="54"/>
      <c r="E405" s="54"/>
      <c r="F405" s="57">
        <f>F406</f>
        <v>366.1</v>
      </c>
      <c r="I405" s="145">
        <f>G405-F405</f>
        <v>-366.1</v>
      </c>
      <c r="J405" s="145">
        <f>SUM(H405-F405)</f>
        <v>-366.1</v>
      </c>
    </row>
    <row r="406" spans="1:10" ht="31.5">
      <c r="A406" s="74" t="s">
        <v>56</v>
      </c>
      <c r="B406" s="54" t="s">
        <v>661</v>
      </c>
      <c r="C406" s="75" t="s">
        <v>101</v>
      </c>
      <c r="D406" s="54" t="s">
        <v>19</v>
      </c>
      <c r="E406" s="54" t="s">
        <v>17</v>
      </c>
      <c r="F406" s="57">
        <v>366.1</v>
      </c>
      <c r="G406" s="144">
        <f>Ведомственная!G1025</f>
        <v>366.1</v>
      </c>
      <c r="I406" s="145">
        <f t="shared" si="11"/>
        <v>0</v>
      </c>
      <c r="J406" s="145">
        <f t="shared" si="12"/>
        <v>-366.1</v>
      </c>
    </row>
    <row r="407" spans="1:10" ht="15.75">
      <c r="A407" s="74" t="s">
        <v>166</v>
      </c>
      <c r="B407" s="54" t="s">
        <v>167</v>
      </c>
      <c r="C407" s="75"/>
      <c r="D407" s="54"/>
      <c r="E407" s="54"/>
      <c r="F407" s="57">
        <f>F408</f>
        <v>499.9</v>
      </c>
      <c r="I407" s="145">
        <f t="shared" si="11"/>
        <v>-499.9</v>
      </c>
      <c r="J407" s="145">
        <f t="shared" si="12"/>
        <v>-499.9</v>
      </c>
    </row>
    <row r="408" spans="1:10" ht="15.75">
      <c r="A408" s="74" t="s">
        <v>154</v>
      </c>
      <c r="B408" s="54" t="s">
        <v>658</v>
      </c>
      <c r="C408" s="75"/>
      <c r="D408" s="54"/>
      <c r="E408" s="54"/>
      <c r="F408" s="57">
        <f>F409</f>
        <v>499.9</v>
      </c>
      <c r="I408" s="145">
        <f t="shared" si="11"/>
        <v>-499.9</v>
      </c>
      <c r="J408" s="145">
        <f t="shared" si="12"/>
        <v>-499.9</v>
      </c>
    </row>
    <row r="409" spans="1:10" ht="31.5">
      <c r="A409" s="74" t="s">
        <v>460</v>
      </c>
      <c r="B409" s="54" t="s">
        <v>659</v>
      </c>
      <c r="C409" s="75"/>
      <c r="D409" s="54"/>
      <c r="E409" s="54"/>
      <c r="F409" s="57">
        <f>F410</f>
        <v>499.9</v>
      </c>
      <c r="I409" s="145">
        <f t="shared" si="11"/>
        <v>-499.9</v>
      </c>
      <c r="J409" s="145">
        <f t="shared" si="12"/>
        <v>-499.9</v>
      </c>
    </row>
    <row r="410" spans="1:10" ht="31.5">
      <c r="A410" s="74" t="s">
        <v>76</v>
      </c>
      <c r="B410" s="54" t="s">
        <v>659</v>
      </c>
      <c r="C410" s="75" t="s">
        <v>135</v>
      </c>
      <c r="D410" s="54" t="s">
        <v>19</v>
      </c>
      <c r="E410" s="54" t="s">
        <v>17</v>
      </c>
      <c r="F410" s="57">
        <v>499.9</v>
      </c>
      <c r="G410" s="144">
        <f>Ведомственная!G1029</f>
        <v>499.9</v>
      </c>
      <c r="I410" s="145">
        <f t="shared" si="11"/>
        <v>0</v>
      </c>
      <c r="J410" s="145">
        <f t="shared" si="12"/>
        <v>-499.9</v>
      </c>
    </row>
    <row r="411" spans="1:10" ht="15.75">
      <c r="A411" s="74" t="s">
        <v>169</v>
      </c>
      <c r="B411" s="54" t="s">
        <v>170</v>
      </c>
      <c r="C411" s="75"/>
      <c r="D411" s="54"/>
      <c r="E411" s="54"/>
      <c r="F411" s="57">
        <f>F412</f>
        <v>1496.8</v>
      </c>
      <c r="I411" s="145">
        <f t="shared" si="11"/>
        <v>-1496.8</v>
      </c>
      <c r="J411" s="145"/>
    </row>
    <row r="412" spans="1:10" ht="15.75">
      <c r="A412" s="74" t="s">
        <v>39</v>
      </c>
      <c r="B412" s="54" t="s">
        <v>662</v>
      </c>
      <c r="C412" s="75"/>
      <c r="D412" s="54"/>
      <c r="E412" s="54"/>
      <c r="F412" s="57">
        <f>F413</f>
        <v>1496.8</v>
      </c>
      <c r="I412" s="145">
        <f t="shared" si="11"/>
        <v>-1496.8</v>
      </c>
      <c r="J412" s="145"/>
    </row>
    <row r="413" spans="1:10" ht="15.75">
      <c r="A413" s="74" t="s">
        <v>168</v>
      </c>
      <c r="B413" s="54" t="s">
        <v>663</v>
      </c>
      <c r="C413" s="75"/>
      <c r="D413" s="54"/>
      <c r="E413" s="54"/>
      <c r="F413" s="57">
        <f>F414+F415</f>
        <v>1496.8</v>
      </c>
      <c r="I413" s="145">
        <f t="shared" si="11"/>
        <v>-1496.8</v>
      </c>
      <c r="J413" s="145"/>
    </row>
    <row r="414" spans="1:10" ht="63" hidden="1">
      <c r="A414" s="74" t="s">
        <v>145</v>
      </c>
      <c r="B414" s="54" t="s">
        <v>663</v>
      </c>
      <c r="C414" s="75" t="s">
        <v>99</v>
      </c>
      <c r="D414" s="54" t="s">
        <v>19</v>
      </c>
      <c r="E414" s="54" t="s">
        <v>17</v>
      </c>
      <c r="F414" s="57"/>
      <c r="G414" s="144">
        <f>Ведомственная!G1033</f>
        <v>0</v>
      </c>
      <c r="I414" s="145">
        <f t="shared" si="11"/>
        <v>0</v>
      </c>
      <c r="J414" s="145"/>
    </row>
    <row r="415" spans="1:10" ht="31.5">
      <c r="A415" s="74" t="s">
        <v>56</v>
      </c>
      <c r="B415" s="54" t="s">
        <v>663</v>
      </c>
      <c r="C415" s="75" t="s">
        <v>101</v>
      </c>
      <c r="D415" s="54" t="s">
        <v>19</v>
      </c>
      <c r="E415" s="54" t="s">
        <v>17</v>
      </c>
      <c r="F415" s="57">
        <v>1496.8</v>
      </c>
      <c r="G415" s="144">
        <f>Ведомственная!G1034</f>
        <v>1496.8</v>
      </c>
      <c r="I415" s="145">
        <f t="shared" si="11"/>
        <v>0</v>
      </c>
      <c r="J415" s="145"/>
    </row>
    <row r="416" spans="1:10" ht="31.5">
      <c r="A416" s="74" t="s">
        <v>171</v>
      </c>
      <c r="B416" s="54" t="s">
        <v>172</v>
      </c>
      <c r="C416" s="75"/>
      <c r="D416" s="54"/>
      <c r="E416" s="54"/>
      <c r="F416" s="57">
        <f>F417+F425</f>
        <v>4294.8</v>
      </c>
      <c r="I416" s="145">
        <f t="shared" si="11"/>
        <v>-4294.8</v>
      </c>
      <c r="J416" s="145"/>
    </row>
    <row r="417" spans="1:10" ht="15.75">
      <c r="A417" s="74" t="s">
        <v>39</v>
      </c>
      <c r="B417" s="54" t="s">
        <v>664</v>
      </c>
      <c r="C417" s="75"/>
      <c r="D417" s="54"/>
      <c r="E417" s="54"/>
      <c r="F417" s="57">
        <f>F418</f>
        <v>1391.2</v>
      </c>
      <c r="I417" s="145">
        <f t="shared" si="11"/>
        <v>-1391.2</v>
      </c>
      <c r="J417" s="145"/>
    </row>
    <row r="418" spans="1:10" ht="15.75">
      <c r="A418" s="74" t="s">
        <v>168</v>
      </c>
      <c r="B418" s="54" t="s">
        <v>665</v>
      </c>
      <c r="C418" s="75"/>
      <c r="D418" s="54"/>
      <c r="E418" s="54"/>
      <c r="F418" s="57">
        <f>F419+F421+F423</f>
        <v>1391.2</v>
      </c>
      <c r="I418" s="145">
        <f t="shared" si="11"/>
        <v>-1391.2</v>
      </c>
      <c r="J418" s="145"/>
    </row>
    <row r="419" spans="1:10" ht="15.75">
      <c r="A419" s="74" t="s">
        <v>141</v>
      </c>
      <c r="B419" s="54" t="s">
        <v>666</v>
      </c>
      <c r="C419" s="75"/>
      <c r="D419" s="54"/>
      <c r="E419" s="54"/>
      <c r="F419" s="57">
        <f>F420</f>
        <v>898.9</v>
      </c>
      <c r="I419" s="145">
        <f t="shared" si="11"/>
        <v>-898.9</v>
      </c>
      <c r="J419" s="145"/>
    </row>
    <row r="420" spans="1:10" ht="31.5">
      <c r="A420" s="74" t="s">
        <v>56</v>
      </c>
      <c r="B420" s="54" t="s">
        <v>666</v>
      </c>
      <c r="C420" s="75" t="s">
        <v>101</v>
      </c>
      <c r="D420" s="54" t="s">
        <v>19</v>
      </c>
      <c r="E420" s="54" t="s">
        <v>17</v>
      </c>
      <c r="F420" s="57">
        <v>898.9</v>
      </c>
      <c r="G420" s="144">
        <f>Ведомственная!G1039</f>
        <v>898.9</v>
      </c>
      <c r="I420" s="145">
        <f t="shared" si="11"/>
        <v>0</v>
      </c>
      <c r="J420" s="145"/>
    </row>
    <row r="421" spans="1:10" ht="15.75">
      <c r="A421" s="74" t="s">
        <v>149</v>
      </c>
      <c r="B421" s="54" t="s">
        <v>667</v>
      </c>
      <c r="C421" s="75"/>
      <c r="D421" s="54"/>
      <c r="E421" s="54"/>
      <c r="F421" s="57">
        <f>F422</f>
        <v>414.3</v>
      </c>
      <c r="I421" s="145">
        <f t="shared" si="11"/>
        <v>-414.3</v>
      </c>
      <c r="J421" s="145"/>
    </row>
    <row r="422" spans="1:10" ht="31.5">
      <c r="A422" s="74" t="s">
        <v>56</v>
      </c>
      <c r="B422" s="54" t="s">
        <v>667</v>
      </c>
      <c r="C422" s="75" t="s">
        <v>101</v>
      </c>
      <c r="D422" s="54" t="s">
        <v>19</v>
      </c>
      <c r="E422" s="54" t="s">
        <v>17</v>
      </c>
      <c r="F422" s="57">
        <v>414.3</v>
      </c>
      <c r="G422" s="144">
        <f>Ведомственная!G1041</f>
        <v>414.3</v>
      </c>
      <c r="I422" s="145">
        <f t="shared" si="11"/>
        <v>0</v>
      </c>
      <c r="J422" s="145"/>
    </row>
    <row r="423" spans="1:10" ht="15.75">
      <c r="A423" s="98" t="s">
        <v>162</v>
      </c>
      <c r="B423" s="54" t="s">
        <v>668</v>
      </c>
      <c r="C423" s="75"/>
      <c r="D423" s="54"/>
      <c r="E423" s="54"/>
      <c r="F423" s="57">
        <f>F424</f>
        <v>78</v>
      </c>
      <c r="I423" s="145">
        <f t="shared" si="11"/>
        <v>-78</v>
      </c>
      <c r="J423" s="145"/>
    </row>
    <row r="424" spans="1:10" ht="31.5">
      <c r="A424" s="74" t="s">
        <v>56</v>
      </c>
      <c r="B424" s="54" t="s">
        <v>668</v>
      </c>
      <c r="C424" s="75" t="s">
        <v>101</v>
      </c>
      <c r="D424" s="54" t="s">
        <v>19</v>
      </c>
      <c r="E424" s="54" t="s">
        <v>17</v>
      </c>
      <c r="F424" s="57">
        <v>78</v>
      </c>
      <c r="G424" s="144">
        <f>Ведомственная!G1043</f>
        <v>78</v>
      </c>
      <c r="I424" s="145">
        <f t="shared" si="11"/>
        <v>0</v>
      </c>
      <c r="J424" s="145"/>
    </row>
    <row r="425" spans="1:10" ht="15.75">
      <c r="A425" s="74" t="s">
        <v>166</v>
      </c>
      <c r="B425" s="54" t="s">
        <v>173</v>
      </c>
      <c r="C425" s="75"/>
      <c r="D425" s="54"/>
      <c r="E425" s="54"/>
      <c r="F425" s="57">
        <f>F426+F429+F439+F434</f>
        <v>2903.6</v>
      </c>
      <c r="I425" s="145">
        <f t="shared" si="11"/>
        <v>-2903.6</v>
      </c>
      <c r="J425" s="145"/>
    </row>
    <row r="426" spans="1:10" ht="31.5">
      <c r="A426" s="74" t="s">
        <v>174</v>
      </c>
      <c r="B426" s="54" t="s">
        <v>175</v>
      </c>
      <c r="C426" s="75"/>
      <c r="D426" s="54"/>
      <c r="E426" s="54"/>
      <c r="F426" s="57">
        <f>F427</f>
        <v>1180</v>
      </c>
      <c r="I426" s="145">
        <f t="shared" si="11"/>
        <v>-1180</v>
      </c>
      <c r="J426" s="145"/>
    </row>
    <row r="427" spans="1:10" ht="15.75">
      <c r="A427" s="74" t="s">
        <v>141</v>
      </c>
      <c r="B427" s="54" t="s">
        <v>669</v>
      </c>
      <c r="C427" s="75"/>
      <c r="D427" s="54"/>
      <c r="E427" s="54"/>
      <c r="F427" s="57">
        <f>F428</f>
        <v>1180</v>
      </c>
      <c r="I427" s="145">
        <f t="shared" si="11"/>
        <v>-1180</v>
      </c>
      <c r="J427" s="145"/>
    </row>
    <row r="428" spans="1:10" ht="31.5">
      <c r="A428" s="74" t="s">
        <v>134</v>
      </c>
      <c r="B428" s="54" t="s">
        <v>669</v>
      </c>
      <c r="C428" s="75" t="s">
        <v>135</v>
      </c>
      <c r="D428" s="54" t="s">
        <v>19</v>
      </c>
      <c r="E428" s="54" t="s">
        <v>17</v>
      </c>
      <c r="F428" s="57">
        <v>1180</v>
      </c>
      <c r="G428" s="144">
        <f>Ведомственная!G1047</f>
        <v>1180</v>
      </c>
      <c r="I428" s="145">
        <f t="shared" si="11"/>
        <v>0</v>
      </c>
      <c r="J428" s="145"/>
    </row>
    <row r="429" spans="1:10" ht="31.5">
      <c r="A429" s="74" t="s">
        <v>670</v>
      </c>
      <c r="B429" s="54" t="s">
        <v>671</v>
      </c>
      <c r="C429" s="75"/>
      <c r="D429" s="54"/>
      <c r="E429" s="54"/>
      <c r="F429" s="57">
        <f>F430+F432</f>
        <v>971.3</v>
      </c>
      <c r="I429" s="145">
        <f t="shared" si="11"/>
        <v>-971.3</v>
      </c>
      <c r="J429" s="145"/>
    </row>
    <row r="430" spans="1:10" ht="15.75">
      <c r="A430" s="76" t="s">
        <v>132</v>
      </c>
      <c r="B430" s="54" t="s">
        <v>672</v>
      </c>
      <c r="C430" s="75"/>
      <c r="D430" s="54"/>
      <c r="E430" s="54"/>
      <c r="F430" s="57">
        <f>F431</f>
        <v>946.3</v>
      </c>
      <c r="I430" s="145">
        <f t="shared" si="11"/>
        <v>-946.3</v>
      </c>
      <c r="J430" s="145"/>
    </row>
    <row r="431" spans="1:10" ht="31.5">
      <c r="A431" s="74" t="s">
        <v>134</v>
      </c>
      <c r="B431" s="54" t="s">
        <v>672</v>
      </c>
      <c r="C431" s="75" t="s">
        <v>135</v>
      </c>
      <c r="D431" s="54" t="s">
        <v>19</v>
      </c>
      <c r="E431" s="54" t="s">
        <v>17</v>
      </c>
      <c r="F431" s="57">
        <v>946.3</v>
      </c>
      <c r="G431" s="144">
        <f>Ведомственная!G1050</f>
        <v>946.3</v>
      </c>
      <c r="I431" s="145">
        <f t="shared" si="11"/>
        <v>0</v>
      </c>
      <c r="J431" s="145"/>
    </row>
    <row r="432" spans="1:10" ht="15.75">
      <c r="A432" s="48" t="s">
        <v>141</v>
      </c>
      <c r="B432" s="77" t="s">
        <v>701</v>
      </c>
      <c r="C432" s="72"/>
      <c r="D432" s="54"/>
      <c r="E432" s="54"/>
      <c r="F432" s="61">
        <f>F433</f>
        <v>25</v>
      </c>
      <c r="I432" s="145">
        <f t="shared" si="11"/>
        <v>-25</v>
      </c>
      <c r="J432" s="145"/>
    </row>
    <row r="433" spans="1:10" ht="31.5">
      <c r="A433" s="48" t="s">
        <v>134</v>
      </c>
      <c r="B433" s="77" t="s">
        <v>701</v>
      </c>
      <c r="C433" s="72" t="s">
        <v>135</v>
      </c>
      <c r="D433" s="54" t="s">
        <v>19</v>
      </c>
      <c r="E433" s="54" t="s">
        <v>17</v>
      </c>
      <c r="F433" s="61">
        <v>25</v>
      </c>
      <c r="G433" s="144">
        <f>Ведомственная!G1052</f>
        <v>25</v>
      </c>
      <c r="I433" s="145">
        <f t="shared" si="11"/>
        <v>0</v>
      </c>
      <c r="J433" s="145"/>
    </row>
    <row r="434" spans="1:10" ht="31.5">
      <c r="A434" s="48" t="s">
        <v>335</v>
      </c>
      <c r="B434" s="77" t="s">
        <v>702</v>
      </c>
      <c r="C434" s="72"/>
      <c r="D434" s="54"/>
      <c r="E434" s="54"/>
      <c r="F434" s="61">
        <f>F435+F437</f>
        <v>28.2</v>
      </c>
      <c r="I434" s="145">
        <f t="shared" si="11"/>
        <v>-28.2</v>
      </c>
      <c r="J434" s="145"/>
    </row>
    <row r="435" spans="1:10" ht="15.75">
      <c r="A435" s="78" t="s">
        <v>132</v>
      </c>
      <c r="B435" s="77" t="s">
        <v>703</v>
      </c>
      <c r="C435" s="72"/>
      <c r="D435" s="54"/>
      <c r="E435" s="54"/>
      <c r="F435" s="61">
        <f>F436</f>
        <v>14</v>
      </c>
      <c r="I435" s="145">
        <f t="shared" si="11"/>
        <v>-14</v>
      </c>
      <c r="J435" s="145"/>
    </row>
    <row r="436" spans="1:10" ht="31.5">
      <c r="A436" s="48" t="s">
        <v>134</v>
      </c>
      <c r="B436" s="77" t="s">
        <v>703</v>
      </c>
      <c r="C436" s="72" t="s">
        <v>135</v>
      </c>
      <c r="D436" s="54" t="s">
        <v>19</v>
      </c>
      <c r="E436" s="54" t="s">
        <v>17</v>
      </c>
      <c r="F436" s="61">
        <v>14</v>
      </c>
      <c r="G436" s="144">
        <f>Ведомственная!G1055</f>
        <v>14</v>
      </c>
      <c r="I436" s="145">
        <f t="shared" si="11"/>
        <v>0</v>
      </c>
      <c r="J436" s="145"/>
    </row>
    <row r="437" spans="1:10" ht="15.75">
      <c r="A437" s="48" t="s">
        <v>141</v>
      </c>
      <c r="B437" s="77" t="s">
        <v>704</v>
      </c>
      <c r="C437" s="72"/>
      <c r="D437" s="54"/>
      <c r="E437" s="54"/>
      <c r="F437" s="61">
        <f>F438</f>
        <v>14.2</v>
      </c>
      <c r="I437" s="145">
        <f t="shared" si="11"/>
        <v>-14.2</v>
      </c>
      <c r="J437" s="145"/>
    </row>
    <row r="438" spans="1:10" ht="31.5">
      <c r="A438" s="48" t="s">
        <v>134</v>
      </c>
      <c r="B438" s="77" t="s">
        <v>704</v>
      </c>
      <c r="C438" s="72" t="s">
        <v>135</v>
      </c>
      <c r="D438" s="54" t="s">
        <v>19</v>
      </c>
      <c r="E438" s="54" t="s">
        <v>17</v>
      </c>
      <c r="F438" s="61">
        <v>14.2</v>
      </c>
      <c r="G438" s="144">
        <f>Ведомственная!G1057</f>
        <v>14.2</v>
      </c>
      <c r="I438" s="145">
        <f t="shared" si="11"/>
        <v>0</v>
      </c>
      <c r="J438" s="145"/>
    </row>
    <row r="439" spans="1:10" ht="31.5">
      <c r="A439" s="74" t="s">
        <v>460</v>
      </c>
      <c r="B439" s="54" t="s">
        <v>673</v>
      </c>
      <c r="C439" s="75"/>
      <c r="D439" s="54"/>
      <c r="E439" s="54"/>
      <c r="F439" s="57">
        <f>F440+F444+F442</f>
        <v>724.1</v>
      </c>
      <c r="I439" s="145">
        <f t="shared" si="11"/>
        <v>-724.1</v>
      </c>
      <c r="J439" s="145"/>
    </row>
    <row r="440" spans="1:10" ht="15.75">
      <c r="A440" s="76" t="s">
        <v>132</v>
      </c>
      <c r="B440" s="54" t="s">
        <v>674</v>
      </c>
      <c r="C440" s="75"/>
      <c r="D440" s="54"/>
      <c r="E440" s="54"/>
      <c r="F440" s="57">
        <f>F441</f>
        <v>75.6</v>
      </c>
      <c r="I440" s="145">
        <f aca="true" t="shared" si="13" ref="I440:I505">G440-F440</f>
        <v>-75.6</v>
      </c>
      <c r="J440" s="145"/>
    </row>
    <row r="441" spans="1:10" ht="31.5">
      <c r="A441" s="74" t="s">
        <v>134</v>
      </c>
      <c r="B441" s="54" t="s">
        <v>674</v>
      </c>
      <c r="C441" s="75" t="s">
        <v>135</v>
      </c>
      <c r="D441" s="54" t="s">
        <v>19</v>
      </c>
      <c r="E441" s="54" t="s">
        <v>17</v>
      </c>
      <c r="F441" s="57">
        <v>75.6</v>
      </c>
      <c r="G441" s="144">
        <f>Ведомственная!G1060</f>
        <v>75.6</v>
      </c>
      <c r="I441" s="145">
        <f t="shared" si="13"/>
        <v>0</v>
      </c>
      <c r="J441" s="145"/>
    </row>
    <row r="442" spans="1:10" ht="15.75">
      <c r="A442" s="99" t="s">
        <v>141</v>
      </c>
      <c r="B442" s="54" t="s">
        <v>829</v>
      </c>
      <c r="C442" s="75"/>
      <c r="D442" s="54"/>
      <c r="E442" s="54"/>
      <c r="F442" s="57">
        <f>F443</f>
        <v>630</v>
      </c>
      <c r="I442" s="145">
        <f t="shared" si="13"/>
        <v>-630</v>
      </c>
      <c r="J442" s="145"/>
    </row>
    <row r="443" spans="1:10" ht="31.5">
      <c r="A443" s="99" t="s">
        <v>134</v>
      </c>
      <c r="B443" s="54" t="s">
        <v>829</v>
      </c>
      <c r="C443" s="75" t="s">
        <v>135</v>
      </c>
      <c r="D443" s="54" t="s">
        <v>19</v>
      </c>
      <c r="E443" s="54" t="s">
        <v>17</v>
      </c>
      <c r="F443" s="57">
        <v>630</v>
      </c>
      <c r="G443" s="144">
        <f>Ведомственная!G1062</f>
        <v>630</v>
      </c>
      <c r="I443" s="145">
        <f t="shared" si="13"/>
        <v>0</v>
      </c>
      <c r="J443" s="145"/>
    </row>
    <row r="444" spans="1:10" ht="15.75">
      <c r="A444" s="74" t="s">
        <v>154</v>
      </c>
      <c r="B444" s="54" t="s">
        <v>675</v>
      </c>
      <c r="C444" s="75"/>
      <c r="D444" s="54"/>
      <c r="E444" s="54"/>
      <c r="F444" s="57">
        <f>F445</f>
        <v>18.5</v>
      </c>
      <c r="I444" s="145">
        <f t="shared" si="13"/>
        <v>-18.5</v>
      </c>
      <c r="J444" s="145"/>
    </row>
    <row r="445" spans="1:10" ht="31.5">
      <c r="A445" s="74" t="s">
        <v>134</v>
      </c>
      <c r="B445" s="54" t="s">
        <v>675</v>
      </c>
      <c r="C445" s="75" t="s">
        <v>135</v>
      </c>
      <c r="D445" s="54" t="s">
        <v>19</v>
      </c>
      <c r="E445" s="54" t="s">
        <v>17</v>
      </c>
      <c r="F445" s="57">
        <v>18.5</v>
      </c>
      <c r="G445" s="144">
        <f>Ведомственная!G1064</f>
        <v>18.5</v>
      </c>
      <c r="I445" s="145">
        <f t="shared" si="13"/>
        <v>0</v>
      </c>
      <c r="J445" s="145"/>
    </row>
    <row r="446" spans="1:10" ht="31.5">
      <c r="A446" s="98" t="s">
        <v>159</v>
      </c>
      <c r="B446" s="54" t="s">
        <v>160</v>
      </c>
      <c r="C446" s="54"/>
      <c r="D446" s="54"/>
      <c r="E446" s="54"/>
      <c r="F446" s="57">
        <f>F447</f>
        <v>7870.7</v>
      </c>
      <c r="I446" s="145">
        <f t="shared" si="13"/>
        <v>-7870.7</v>
      </c>
      <c r="J446" s="145">
        <f t="shared" si="12"/>
        <v>-7870.7</v>
      </c>
    </row>
    <row r="447" spans="1:10" ht="31.5">
      <c r="A447" s="74" t="s">
        <v>49</v>
      </c>
      <c r="B447" s="54" t="s">
        <v>161</v>
      </c>
      <c r="C447" s="54"/>
      <c r="D447" s="54"/>
      <c r="E447" s="54"/>
      <c r="F447" s="57">
        <f>F448</f>
        <v>7870.7</v>
      </c>
      <c r="I447" s="145">
        <f t="shared" si="13"/>
        <v>-7870.7</v>
      </c>
      <c r="J447" s="145">
        <f t="shared" si="12"/>
        <v>-7870.7</v>
      </c>
    </row>
    <row r="448" spans="1:10" ht="15.75">
      <c r="A448" s="98" t="s">
        <v>162</v>
      </c>
      <c r="B448" s="54" t="s">
        <v>163</v>
      </c>
      <c r="C448" s="54"/>
      <c r="D448" s="54"/>
      <c r="E448" s="54"/>
      <c r="F448" s="57">
        <f>F449+F450+F451</f>
        <v>7870.7</v>
      </c>
      <c r="I448" s="145">
        <f t="shared" si="13"/>
        <v>-7870.7</v>
      </c>
      <c r="J448" s="145">
        <f t="shared" si="12"/>
        <v>-7870.7</v>
      </c>
    </row>
    <row r="449" spans="1:10" ht="63">
      <c r="A449" s="74" t="s">
        <v>145</v>
      </c>
      <c r="B449" s="54" t="s">
        <v>163</v>
      </c>
      <c r="C449" s="54" t="s">
        <v>99</v>
      </c>
      <c r="D449" s="54" t="s">
        <v>19</v>
      </c>
      <c r="E449" s="54" t="s">
        <v>17</v>
      </c>
      <c r="F449" s="57">
        <v>7205.7</v>
      </c>
      <c r="G449" s="144">
        <f>Ведомственная!G1068</f>
        <v>7205.7</v>
      </c>
      <c r="I449" s="145">
        <f t="shared" si="13"/>
        <v>0</v>
      </c>
      <c r="J449" s="145">
        <f t="shared" si="12"/>
        <v>-7205.7</v>
      </c>
    </row>
    <row r="450" spans="1:10" ht="31.5">
      <c r="A450" s="74" t="s">
        <v>56</v>
      </c>
      <c r="B450" s="54" t="s">
        <v>163</v>
      </c>
      <c r="C450" s="54" t="s">
        <v>101</v>
      </c>
      <c r="D450" s="54" t="s">
        <v>19</v>
      </c>
      <c r="E450" s="54" t="s">
        <v>17</v>
      </c>
      <c r="F450" s="57">
        <v>660.9</v>
      </c>
      <c r="G450" s="144">
        <f>Ведомственная!G1069</f>
        <v>660.9</v>
      </c>
      <c r="I450" s="145">
        <f t="shared" si="13"/>
        <v>0</v>
      </c>
      <c r="J450" s="145">
        <f t="shared" si="12"/>
        <v>-660.9</v>
      </c>
    </row>
    <row r="451" spans="1:10" ht="15.75">
      <c r="A451" s="74" t="s">
        <v>26</v>
      </c>
      <c r="B451" s="54" t="s">
        <v>163</v>
      </c>
      <c r="C451" s="54" t="s">
        <v>106</v>
      </c>
      <c r="D451" s="54" t="s">
        <v>19</v>
      </c>
      <c r="E451" s="54" t="s">
        <v>17</v>
      </c>
      <c r="F451" s="57">
        <v>4.1</v>
      </c>
      <c r="G451" s="144">
        <f>Ведомственная!G1070</f>
        <v>4.1</v>
      </c>
      <c r="I451" s="145">
        <f t="shared" si="13"/>
        <v>0</v>
      </c>
      <c r="J451" s="145">
        <f t="shared" si="12"/>
        <v>-4.1</v>
      </c>
    </row>
    <row r="452" spans="1:10" ht="31.5">
      <c r="A452" s="74" t="s">
        <v>444</v>
      </c>
      <c r="B452" s="79" t="s">
        <v>445</v>
      </c>
      <c r="C452" s="54"/>
      <c r="D452" s="54"/>
      <c r="E452" s="54"/>
      <c r="F452" s="57">
        <f>SUM(F453+F498+F506+F522+F536+F548+F556)</f>
        <v>610540.8</v>
      </c>
      <c r="H452" s="146">
        <f>SUM(G454:G564)</f>
        <v>610540.7999999997</v>
      </c>
      <c r="I452" s="145">
        <f t="shared" si="13"/>
        <v>-610540.8</v>
      </c>
      <c r="J452" s="145">
        <f t="shared" si="12"/>
        <v>-3.4924596548080444E-10</v>
      </c>
    </row>
    <row r="453" spans="1:10" ht="15.75">
      <c r="A453" s="74" t="s">
        <v>39</v>
      </c>
      <c r="B453" s="80" t="s">
        <v>446</v>
      </c>
      <c r="C453" s="54"/>
      <c r="D453" s="54"/>
      <c r="E453" s="54"/>
      <c r="F453" s="57">
        <f>SUM(F454+F462+F469+F480+F482+F486+F489+F491+F493+F496)+F457+F464+F474+F472+F476+F478</f>
        <v>27457.7</v>
      </c>
      <c r="I453" s="145">
        <f t="shared" si="13"/>
        <v>-27457.7</v>
      </c>
      <c r="J453" s="145">
        <f t="shared" si="12"/>
        <v>-27457.7</v>
      </c>
    </row>
    <row r="454" spans="1:10" ht="15.75">
      <c r="A454" s="97" t="s">
        <v>496</v>
      </c>
      <c r="B454" s="54" t="s">
        <v>497</v>
      </c>
      <c r="C454" s="73"/>
      <c r="D454" s="73"/>
      <c r="E454" s="73"/>
      <c r="F454" s="55">
        <f>SUM(F455:F456)</f>
        <v>3043.8</v>
      </c>
      <c r="I454" s="145">
        <f t="shared" si="13"/>
        <v>-3043.8</v>
      </c>
      <c r="J454" s="145">
        <f t="shared" si="12"/>
        <v>-3043.8</v>
      </c>
    </row>
    <row r="455" spans="1:10" ht="31.5">
      <c r="A455" s="74" t="s">
        <v>56</v>
      </c>
      <c r="B455" s="80" t="s">
        <v>497</v>
      </c>
      <c r="C455" s="73" t="s">
        <v>101</v>
      </c>
      <c r="D455" s="73" t="s">
        <v>125</v>
      </c>
      <c r="E455" s="73" t="s">
        <v>125</v>
      </c>
      <c r="F455" s="55">
        <v>1114.6</v>
      </c>
      <c r="G455" s="144">
        <f>SUM(Ведомственная!G901)</f>
        <v>1114.6</v>
      </c>
      <c r="I455" s="145">
        <f t="shared" si="13"/>
        <v>0</v>
      </c>
      <c r="J455" s="145">
        <f t="shared" si="12"/>
        <v>-1114.6</v>
      </c>
    </row>
    <row r="456" spans="1:10" ht="31.5">
      <c r="A456" s="74" t="s">
        <v>76</v>
      </c>
      <c r="B456" s="80" t="s">
        <v>497</v>
      </c>
      <c r="C456" s="73" t="s">
        <v>101</v>
      </c>
      <c r="D456" s="73" t="s">
        <v>125</v>
      </c>
      <c r="E456" s="73" t="s">
        <v>125</v>
      </c>
      <c r="F456" s="55">
        <v>1929.2</v>
      </c>
      <c r="G456" s="144">
        <f>SUM(Ведомственная!G902)</f>
        <v>1929.2</v>
      </c>
      <c r="I456" s="145">
        <f t="shared" si="13"/>
        <v>0</v>
      </c>
      <c r="J456" s="145"/>
    </row>
    <row r="457" spans="1:10" ht="15.75">
      <c r="A457" s="74" t="s">
        <v>453</v>
      </c>
      <c r="B457" s="56" t="s">
        <v>622</v>
      </c>
      <c r="C457" s="54"/>
      <c r="D457" s="54"/>
      <c r="E457" s="54"/>
      <c r="F457" s="57">
        <f>SUM(F458:F461)</f>
        <v>3785.2999999999997</v>
      </c>
      <c r="I457" s="145">
        <f t="shared" si="13"/>
        <v>-3785.2999999999997</v>
      </c>
      <c r="J457" s="145"/>
    </row>
    <row r="458" spans="1:10" ht="63" hidden="1">
      <c r="A458" s="74" t="s">
        <v>145</v>
      </c>
      <c r="B458" s="56" t="s">
        <v>622</v>
      </c>
      <c r="C458" s="54" t="s">
        <v>99</v>
      </c>
      <c r="D458" s="54" t="s">
        <v>125</v>
      </c>
      <c r="E458" s="54" t="s">
        <v>38</v>
      </c>
      <c r="F458" s="57"/>
      <c r="G458" s="144">
        <f>SUM(Ведомственная!G777)</f>
        <v>0</v>
      </c>
      <c r="I458" s="145">
        <f t="shared" si="13"/>
        <v>0</v>
      </c>
      <c r="J458" s="145"/>
    </row>
    <row r="459" spans="1:10" ht="31.5">
      <c r="A459" s="74" t="s">
        <v>56</v>
      </c>
      <c r="B459" s="56" t="s">
        <v>622</v>
      </c>
      <c r="C459" s="54" t="s">
        <v>101</v>
      </c>
      <c r="D459" s="54" t="s">
        <v>125</v>
      </c>
      <c r="E459" s="54" t="s">
        <v>38</v>
      </c>
      <c r="F459" s="57">
        <v>345.6</v>
      </c>
      <c r="G459" s="144">
        <f>SUM(Ведомственная!G778)</f>
        <v>345.6</v>
      </c>
      <c r="I459" s="145">
        <f t="shared" si="13"/>
        <v>0</v>
      </c>
      <c r="J459" s="145">
        <f t="shared" si="12"/>
        <v>-345.6</v>
      </c>
    </row>
    <row r="460" spans="1:10" ht="15.75">
      <c r="A460" s="48" t="s">
        <v>46</v>
      </c>
      <c r="B460" s="56" t="s">
        <v>622</v>
      </c>
      <c r="C460" s="54" t="s">
        <v>109</v>
      </c>
      <c r="D460" s="54" t="s">
        <v>125</v>
      </c>
      <c r="E460" s="54" t="s">
        <v>38</v>
      </c>
      <c r="F460" s="57">
        <v>6</v>
      </c>
      <c r="G460" s="144">
        <f>SUM(Ведомственная!G779)</f>
        <v>6</v>
      </c>
      <c r="I460" s="145">
        <f t="shared" si="13"/>
        <v>0</v>
      </c>
      <c r="J460" s="145"/>
    </row>
    <row r="461" spans="1:10" ht="44.25" customHeight="1">
      <c r="A461" s="74" t="s">
        <v>76</v>
      </c>
      <c r="B461" s="56" t="s">
        <v>622</v>
      </c>
      <c r="C461" s="54" t="s">
        <v>135</v>
      </c>
      <c r="D461" s="54" t="s">
        <v>125</v>
      </c>
      <c r="E461" s="54" t="s">
        <v>38</v>
      </c>
      <c r="F461" s="57">
        <v>3433.7</v>
      </c>
      <c r="G461" s="144">
        <f>SUM(Ведомственная!G780)</f>
        <v>3433.7</v>
      </c>
      <c r="I461" s="145">
        <f t="shared" si="13"/>
        <v>0</v>
      </c>
      <c r="J461" s="145">
        <f t="shared" si="12"/>
        <v>-3433.7</v>
      </c>
    </row>
    <row r="462" spans="1:10" ht="31.5" hidden="1">
      <c r="A462" s="74" t="s">
        <v>447</v>
      </c>
      <c r="B462" s="79" t="s">
        <v>448</v>
      </c>
      <c r="C462" s="54"/>
      <c r="D462" s="54"/>
      <c r="E462" s="54"/>
      <c r="F462" s="57">
        <f>F463</f>
        <v>0</v>
      </c>
      <c r="I462" s="145">
        <f t="shared" si="13"/>
        <v>0</v>
      </c>
      <c r="J462" s="145">
        <f t="shared" si="12"/>
        <v>0</v>
      </c>
    </row>
    <row r="463" spans="1:10" ht="15.75" hidden="1">
      <c r="A463" s="74" t="s">
        <v>46</v>
      </c>
      <c r="B463" s="79" t="s">
        <v>448</v>
      </c>
      <c r="C463" s="54" t="s">
        <v>109</v>
      </c>
      <c r="D463" s="54"/>
      <c r="E463" s="54"/>
      <c r="F463" s="57">
        <v>0</v>
      </c>
      <c r="G463" s="144">
        <f>SUM(Ведомственная!G782)</f>
        <v>0</v>
      </c>
      <c r="I463" s="145">
        <f t="shared" si="13"/>
        <v>0</v>
      </c>
      <c r="J463" s="145">
        <f t="shared" si="12"/>
        <v>0</v>
      </c>
    </row>
    <row r="464" spans="1:10" ht="15.75">
      <c r="A464" s="74" t="s">
        <v>477</v>
      </c>
      <c r="B464" s="56" t="s">
        <v>629</v>
      </c>
      <c r="C464" s="80"/>
      <c r="D464" s="54"/>
      <c r="E464" s="54"/>
      <c r="F464" s="57">
        <f>SUM(F465:F468)</f>
        <v>1536.8999999999999</v>
      </c>
      <c r="I464" s="145">
        <f t="shared" si="13"/>
        <v>-1536.8999999999999</v>
      </c>
      <c r="J464" s="145">
        <f t="shared" si="12"/>
        <v>-1536.8999999999999</v>
      </c>
    </row>
    <row r="465" spans="1:10" ht="63" hidden="1">
      <c r="A465" s="74" t="s">
        <v>145</v>
      </c>
      <c r="B465" s="56" t="s">
        <v>629</v>
      </c>
      <c r="C465" s="80">
        <v>100</v>
      </c>
      <c r="D465" s="54" t="s">
        <v>125</v>
      </c>
      <c r="E465" s="54" t="s">
        <v>48</v>
      </c>
      <c r="F465" s="57">
        <v>0</v>
      </c>
      <c r="G465" s="144">
        <f>SUM(Ведомственная!G828)</f>
        <v>0</v>
      </c>
      <c r="I465" s="145">
        <f t="shared" si="13"/>
        <v>0</v>
      </c>
      <c r="J465" s="145"/>
    </row>
    <row r="466" spans="1:10" ht="31.5">
      <c r="A466" s="74" t="s">
        <v>56</v>
      </c>
      <c r="B466" s="56" t="s">
        <v>629</v>
      </c>
      <c r="C466" s="80">
        <v>200</v>
      </c>
      <c r="D466" s="54" t="s">
        <v>125</v>
      </c>
      <c r="E466" s="54" t="s">
        <v>48</v>
      </c>
      <c r="F466" s="57">
        <v>849.3</v>
      </c>
      <c r="G466" s="144">
        <f>SUM(Ведомственная!G829)</f>
        <v>849.3</v>
      </c>
      <c r="I466" s="145">
        <f t="shared" si="13"/>
        <v>0</v>
      </c>
      <c r="J466" s="145">
        <f t="shared" si="12"/>
        <v>-849.3</v>
      </c>
    </row>
    <row r="467" spans="1:10" ht="15.75">
      <c r="A467" s="48" t="s">
        <v>46</v>
      </c>
      <c r="B467" s="56" t="s">
        <v>629</v>
      </c>
      <c r="C467" s="80">
        <v>300</v>
      </c>
      <c r="D467" s="54" t="s">
        <v>125</v>
      </c>
      <c r="E467" s="54" t="s">
        <v>48</v>
      </c>
      <c r="F467" s="57">
        <v>124.8</v>
      </c>
      <c r="G467" s="144">
        <f>SUM(Ведомственная!G830)</f>
        <v>124.8</v>
      </c>
      <c r="I467" s="145">
        <f t="shared" si="13"/>
        <v>0</v>
      </c>
      <c r="J467" s="145"/>
    </row>
    <row r="468" spans="1:10" ht="31.5">
      <c r="A468" s="74" t="s">
        <v>76</v>
      </c>
      <c r="B468" s="56" t="s">
        <v>629</v>
      </c>
      <c r="C468" s="80">
        <v>600</v>
      </c>
      <c r="D468" s="54" t="s">
        <v>125</v>
      </c>
      <c r="E468" s="54" t="s">
        <v>48</v>
      </c>
      <c r="F468" s="57">
        <v>562.8</v>
      </c>
      <c r="G468" s="144">
        <f>SUM(Ведомственная!G831)</f>
        <v>562.8</v>
      </c>
      <c r="I468" s="145">
        <f t="shared" si="13"/>
        <v>0</v>
      </c>
      <c r="J468" s="145">
        <f t="shared" si="12"/>
        <v>-562.8</v>
      </c>
    </row>
    <row r="469" spans="1:10" ht="47.25" hidden="1">
      <c r="A469" s="74" t="s">
        <v>467</v>
      </c>
      <c r="B469" s="80" t="s">
        <v>468</v>
      </c>
      <c r="C469" s="80"/>
      <c r="D469" s="54"/>
      <c r="E469" s="54"/>
      <c r="F469" s="57">
        <f>F470+F471</f>
        <v>0</v>
      </c>
      <c r="I469" s="145">
        <f t="shared" si="13"/>
        <v>0</v>
      </c>
      <c r="J469" s="145">
        <f t="shared" si="12"/>
        <v>0</v>
      </c>
    </row>
    <row r="470" spans="1:10" ht="31.5" hidden="1">
      <c r="A470" s="74" t="s">
        <v>56</v>
      </c>
      <c r="B470" s="80" t="s">
        <v>468</v>
      </c>
      <c r="C470" s="80">
        <v>200</v>
      </c>
      <c r="D470" s="54" t="s">
        <v>125</v>
      </c>
      <c r="E470" s="54" t="s">
        <v>48</v>
      </c>
      <c r="F470" s="57">
        <v>0</v>
      </c>
      <c r="G470" s="144">
        <f>SUM(Ведомственная!G833)</f>
        <v>0</v>
      </c>
      <c r="I470" s="145">
        <f t="shared" si="13"/>
        <v>0</v>
      </c>
      <c r="J470" s="145">
        <f t="shared" si="12"/>
        <v>0</v>
      </c>
    </row>
    <row r="471" spans="1:10" ht="31.5" hidden="1">
      <c r="A471" s="74" t="s">
        <v>76</v>
      </c>
      <c r="B471" s="80" t="s">
        <v>468</v>
      </c>
      <c r="C471" s="80">
        <v>600</v>
      </c>
      <c r="D471" s="54" t="s">
        <v>125</v>
      </c>
      <c r="E471" s="54" t="s">
        <v>48</v>
      </c>
      <c r="F471" s="57">
        <v>0</v>
      </c>
      <c r="G471" s="144">
        <f>SUM(Ведомственная!G834)</f>
        <v>0</v>
      </c>
      <c r="I471" s="145">
        <f t="shared" si="13"/>
        <v>0</v>
      </c>
      <c r="J471" s="145">
        <f t="shared" si="12"/>
        <v>0</v>
      </c>
    </row>
    <row r="472" spans="1:10" ht="15.75">
      <c r="A472" s="74" t="s">
        <v>486</v>
      </c>
      <c r="B472" s="81" t="s">
        <v>631</v>
      </c>
      <c r="C472" s="54"/>
      <c r="D472" s="54"/>
      <c r="E472" s="54"/>
      <c r="F472" s="57">
        <f>F473</f>
        <v>10</v>
      </c>
      <c r="I472" s="145">
        <f t="shared" si="13"/>
        <v>-10</v>
      </c>
      <c r="J472" s="145">
        <f t="shared" si="12"/>
        <v>-10</v>
      </c>
    </row>
    <row r="473" spans="1:10" ht="31.5">
      <c r="A473" s="74" t="s">
        <v>76</v>
      </c>
      <c r="B473" s="81" t="s">
        <v>631</v>
      </c>
      <c r="C473" s="54" t="s">
        <v>135</v>
      </c>
      <c r="D473" s="54" t="s">
        <v>125</v>
      </c>
      <c r="E473" s="54" t="s">
        <v>58</v>
      </c>
      <c r="F473" s="57">
        <v>10</v>
      </c>
      <c r="G473" s="144">
        <f>SUM(Ведомственная!G878)</f>
        <v>10</v>
      </c>
      <c r="I473" s="145">
        <f t="shared" si="13"/>
        <v>0</v>
      </c>
      <c r="J473" s="145">
        <f t="shared" si="12"/>
        <v>-10</v>
      </c>
    </row>
    <row r="474" spans="1:10" ht="15.75">
      <c r="A474" s="74" t="s">
        <v>484</v>
      </c>
      <c r="B474" s="56" t="s">
        <v>630</v>
      </c>
      <c r="C474" s="80"/>
      <c r="D474" s="54"/>
      <c r="E474" s="54"/>
      <c r="F474" s="57">
        <f>F475</f>
        <v>22.3</v>
      </c>
      <c r="I474" s="145">
        <f t="shared" si="13"/>
        <v>-22.3</v>
      </c>
      <c r="J474" s="145">
        <f t="shared" si="12"/>
        <v>-22.3</v>
      </c>
    </row>
    <row r="475" spans="1:10" ht="31.5">
      <c r="A475" s="74" t="s">
        <v>56</v>
      </c>
      <c r="B475" s="56" t="s">
        <v>630</v>
      </c>
      <c r="C475" s="80">
        <v>200</v>
      </c>
      <c r="D475" s="54" t="s">
        <v>125</v>
      </c>
      <c r="E475" s="54" t="s">
        <v>48</v>
      </c>
      <c r="F475" s="57">
        <v>22.3</v>
      </c>
      <c r="G475" s="144">
        <f>SUM(Ведомственная!G836)</f>
        <v>22.3</v>
      </c>
      <c r="I475" s="145">
        <f t="shared" si="13"/>
        <v>0</v>
      </c>
      <c r="J475" s="145">
        <f t="shared" si="12"/>
        <v>-22.3</v>
      </c>
    </row>
    <row r="476" spans="1:10" ht="15.75">
      <c r="A476" s="48" t="s">
        <v>636</v>
      </c>
      <c r="B476" s="82" t="s">
        <v>643</v>
      </c>
      <c r="C476" s="77"/>
      <c r="D476" s="77"/>
      <c r="E476" s="77"/>
      <c r="F476" s="61">
        <f>F477</f>
        <v>195</v>
      </c>
      <c r="I476" s="145">
        <f t="shared" si="13"/>
        <v>-195</v>
      </c>
      <c r="J476" s="145">
        <f t="shared" si="12"/>
        <v>-195</v>
      </c>
    </row>
    <row r="477" spans="1:10" ht="31.5">
      <c r="A477" s="48" t="s">
        <v>56</v>
      </c>
      <c r="B477" s="82" t="s">
        <v>643</v>
      </c>
      <c r="C477" s="77" t="s">
        <v>101</v>
      </c>
      <c r="D477" s="77" t="s">
        <v>125</v>
      </c>
      <c r="E477" s="77" t="s">
        <v>192</v>
      </c>
      <c r="F477" s="61">
        <v>195</v>
      </c>
      <c r="G477" s="144">
        <f>SUM(Ведомственная!G931)</f>
        <v>195</v>
      </c>
      <c r="I477" s="145">
        <f t="shared" si="13"/>
        <v>0</v>
      </c>
      <c r="J477" s="145">
        <f t="shared" si="12"/>
        <v>-195</v>
      </c>
    </row>
    <row r="478" spans="1:10" ht="47.25">
      <c r="A478" s="48" t="s">
        <v>656</v>
      </c>
      <c r="B478" s="82" t="s">
        <v>657</v>
      </c>
      <c r="C478" s="83"/>
      <c r="D478" s="77"/>
      <c r="E478" s="77"/>
      <c r="F478" s="61">
        <f>F479</f>
        <v>250</v>
      </c>
      <c r="I478" s="145">
        <f t="shared" si="13"/>
        <v>-250</v>
      </c>
      <c r="J478" s="145">
        <f t="shared" si="12"/>
        <v>-250</v>
      </c>
    </row>
    <row r="479" spans="1:10" ht="31.5">
      <c r="A479" s="48" t="s">
        <v>76</v>
      </c>
      <c r="B479" s="82" t="s">
        <v>657</v>
      </c>
      <c r="C479" s="83">
        <v>600</v>
      </c>
      <c r="D479" s="54" t="s">
        <v>125</v>
      </c>
      <c r="E479" s="54" t="s">
        <v>48</v>
      </c>
      <c r="F479" s="61">
        <v>250</v>
      </c>
      <c r="G479" s="144">
        <f>Ведомственная!G838</f>
        <v>250</v>
      </c>
      <c r="I479" s="145">
        <f t="shared" si="13"/>
        <v>0</v>
      </c>
      <c r="J479" s="145">
        <f t="shared" si="12"/>
        <v>-250</v>
      </c>
    </row>
    <row r="480" spans="1:10" ht="110.25">
      <c r="A480" s="74" t="s">
        <v>449</v>
      </c>
      <c r="B480" s="80" t="s">
        <v>450</v>
      </c>
      <c r="C480" s="54"/>
      <c r="D480" s="54"/>
      <c r="E480" s="54"/>
      <c r="F480" s="57">
        <f>F481</f>
        <v>650</v>
      </c>
      <c r="I480" s="145">
        <f t="shared" si="13"/>
        <v>-650</v>
      </c>
      <c r="J480" s="145">
        <f t="shared" si="12"/>
        <v>-650</v>
      </c>
    </row>
    <row r="481" spans="1:10" ht="31.5">
      <c r="A481" s="74" t="s">
        <v>283</v>
      </c>
      <c r="B481" s="80" t="s">
        <v>450</v>
      </c>
      <c r="C481" s="54" t="s">
        <v>135</v>
      </c>
      <c r="D481" s="54" t="s">
        <v>125</v>
      </c>
      <c r="E481" s="54" t="s">
        <v>38</v>
      </c>
      <c r="F481" s="57">
        <v>650</v>
      </c>
      <c r="G481" s="144">
        <f>SUM(Ведомственная!G784)</f>
        <v>650</v>
      </c>
      <c r="I481" s="145">
        <f t="shared" si="13"/>
        <v>0</v>
      </c>
      <c r="J481" s="145">
        <f t="shared" si="12"/>
        <v>-650</v>
      </c>
    </row>
    <row r="482" spans="1:10" ht="47.25">
      <c r="A482" s="74" t="s">
        <v>498</v>
      </c>
      <c r="B482" s="79" t="s">
        <v>500</v>
      </c>
      <c r="C482" s="73"/>
      <c r="D482" s="73"/>
      <c r="E482" s="73"/>
      <c r="F482" s="55">
        <f>SUM(F483:F485)</f>
        <v>2956.2000000000003</v>
      </c>
      <c r="I482" s="145">
        <f t="shared" si="13"/>
        <v>-2956.2000000000003</v>
      </c>
      <c r="J482" s="145">
        <f t="shared" si="12"/>
        <v>-2956.2000000000003</v>
      </c>
    </row>
    <row r="483" spans="1:10" ht="31.5">
      <c r="A483" s="74" t="s">
        <v>56</v>
      </c>
      <c r="B483" s="79" t="s">
        <v>500</v>
      </c>
      <c r="C483" s="73" t="s">
        <v>101</v>
      </c>
      <c r="D483" s="73" t="s">
        <v>125</v>
      </c>
      <c r="E483" s="73" t="s">
        <v>125</v>
      </c>
      <c r="F483" s="55">
        <v>236.8</v>
      </c>
      <c r="G483" s="144">
        <f>SUM(Ведомственная!G904)</f>
        <v>236.8</v>
      </c>
      <c r="I483" s="145">
        <f t="shared" si="13"/>
        <v>0</v>
      </c>
      <c r="J483" s="145">
        <f t="shared" si="12"/>
        <v>-236.8</v>
      </c>
    </row>
    <row r="484" spans="1:10" ht="31.5">
      <c r="A484" s="74" t="s">
        <v>283</v>
      </c>
      <c r="B484" s="79" t="s">
        <v>500</v>
      </c>
      <c r="C484" s="73" t="s">
        <v>135</v>
      </c>
      <c r="D484" s="73" t="s">
        <v>125</v>
      </c>
      <c r="E484" s="73" t="s">
        <v>125</v>
      </c>
      <c r="F484" s="55">
        <v>481.6</v>
      </c>
      <c r="G484" s="144">
        <f>SUM(Ведомственная!G905)</f>
        <v>481.6</v>
      </c>
      <c r="I484" s="145">
        <f t="shared" si="13"/>
        <v>0</v>
      </c>
      <c r="J484" s="145"/>
    </row>
    <row r="485" spans="1:10" ht="15.75">
      <c r="A485" s="74" t="s">
        <v>26</v>
      </c>
      <c r="B485" s="79" t="s">
        <v>500</v>
      </c>
      <c r="C485" s="73" t="s">
        <v>106</v>
      </c>
      <c r="D485" s="73" t="s">
        <v>125</v>
      </c>
      <c r="E485" s="73" t="s">
        <v>125</v>
      </c>
      <c r="F485" s="55">
        <v>2237.8</v>
      </c>
      <c r="G485" s="144">
        <f>SUM(Ведомственная!G906)</f>
        <v>2237.8</v>
      </c>
      <c r="I485" s="145">
        <f t="shared" si="13"/>
        <v>0</v>
      </c>
      <c r="J485" s="145"/>
    </row>
    <row r="486" spans="1:10" ht="78.75">
      <c r="A486" s="74" t="s">
        <v>469</v>
      </c>
      <c r="B486" s="80" t="s">
        <v>470</v>
      </c>
      <c r="C486" s="80"/>
      <c r="D486" s="54"/>
      <c r="E486" s="54"/>
      <c r="F486" s="57">
        <f>F487+F488</f>
        <v>11788.2</v>
      </c>
      <c r="I486" s="145">
        <f t="shared" si="13"/>
        <v>-11788.2</v>
      </c>
      <c r="J486" s="145">
        <f t="shared" si="12"/>
        <v>-11788.2</v>
      </c>
    </row>
    <row r="487" spans="1:10" ht="31.5">
      <c r="A487" s="74" t="s">
        <v>56</v>
      </c>
      <c r="B487" s="80" t="s">
        <v>470</v>
      </c>
      <c r="C487" s="80">
        <v>200</v>
      </c>
      <c r="D487" s="54" t="s">
        <v>125</v>
      </c>
      <c r="E487" s="54" t="s">
        <v>48</v>
      </c>
      <c r="F487" s="57">
        <v>6216</v>
      </c>
      <c r="G487" s="144">
        <f>SUM(Ведомственная!G840)</f>
        <v>6216</v>
      </c>
      <c r="I487" s="145">
        <f t="shared" si="13"/>
        <v>0</v>
      </c>
      <c r="J487" s="145">
        <f t="shared" si="12"/>
        <v>-6216</v>
      </c>
    </row>
    <row r="488" spans="1:10" ht="31.5">
      <c r="A488" s="74" t="s">
        <v>76</v>
      </c>
      <c r="B488" s="80" t="s">
        <v>470</v>
      </c>
      <c r="C488" s="80">
        <v>600</v>
      </c>
      <c r="D488" s="54" t="s">
        <v>125</v>
      </c>
      <c r="E488" s="54" t="s">
        <v>48</v>
      </c>
      <c r="F488" s="57">
        <f>1770.5+3801.7</f>
        <v>5572.2</v>
      </c>
      <c r="G488" s="144">
        <f>SUM(Ведомственная!G841)</f>
        <v>5572.2</v>
      </c>
      <c r="I488" s="145">
        <f t="shared" si="13"/>
        <v>0</v>
      </c>
      <c r="J488" s="145">
        <f t="shared" si="12"/>
        <v>-5572.2</v>
      </c>
    </row>
    <row r="489" spans="1:10" ht="63">
      <c r="A489" s="74" t="s">
        <v>473</v>
      </c>
      <c r="B489" s="80" t="s">
        <v>474</v>
      </c>
      <c r="C489" s="80"/>
      <c r="D489" s="54"/>
      <c r="E489" s="54"/>
      <c r="F489" s="57">
        <f>F490</f>
        <v>180</v>
      </c>
      <c r="I489" s="145">
        <f t="shared" si="13"/>
        <v>-180</v>
      </c>
      <c r="J489" s="145">
        <f t="shared" si="12"/>
        <v>-180</v>
      </c>
    </row>
    <row r="490" spans="1:10" ht="31.5">
      <c r="A490" s="74" t="s">
        <v>56</v>
      </c>
      <c r="B490" s="80" t="s">
        <v>474</v>
      </c>
      <c r="C490" s="80">
        <v>200</v>
      </c>
      <c r="D490" s="54" t="s">
        <v>125</v>
      </c>
      <c r="E490" s="54" t="s">
        <v>48</v>
      </c>
      <c r="F490" s="57">
        <v>180</v>
      </c>
      <c r="G490" s="144">
        <f>SUM(Ведомственная!G933)</f>
        <v>180</v>
      </c>
      <c r="I490" s="145">
        <f t="shared" si="13"/>
        <v>0</v>
      </c>
      <c r="J490" s="145">
        <f t="shared" si="12"/>
        <v>-180</v>
      </c>
    </row>
    <row r="491" spans="1:10" ht="126">
      <c r="A491" s="74" t="s">
        <v>515</v>
      </c>
      <c r="B491" s="79" t="s">
        <v>516</v>
      </c>
      <c r="C491" s="54"/>
      <c r="D491" s="54"/>
      <c r="E491" s="54"/>
      <c r="F491" s="57">
        <f>F492</f>
        <v>3000</v>
      </c>
      <c r="I491" s="145">
        <f t="shared" si="13"/>
        <v>-3000</v>
      </c>
      <c r="J491" s="145">
        <f t="shared" si="12"/>
        <v>-3000</v>
      </c>
    </row>
    <row r="492" spans="1:10" ht="15" customHeight="1">
      <c r="A492" s="74" t="s">
        <v>46</v>
      </c>
      <c r="B492" s="79" t="s">
        <v>516</v>
      </c>
      <c r="C492" s="54" t="s">
        <v>109</v>
      </c>
      <c r="D492" s="54" t="s">
        <v>35</v>
      </c>
      <c r="E492" s="54" t="s">
        <v>17</v>
      </c>
      <c r="F492" s="57">
        <v>3000</v>
      </c>
      <c r="G492" s="144">
        <f>SUM(Ведомственная!G968)</f>
        <v>3000</v>
      </c>
      <c r="I492" s="145">
        <f t="shared" si="13"/>
        <v>0</v>
      </c>
      <c r="J492" s="145">
        <f t="shared" si="12"/>
        <v>-3000</v>
      </c>
    </row>
    <row r="493" spans="1:10" ht="78.75" hidden="1">
      <c r="A493" s="74" t="s">
        <v>475</v>
      </c>
      <c r="B493" s="80" t="s">
        <v>476</v>
      </c>
      <c r="C493" s="80"/>
      <c r="D493" s="54"/>
      <c r="E493" s="54"/>
      <c r="F493" s="57">
        <f>F494+F495</f>
        <v>0</v>
      </c>
      <c r="I493" s="145">
        <f t="shared" si="13"/>
        <v>0</v>
      </c>
      <c r="J493" s="145">
        <f t="shared" si="12"/>
        <v>0</v>
      </c>
    </row>
    <row r="494" spans="1:10" ht="31.5" hidden="1">
      <c r="A494" s="74" t="s">
        <v>56</v>
      </c>
      <c r="B494" s="80" t="s">
        <v>476</v>
      </c>
      <c r="C494" s="80">
        <v>200</v>
      </c>
      <c r="D494" s="54" t="s">
        <v>125</v>
      </c>
      <c r="E494" s="54" t="s">
        <v>48</v>
      </c>
      <c r="F494" s="57"/>
      <c r="G494" s="144">
        <f>SUM(Ведомственная!G845)</f>
        <v>0</v>
      </c>
      <c r="I494" s="145">
        <f t="shared" si="13"/>
        <v>0</v>
      </c>
      <c r="J494" s="145">
        <f t="shared" si="12"/>
        <v>0</v>
      </c>
    </row>
    <row r="495" spans="1:10" ht="31.5" hidden="1">
      <c r="A495" s="74" t="s">
        <v>76</v>
      </c>
      <c r="B495" s="80" t="s">
        <v>476</v>
      </c>
      <c r="C495" s="80">
        <v>600</v>
      </c>
      <c r="D495" s="54" t="s">
        <v>125</v>
      </c>
      <c r="E495" s="54" t="s">
        <v>48</v>
      </c>
      <c r="F495" s="57"/>
      <c r="G495" s="144">
        <f>SUM(Ведомственная!G846)</f>
        <v>0</v>
      </c>
      <c r="I495" s="145">
        <f t="shared" si="13"/>
        <v>0</v>
      </c>
      <c r="J495" s="145">
        <f t="shared" si="12"/>
        <v>0</v>
      </c>
    </row>
    <row r="496" spans="1:10" ht="47.25">
      <c r="A496" s="74" t="s">
        <v>471</v>
      </c>
      <c r="B496" s="80" t="s">
        <v>472</v>
      </c>
      <c r="C496" s="80"/>
      <c r="D496" s="54"/>
      <c r="E496" s="54"/>
      <c r="F496" s="57">
        <f>F497</f>
        <v>40</v>
      </c>
      <c r="I496" s="145">
        <f t="shared" si="13"/>
        <v>-40</v>
      </c>
      <c r="J496" s="145">
        <f t="shared" si="12"/>
        <v>-40</v>
      </c>
    </row>
    <row r="497" spans="1:10" ht="31.5">
      <c r="A497" s="74" t="s">
        <v>56</v>
      </c>
      <c r="B497" s="80" t="s">
        <v>472</v>
      </c>
      <c r="C497" s="80">
        <v>200</v>
      </c>
      <c r="D497" s="54" t="s">
        <v>125</v>
      </c>
      <c r="E497" s="54" t="s">
        <v>48</v>
      </c>
      <c r="F497" s="57">
        <v>40</v>
      </c>
      <c r="G497" s="144">
        <f>SUM(Ведомственная!G848)</f>
        <v>40</v>
      </c>
      <c r="I497" s="145">
        <f t="shared" si="13"/>
        <v>0</v>
      </c>
      <c r="J497" s="145">
        <f t="shared" si="12"/>
        <v>-40</v>
      </c>
    </row>
    <row r="498" spans="1:10" ht="47.25">
      <c r="A498" s="48" t="s">
        <v>30</v>
      </c>
      <c r="B498" s="79" t="s">
        <v>451</v>
      </c>
      <c r="C498" s="54"/>
      <c r="D498" s="54"/>
      <c r="E498" s="54"/>
      <c r="F498" s="57">
        <f>F499</f>
        <v>365917.9</v>
      </c>
      <c r="I498" s="145">
        <f t="shared" si="13"/>
        <v>-365917.9</v>
      </c>
      <c r="J498" s="145">
        <f t="shared" si="12"/>
        <v>-365917.9</v>
      </c>
    </row>
    <row r="499" spans="1:10" ht="15.75" hidden="1">
      <c r="A499" s="97" t="s">
        <v>168</v>
      </c>
      <c r="B499" s="84" t="s">
        <v>452</v>
      </c>
      <c r="C499" s="54"/>
      <c r="D499" s="54"/>
      <c r="E499" s="54"/>
      <c r="F499" s="57">
        <f>F500+F502+F504</f>
        <v>365917.9</v>
      </c>
      <c r="I499" s="145">
        <f t="shared" si="13"/>
        <v>-365917.9</v>
      </c>
      <c r="J499" s="145">
        <f t="shared" si="12"/>
        <v>-365917.9</v>
      </c>
    </row>
    <row r="500" spans="1:10" ht="15.75">
      <c r="A500" s="74" t="s">
        <v>453</v>
      </c>
      <c r="B500" s="79" t="s">
        <v>454</v>
      </c>
      <c r="C500" s="54"/>
      <c r="D500" s="54"/>
      <c r="E500" s="54"/>
      <c r="F500" s="57">
        <f>F501</f>
        <v>188674.1</v>
      </c>
      <c r="I500" s="145">
        <f t="shared" si="13"/>
        <v>-188674.1</v>
      </c>
      <c r="J500" s="145">
        <f t="shared" si="12"/>
        <v>-188674.1</v>
      </c>
    </row>
    <row r="501" spans="1:10" ht="31.5">
      <c r="A501" s="74" t="s">
        <v>76</v>
      </c>
      <c r="B501" s="79" t="s">
        <v>454</v>
      </c>
      <c r="C501" s="54" t="s">
        <v>135</v>
      </c>
      <c r="D501" s="54" t="s">
        <v>125</v>
      </c>
      <c r="E501" s="54" t="s">
        <v>38</v>
      </c>
      <c r="F501" s="57">
        <v>188674.1</v>
      </c>
      <c r="G501" s="144">
        <f>SUM(Ведомственная!G787)</f>
        <v>188674.1</v>
      </c>
      <c r="I501" s="145">
        <f t="shared" si="13"/>
        <v>0</v>
      </c>
      <c r="J501" s="145">
        <f t="shared" si="12"/>
        <v>-188674.1</v>
      </c>
    </row>
    <row r="502" spans="1:10" ht="15.75">
      <c r="A502" s="74" t="s">
        <v>477</v>
      </c>
      <c r="B502" s="80" t="s">
        <v>478</v>
      </c>
      <c r="C502" s="54"/>
      <c r="D502" s="54"/>
      <c r="E502" s="54"/>
      <c r="F502" s="57">
        <f>F503</f>
        <v>110999.2</v>
      </c>
      <c r="I502" s="145">
        <f t="shared" si="13"/>
        <v>-110999.2</v>
      </c>
      <c r="J502" s="145">
        <f t="shared" si="12"/>
        <v>-110999.2</v>
      </c>
    </row>
    <row r="503" spans="1:10" ht="31.5">
      <c r="A503" s="74" t="s">
        <v>76</v>
      </c>
      <c r="B503" s="80" t="s">
        <v>478</v>
      </c>
      <c r="C503" s="54" t="s">
        <v>135</v>
      </c>
      <c r="D503" s="54" t="s">
        <v>125</v>
      </c>
      <c r="E503" s="54" t="s">
        <v>48</v>
      </c>
      <c r="F503" s="57">
        <v>110999.2</v>
      </c>
      <c r="G503" s="144">
        <f>SUM(Ведомственная!G851)</f>
        <v>110999.2</v>
      </c>
      <c r="I503" s="145">
        <f t="shared" si="13"/>
        <v>0</v>
      </c>
      <c r="J503" s="145">
        <f t="shared" si="12"/>
        <v>-110999.2</v>
      </c>
    </row>
    <row r="504" spans="1:10" ht="15.75">
      <c r="A504" s="74" t="s">
        <v>486</v>
      </c>
      <c r="B504" s="54" t="s">
        <v>487</v>
      </c>
      <c r="C504" s="54"/>
      <c r="D504" s="54"/>
      <c r="E504" s="54"/>
      <c r="F504" s="57">
        <f>F505</f>
        <v>66244.6</v>
      </c>
      <c r="I504" s="145">
        <f t="shared" si="13"/>
        <v>-66244.6</v>
      </c>
      <c r="J504" s="145">
        <f t="shared" si="12"/>
        <v>-66244.6</v>
      </c>
    </row>
    <row r="505" spans="1:10" ht="31.5">
      <c r="A505" s="74" t="s">
        <v>76</v>
      </c>
      <c r="B505" s="54" t="s">
        <v>487</v>
      </c>
      <c r="C505" s="54" t="s">
        <v>135</v>
      </c>
      <c r="D505" s="54" t="s">
        <v>125</v>
      </c>
      <c r="E505" s="54" t="s">
        <v>58</v>
      </c>
      <c r="F505" s="57">
        <v>66244.6</v>
      </c>
      <c r="G505" s="144">
        <f>SUM(Ведомственная!G881)</f>
        <v>66244.6</v>
      </c>
      <c r="I505" s="145">
        <f t="shared" si="13"/>
        <v>0</v>
      </c>
      <c r="J505" s="145">
        <f t="shared" si="12"/>
        <v>-66244.6</v>
      </c>
    </row>
    <row r="506" spans="1:10" ht="15.75">
      <c r="A506" s="74" t="s">
        <v>166</v>
      </c>
      <c r="B506" s="79" t="s">
        <v>520</v>
      </c>
      <c r="C506" s="54"/>
      <c r="D506" s="54"/>
      <c r="E506" s="54"/>
      <c r="F506" s="57">
        <f>SUM(F508)+F515</f>
        <v>2537.5</v>
      </c>
      <c r="I506" s="145">
        <f aca="true" t="shared" si="14" ref="I506:I570">G506-F506</f>
        <v>-2537.5</v>
      </c>
      <c r="J506" s="145">
        <f t="shared" si="12"/>
        <v>-2537.5</v>
      </c>
    </row>
    <row r="507" spans="1:10" ht="15.75">
      <c r="A507" s="97" t="s">
        <v>168</v>
      </c>
      <c r="B507" s="79" t="s">
        <v>712</v>
      </c>
      <c r="C507" s="54"/>
      <c r="D507" s="54"/>
      <c r="E507" s="54"/>
      <c r="F507" s="57">
        <f>SUM(F508)</f>
        <v>2306.4</v>
      </c>
      <c r="I507" s="145">
        <f t="shared" si="14"/>
        <v>-2306.4</v>
      </c>
      <c r="J507" s="145">
        <f t="shared" si="12"/>
        <v>-2306.4</v>
      </c>
    </row>
    <row r="508" spans="1:10" ht="15.75">
      <c r="A508" s="74" t="s">
        <v>453</v>
      </c>
      <c r="B508" s="79" t="s">
        <v>713</v>
      </c>
      <c r="C508" s="54"/>
      <c r="D508" s="54"/>
      <c r="E508" s="54"/>
      <c r="F508" s="57">
        <f>SUM(F509+F511+F513)</f>
        <v>2306.4</v>
      </c>
      <c r="I508" s="145">
        <f t="shared" si="14"/>
        <v>-2306.4</v>
      </c>
      <c r="J508" s="145">
        <f aca="true" t="shared" si="15" ref="J508:J573">SUM(H508-F508)</f>
        <v>-2306.4</v>
      </c>
    </row>
    <row r="509" spans="1:10" ht="31.5" hidden="1">
      <c r="A509" s="74" t="s">
        <v>456</v>
      </c>
      <c r="B509" s="79" t="s">
        <v>457</v>
      </c>
      <c r="C509" s="54"/>
      <c r="D509" s="54"/>
      <c r="E509" s="54"/>
      <c r="F509" s="57">
        <f>F510</f>
        <v>0</v>
      </c>
      <c r="I509" s="145">
        <f t="shared" si="14"/>
        <v>0</v>
      </c>
      <c r="J509" s="145">
        <f t="shared" si="15"/>
        <v>0</v>
      </c>
    </row>
    <row r="510" spans="1:10" ht="31.5" hidden="1">
      <c r="A510" s="74" t="s">
        <v>76</v>
      </c>
      <c r="B510" s="79" t="s">
        <v>457</v>
      </c>
      <c r="C510" s="54" t="s">
        <v>135</v>
      </c>
      <c r="D510" s="54"/>
      <c r="E510" s="54"/>
      <c r="F510" s="57">
        <v>0</v>
      </c>
      <c r="G510" s="144">
        <f>SUM(Ведомственная!G791)</f>
        <v>0</v>
      </c>
      <c r="I510" s="145">
        <f t="shared" si="14"/>
        <v>0</v>
      </c>
      <c r="J510" s="145">
        <f t="shared" si="15"/>
        <v>0</v>
      </c>
    </row>
    <row r="511" spans="1:10" ht="31.5">
      <c r="A511" s="74" t="s">
        <v>458</v>
      </c>
      <c r="B511" s="79" t="s">
        <v>459</v>
      </c>
      <c r="C511" s="54"/>
      <c r="D511" s="54"/>
      <c r="E511" s="54"/>
      <c r="F511" s="57">
        <f>F512</f>
        <v>126</v>
      </c>
      <c r="I511" s="145">
        <f t="shared" si="14"/>
        <v>-126</v>
      </c>
      <c r="J511" s="145">
        <f t="shared" si="15"/>
        <v>-126</v>
      </c>
    </row>
    <row r="512" spans="1:10" ht="31.5">
      <c r="A512" s="74" t="s">
        <v>76</v>
      </c>
      <c r="B512" s="79" t="s">
        <v>459</v>
      </c>
      <c r="C512" s="54" t="s">
        <v>135</v>
      </c>
      <c r="D512" s="54" t="s">
        <v>125</v>
      </c>
      <c r="E512" s="54" t="s">
        <v>38</v>
      </c>
      <c r="F512" s="57">
        <v>126</v>
      </c>
      <c r="G512" s="144">
        <f>SUM(Ведомственная!G793)</f>
        <v>126</v>
      </c>
      <c r="I512" s="145">
        <f t="shared" si="14"/>
        <v>0</v>
      </c>
      <c r="J512" s="145">
        <f t="shared" si="15"/>
        <v>-126</v>
      </c>
    </row>
    <row r="513" spans="1:10" ht="31.5">
      <c r="A513" s="74" t="s">
        <v>460</v>
      </c>
      <c r="B513" s="79" t="s">
        <v>461</v>
      </c>
      <c r="C513" s="54"/>
      <c r="D513" s="54"/>
      <c r="E513" s="54"/>
      <c r="F513" s="57">
        <f>F514</f>
        <v>2180.4</v>
      </c>
      <c r="I513" s="145">
        <f t="shared" si="14"/>
        <v>-2180.4</v>
      </c>
      <c r="J513" s="145">
        <f t="shared" si="15"/>
        <v>-2180.4</v>
      </c>
    </row>
    <row r="514" spans="1:10" ht="31.5">
      <c r="A514" s="74" t="s">
        <v>76</v>
      </c>
      <c r="B514" s="79" t="s">
        <v>461</v>
      </c>
      <c r="C514" s="54" t="s">
        <v>135</v>
      </c>
      <c r="D514" s="54" t="s">
        <v>125</v>
      </c>
      <c r="E514" s="54" t="s">
        <v>38</v>
      </c>
      <c r="F514" s="57">
        <v>2180.4</v>
      </c>
      <c r="G514" s="144">
        <f>SUM(Ведомственная!G795)</f>
        <v>2180.4</v>
      </c>
      <c r="I514" s="145">
        <f t="shared" si="14"/>
        <v>0</v>
      </c>
      <c r="J514" s="145">
        <f t="shared" si="15"/>
        <v>-2180.4</v>
      </c>
    </row>
    <row r="515" spans="1:10" ht="14.25" customHeight="1">
      <c r="A515" s="74" t="s">
        <v>477</v>
      </c>
      <c r="B515" s="79" t="s">
        <v>479</v>
      </c>
      <c r="C515" s="54"/>
      <c r="D515" s="54"/>
      <c r="E515" s="54"/>
      <c r="F515" s="57">
        <f>F517+F519+F521</f>
        <v>231.1</v>
      </c>
      <c r="I515" s="145">
        <f t="shared" si="14"/>
        <v>-231.1</v>
      </c>
      <c r="J515" s="145">
        <f t="shared" si="15"/>
        <v>-231.1</v>
      </c>
    </row>
    <row r="516" spans="1:10" ht="31.5" hidden="1">
      <c r="A516" s="74" t="s">
        <v>456</v>
      </c>
      <c r="B516" s="79" t="s">
        <v>480</v>
      </c>
      <c r="C516" s="54"/>
      <c r="D516" s="54"/>
      <c r="E516" s="54"/>
      <c r="F516" s="57">
        <f>F517</f>
        <v>0</v>
      </c>
      <c r="I516" s="145">
        <f t="shared" si="14"/>
        <v>0</v>
      </c>
      <c r="J516" s="145">
        <f t="shared" si="15"/>
        <v>0</v>
      </c>
    </row>
    <row r="517" spans="1:10" ht="31.5" hidden="1">
      <c r="A517" s="74" t="s">
        <v>76</v>
      </c>
      <c r="B517" s="79" t="s">
        <v>480</v>
      </c>
      <c r="C517" s="54" t="s">
        <v>135</v>
      </c>
      <c r="D517" s="54"/>
      <c r="E517" s="54"/>
      <c r="F517" s="57"/>
      <c r="G517" s="144">
        <f>SUM(Ведомственная!G855)</f>
        <v>0</v>
      </c>
      <c r="I517" s="145">
        <f t="shared" si="14"/>
        <v>0</v>
      </c>
      <c r="J517" s="145">
        <f t="shared" si="15"/>
        <v>0</v>
      </c>
    </row>
    <row r="518" spans="1:10" ht="31.5">
      <c r="A518" s="74" t="s">
        <v>458</v>
      </c>
      <c r="B518" s="79" t="s">
        <v>481</v>
      </c>
      <c r="C518" s="54"/>
      <c r="D518" s="54"/>
      <c r="E518" s="54"/>
      <c r="F518" s="57">
        <f>F519</f>
        <v>79</v>
      </c>
      <c r="I518" s="145">
        <f t="shared" si="14"/>
        <v>-79</v>
      </c>
      <c r="J518" s="145">
        <f t="shared" si="15"/>
        <v>-79</v>
      </c>
    </row>
    <row r="519" spans="1:10" ht="31.5">
      <c r="A519" s="74" t="s">
        <v>76</v>
      </c>
      <c r="B519" s="79" t="s">
        <v>481</v>
      </c>
      <c r="C519" s="54" t="s">
        <v>135</v>
      </c>
      <c r="D519" s="54" t="s">
        <v>125</v>
      </c>
      <c r="E519" s="54" t="s">
        <v>48</v>
      </c>
      <c r="F519" s="57">
        <v>79</v>
      </c>
      <c r="G519" s="144">
        <f>SUM(Ведомственная!G857)</f>
        <v>79</v>
      </c>
      <c r="I519" s="145">
        <f t="shared" si="14"/>
        <v>0</v>
      </c>
      <c r="J519" s="145">
        <f t="shared" si="15"/>
        <v>-79</v>
      </c>
    </row>
    <row r="520" spans="1:10" ht="31.5">
      <c r="A520" s="74" t="s">
        <v>460</v>
      </c>
      <c r="B520" s="79" t="s">
        <v>482</v>
      </c>
      <c r="C520" s="54"/>
      <c r="D520" s="54"/>
      <c r="E520" s="54"/>
      <c r="F520" s="57">
        <f>F521</f>
        <v>152.1</v>
      </c>
      <c r="I520" s="145">
        <f t="shared" si="14"/>
        <v>-152.1</v>
      </c>
      <c r="J520" s="145">
        <f t="shared" si="15"/>
        <v>-152.1</v>
      </c>
    </row>
    <row r="521" spans="1:10" ht="31.5">
      <c r="A521" s="74" t="s">
        <v>76</v>
      </c>
      <c r="B521" s="79" t="s">
        <v>482</v>
      </c>
      <c r="C521" s="54" t="s">
        <v>135</v>
      </c>
      <c r="D521" s="54" t="s">
        <v>125</v>
      </c>
      <c r="E521" s="54" t="s">
        <v>48</v>
      </c>
      <c r="F521" s="57">
        <v>152.1</v>
      </c>
      <c r="G521" s="144">
        <f>SUM(Ведомственная!G859)</f>
        <v>152.1</v>
      </c>
      <c r="I521" s="145">
        <f t="shared" si="14"/>
        <v>0</v>
      </c>
      <c r="J521" s="145">
        <f t="shared" si="15"/>
        <v>-152.1</v>
      </c>
    </row>
    <row r="522" spans="1:10" ht="31.5">
      <c r="A522" s="74" t="s">
        <v>49</v>
      </c>
      <c r="B522" s="79" t="s">
        <v>462</v>
      </c>
      <c r="C522" s="54"/>
      <c r="D522" s="54"/>
      <c r="E522" s="54"/>
      <c r="F522" s="57">
        <f>SUM(F523+F527+F532)</f>
        <v>156962.69999999998</v>
      </c>
      <c r="I522" s="145">
        <f t="shared" si="14"/>
        <v>-156962.69999999998</v>
      </c>
      <c r="J522" s="145">
        <f t="shared" si="15"/>
        <v>-156962.69999999998</v>
      </c>
    </row>
    <row r="523" spans="1:10" ht="15.75">
      <c r="A523" s="74" t="s">
        <v>453</v>
      </c>
      <c r="B523" s="79" t="s">
        <v>463</v>
      </c>
      <c r="C523" s="54"/>
      <c r="D523" s="54"/>
      <c r="E523" s="54"/>
      <c r="F523" s="57">
        <f>F524+F525+F526</f>
        <v>43915.6</v>
      </c>
      <c r="I523" s="145">
        <f t="shared" si="14"/>
        <v>-43915.6</v>
      </c>
      <c r="J523" s="145">
        <f t="shared" si="15"/>
        <v>-43915.6</v>
      </c>
    </row>
    <row r="524" spans="1:10" ht="63">
      <c r="A524" s="48" t="s">
        <v>55</v>
      </c>
      <c r="B524" s="79" t="s">
        <v>463</v>
      </c>
      <c r="C524" s="54" t="s">
        <v>99</v>
      </c>
      <c r="D524" s="54" t="s">
        <v>125</v>
      </c>
      <c r="E524" s="54" t="s">
        <v>38</v>
      </c>
      <c r="F524" s="57">
        <v>13364.2</v>
      </c>
      <c r="G524" s="144">
        <f>SUM(Ведомственная!G798)</f>
        <v>13364.2</v>
      </c>
      <c r="I524" s="145">
        <f t="shared" si="14"/>
        <v>0</v>
      </c>
      <c r="J524" s="145">
        <f t="shared" si="15"/>
        <v>-13364.2</v>
      </c>
    </row>
    <row r="525" spans="1:10" ht="31.5">
      <c r="A525" s="74" t="s">
        <v>56</v>
      </c>
      <c r="B525" s="79" t="s">
        <v>463</v>
      </c>
      <c r="C525" s="54" t="s">
        <v>101</v>
      </c>
      <c r="D525" s="54" t="s">
        <v>125</v>
      </c>
      <c r="E525" s="54" t="s">
        <v>38</v>
      </c>
      <c r="F525" s="57">
        <v>28950.3</v>
      </c>
      <c r="G525" s="144">
        <f>SUM(Ведомственная!G799)</f>
        <v>28950.3</v>
      </c>
      <c r="I525" s="145">
        <f t="shared" si="14"/>
        <v>0</v>
      </c>
      <c r="J525" s="145">
        <f t="shared" si="15"/>
        <v>-28950.3</v>
      </c>
    </row>
    <row r="526" spans="1:10" ht="15.75">
      <c r="A526" s="74" t="s">
        <v>26</v>
      </c>
      <c r="B526" s="79" t="s">
        <v>463</v>
      </c>
      <c r="C526" s="54" t="s">
        <v>106</v>
      </c>
      <c r="D526" s="54" t="s">
        <v>125</v>
      </c>
      <c r="E526" s="54" t="s">
        <v>38</v>
      </c>
      <c r="F526" s="57">
        <v>1601.1</v>
      </c>
      <c r="G526" s="144">
        <f>SUM(Ведомственная!G800)</f>
        <v>1601.1</v>
      </c>
      <c r="I526" s="145">
        <f t="shared" si="14"/>
        <v>0</v>
      </c>
      <c r="J526" s="145">
        <f t="shared" si="15"/>
        <v>-1601.1</v>
      </c>
    </row>
    <row r="527" spans="1:10" ht="15.75">
      <c r="A527" s="74" t="s">
        <v>477</v>
      </c>
      <c r="B527" s="79" t="s">
        <v>483</v>
      </c>
      <c r="C527" s="79"/>
      <c r="D527" s="73"/>
      <c r="E527" s="73"/>
      <c r="F527" s="57">
        <f>F528+F529+F531+F530</f>
        <v>105148.8</v>
      </c>
      <c r="I527" s="145">
        <f t="shared" si="14"/>
        <v>-105148.8</v>
      </c>
      <c r="J527" s="145">
        <f t="shared" si="15"/>
        <v>-105148.8</v>
      </c>
    </row>
    <row r="528" spans="1:10" ht="63">
      <c r="A528" s="48" t="s">
        <v>55</v>
      </c>
      <c r="B528" s="79" t="s">
        <v>483</v>
      </c>
      <c r="C528" s="54" t="s">
        <v>99</v>
      </c>
      <c r="D528" s="54" t="s">
        <v>125</v>
      </c>
      <c r="E528" s="54" t="s">
        <v>48</v>
      </c>
      <c r="F528" s="57">
        <v>44118</v>
      </c>
      <c r="G528" s="144">
        <f>SUM(Ведомственная!G862)</f>
        <v>44118</v>
      </c>
      <c r="I528" s="145">
        <f t="shared" si="14"/>
        <v>0</v>
      </c>
      <c r="J528" s="145">
        <f t="shared" si="15"/>
        <v>-44118</v>
      </c>
    </row>
    <row r="529" spans="1:10" ht="31.5">
      <c r="A529" s="74" t="s">
        <v>56</v>
      </c>
      <c r="B529" s="79" t="s">
        <v>483</v>
      </c>
      <c r="C529" s="54" t="s">
        <v>101</v>
      </c>
      <c r="D529" s="54" t="s">
        <v>125</v>
      </c>
      <c r="E529" s="54" t="s">
        <v>48</v>
      </c>
      <c r="F529" s="57">
        <v>47086.5</v>
      </c>
      <c r="G529" s="144">
        <f>SUM(Ведомственная!G863)</f>
        <v>47086.5</v>
      </c>
      <c r="I529" s="145">
        <f t="shared" si="14"/>
        <v>0</v>
      </c>
      <c r="J529" s="145">
        <f t="shared" si="15"/>
        <v>-47086.5</v>
      </c>
    </row>
    <row r="530" spans="1:10" ht="15.75">
      <c r="A530" s="179" t="s">
        <v>46</v>
      </c>
      <c r="B530" s="79" t="s">
        <v>483</v>
      </c>
      <c r="C530" s="54" t="s">
        <v>109</v>
      </c>
      <c r="D530" s="54" t="s">
        <v>125</v>
      </c>
      <c r="E530" s="54" t="s">
        <v>48</v>
      </c>
      <c r="F530" s="57">
        <v>3</v>
      </c>
      <c r="G530" s="144">
        <f>SUM(Ведомственная!G864)</f>
        <v>3</v>
      </c>
      <c r="I530" s="145">
        <f t="shared" si="14"/>
        <v>0</v>
      </c>
      <c r="J530" s="145">
        <f t="shared" si="15"/>
        <v>-3</v>
      </c>
    </row>
    <row r="531" spans="1:10" ht="15.75">
      <c r="A531" s="74" t="s">
        <v>26</v>
      </c>
      <c r="B531" s="79" t="s">
        <v>483</v>
      </c>
      <c r="C531" s="54" t="s">
        <v>106</v>
      </c>
      <c r="D531" s="54" t="s">
        <v>125</v>
      </c>
      <c r="E531" s="54" t="s">
        <v>48</v>
      </c>
      <c r="F531" s="57">
        <v>13941.3</v>
      </c>
      <c r="G531" s="144">
        <f>SUM(Ведомственная!G865)</f>
        <v>13941.3</v>
      </c>
      <c r="I531" s="145">
        <f t="shared" si="14"/>
        <v>0</v>
      </c>
      <c r="J531" s="145">
        <f t="shared" si="15"/>
        <v>-13941.3</v>
      </c>
    </row>
    <row r="532" spans="1:10" ht="15.75">
      <c r="A532" s="74" t="s">
        <v>484</v>
      </c>
      <c r="B532" s="80" t="s">
        <v>485</v>
      </c>
      <c r="C532" s="80"/>
      <c r="D532" s="54"/>
      <c r="E532" s="54"/>
      <c r="F532" s="57">
        <f>F533+F534+F535</f>
        <v>7898.3</v>
      </c>
      <c r="I532" s="145">
        <f t="shared" si="14"/>
        <v>-7898.3</v>
      </c>
      <c r="J532" s="145">
        <f t="shared" si="15"/>
        <v>-7898.3</v>
      </c>
    </row>
    <row r="533" spans="1:10" ht="63">
      <c r="A533" s="48" t="s">
        <v>55</v>
      </c>
      <c r="B533" s="80" t="s">
        <v>485</v>
      </c>
      <c r="C533" s="80">
        <v>100</v>
      </c>
      <c r="D533" s="54" t="s">
        <v>125</v>
      </c>
      <c r="E533" s="54" t="s">
        <v>48</v>
      </c>
      <c r="F533" s="57">
        <v>3349.9</v>
      </c>
      <c r="G533" s="144">
        <f>SUM(Ведомственная!G867)</f>
        <v>3349.9</v>
      </c>
      <c r="I533" s="145">
        <f t="shared" si="14"/>
        <v>0</v>
      </c>
      <c r="J533" s="145">
        <f t="shared" si="15"/>
        <v>-3349.9</v>
      </c>
    </row>
    <row r="534" spans="1:10" ht="31.5">
      <c r="A534" s="74" t="s">
        <v>56</v>
      </c>
      <c r="B534" s="80" t="s">
        <v>485</v>
      </c>
      <c r="C534" s="80">
        <v>200</v>
      </c>
      <c r="D534" s="54" t="s">
        <v>125</v>
      </c>
      <c r="E534" s="54" t="s">
        <v>48</v>
      </c>
      <c r="F534" s="57">
        <v>3327.7</v>
      </c>
      <c r="G534" s="144">
        <f>SUM(Ведомственная!G868)</f>
        <v>3327.7</v>
      </c>
      <c r="I534" s="145">
        <f t="shared" si="14"/>
        <v>0</v>
      </c>
      <c r="J534" s="145">
        <f t="shared" si="15"/>
        <v>-3327.7</v>
      </c>
    </row>
    <row r="535" spans="1:10" ht="15.75">
      <c r="A535" s="74" t="s">
        <v>26</v>
      </c>
      <c r="B535" s="80" t="s">
        <v>485</v>
      </c>
      <c r="C535" s="80">
        <v>800</v>
      </c>
      <c r="D535" s="54" t="s">
        <v>125</v>
      </c>
      <c r="E535" s="54" t="s">
        <v>48</v>
      </c>
      <c r="F535" s="57">
        <v>1220.7</v>
      </c>
      <c r="G535" s="144">
        <f>SUM(Ведомственная!G869)</f>
        <v>1220.7</v>
      </c>
      <c r="I535" s="145">
        <f t="shared" si="14"/>
        <v>0</v>
      </c>
      <c r="J535" s="145">
        <f t="shared" si="15"/>
        <v>-1220.7</v>
      </c>
    </row>
    <row r="536" spans="1:10" ht="31.5">
      <c r="A536" s="74" t="s">
        <v>501</v>
      </c>
      <c r="B536" s="54" t="s">
        <v>502</v>
      </c>
      <c r="C536" s="54"/>
      <c r="D536" s="54"/>
      <c r="E536" s="54"/>
      <c r="F536" s="57">
        <f>F537+F543</f>
        <v>3176.9999999999995</v>
      </c>
      <c r="I536" s="145">
        <f t="shared" si="14"/>
        <v>-3176.9999999999995</v>
      </c>
      <c r="J536" s="145">
        <f t="shared" si="15"/>
        <v>-3176.9999999999995</v>
      </c>
    </row>
    <row r="537" spans="1:10" ht="15.75">
      <c r="A537" s="74" t="s">
        <v>39</v>
      </c>
      <c r="B537" s="54" t="s">
        <v>503</v>
      </c>
      <c r="C537" s="54"/>
      <c r="D537" s="54"/>
      <c r="E537" s="54"/>
      <c r="F537" s="57">
        <f>F538+F541</f>
        <v>1100.1</v>
      </c>
      <c r="I537" s="145">
        <f t="shared" si="14"/>
        <v>-1100.1</v>
      </c>
      <c r="J537" s="145">
        <f t="shared" si="15"/>
        <v>-1100.1</v>
      </c>
    </row>
    <row r="538" spans="1:10" ht="31.5">
      <c r="A538" s="74" t="s">
        <v>504</v>
      </c>
      <c r="B538" s="54" t="s">
        <v>505</v>
      </c>
      <c r="C538" s="54"/>
      <c r="D538" s="54"/>
      <c r="E538" s="54"/>
      <c r="F538" s="57">
        <f>SUM(F539:F540)</f>
        <v>800.1</v>
      </c>
      <c r="I538" s="145">
        <f t="shared" si="14"/>
        <v>-800.1</v>
      </c>
      <c r="J538" s="145">
        <f t="shared" si="15"/>
        <v>-800.1</v>
      </c>
    </row>
    <row r="539" spans="1:10" ht="31.5">
      <c r="A539" s="74" t="s">
        <v>56</v>
      </c>
      <c r="B539" s="54" t="s">
        <v>505</v>
      </c>
      <c r="C539" s="54" t="s">
        <v>101</v>
      </c>
      <c r="D539" s="54" t="s">
        <v>125</v>
      </c>
      <c r="E539" s="54" t="s">
        <v>125</v>
      </c>
      <c r="F539" s="57">
        <v>258.4</v>
      </c>
      <c r="G539" s="144">
        <f>SUM(Ведомственная!G910+Ведомственная!G502+Ведомственная!G988)</f>
        <v>258.40000000000003</v>
      </c>
      <c r="I539" s="145">
        <f t="shared" si="14"/>
        <v>0</v>
      </c>
      <c r="J539" s="145">
        <f t="shared" si="15"/>
        <v>-258.4</v>
      </c>
    </row>
    <row r="540" spans="1:10" ht="31.5">
      <c r="A540" s="157" t="s">
        <v>283</v>
      </c>
      <c r="B540" s="54" t="s">
        <v>505</v>
      </c>
      <c r="C540" s="54" t="s">
        <v>135</v>
      </c>
      <c r="D540" s="54" t="s">
        <v>125</v>
      </c>
      <c r="E540" s="54" t="s">
        <v>125</v>
      </c>
      <c r="F540" s="57">
        <v>541.7</v>
      </c>
      <c r="G540" s="144">
        <f>SUM(Ведомственная!G680+Ведомственная!G989+Ведомственная!G911)</f>
        <v>541.7</v>
      </c>
      <c r="I540" s="145">
        <f t="shared" si="14"/>
        <v>0</v>
      </c>
      <c r="J540" s="145"/>
    </row>
    <row r="541" spans="1:10" ht="63">
      <c r="A541" s="74" t="s">
        <v>506</v>
      </c>
      <c r="B541" s="80" t="s">
        <v>507</v>
      </c>
      <c r="C541" s="54"/>
      <c r="D541" s="54"/>
      <c r="E541" s="54"/>
      <c r="F541" s="57">
        <v>300</v>
      </c>
      <c r="I541" s="145">
        <f t="shared" si="14"/>
        <v>-300</v>
      </c>
      <c r="J541" s="145">
        <f t="shared" si="15"/>
        <v>-300</v>
      </c>
    </row>
    <row r="542" spans="1:10" ht="31.5">
      <c r="A542" s="74" t="s">
        <v>56</v>
      </c>
      <c r="B542" s="80" t="s">
        <v>507</v>
      </c>
      <c r="C542" s="54" t="s">
        <v>101</v>
      </c>
      <c r="D542" s="54" t="s">
        <v>125</v>
      </c>
      <c r="E542" s="54" t="s">
        <v>125</v>
      </c>
      <c r="F542" s="57">
        <v>300</v>
      </c>
      <c r="G542" s="144">
        <f>SUM(Ведомственная!G913)</f>
        <v>300</v>
      </c>
      <c r="I542" s="145">
        <f t="shared" si="14"/>
        <v>0</v>
      </c>
      <c r="J542" s="145">
        <f t="shared" si="15"/>
        <v>-300</v>
      </c>
    </row>
    <row r="543" spans="1:10" ht="31.5">
      <c r="A543" s="74" t="s">
        <v>49</v>
      </c>
      <c r="B543" s="79" t="s">
        <v>508</v>
      </c>
      <c r="C543" s="54"/>
      <c r="D543" s="54"/>
      <c r="E543" s="54"/>
      <c r="F543" s="57">
        <f>SUM(F544)</f>
        <v>2076.8999999999996</v>
      </c>
      <c r="I543" s="145">
        <f t="shared" si="14"/>
        <v>-2076.8999999999996</v>
      </c>
      <c r="J543" s="145">
        <f t="shared" si="15"/>
        <v>-2076.8999999999996</v>
      </c>
    </row>
    <row r="544" spans="1:10" ht="31.5">
      <c r="A544" s="89" t="s">
        <v>509</v>
      </c>
      <c r="B544" s="79" t="s">
        <v>510</v>
      </c>
      <c r="C544" s="54"/>
      <c r="D544" s="54"/>
      <c r="E544" s="54"/>
      <c r="F544" s="57">
        <f>F545+F546+F547</f>
        <v>2076.8999999999996</v>
      </c>
      <c r="I544" s="145">
        <f t="shared" si="14"/>
        <v>-2076.8999999999996</v>
      </c>
      <c r="J544" s="145">
        <f t="shared" si="15"/>
        <v>-2076.8999999999996</v>
      </c>
    </row>
    <row r="545" spans="1:10" ht="63">
      <c r="A545" s="48" t="s">
        <v>55</v>
      </c>
      <c r="B545" s="79" t="s">
        <v>510</v>
      </c>
      <c r="C545" s="54" t="s">
        <v>99</v>
      </c>
      <c r="D545" s="54" t="s">
        <v>125</v>
      </c>
      <c r="E545" s="54" t="s">
        <v>125</v>
      </c>
      <c r="F545" s="57">
        <v>1890</v>
      </c>
      <c r="G545" s="144">
        <f>SUM(Ведомственная!G916)</f>
        <v>1890</v>
      </c>
      <c r="I545" s="145">
        <f t="shared" si="14"/>
        <v>0</v>
      </c>
      <c r="J545" s="145">
        <f t="shared" si="15"/>
        <v>-1890</v>
      </c>
    </row>
    <row r="546" spans="1:10" ht="31.5">
      <c r="A546" s="74" t="s">
        <v>56</v>
      </c>
      <c r="B546" s="79" t="s">
        <v>510</v>
      </c>
      <c r="C546" s="54" t="s">
        <v>101</v>
      </c>
      <c r="D546" s="54" t="s">
        <v>125</v>
      </c>
      <c r="E546" s="54" t="s">
        <v>125</v>
      </c>
      <c r="F546" s="57">
        <v>183.7</v>
      </c>
      <c r="G546" s="144">
        <f>SUM(Ведомственная!G917)</f>
        <v>183.7</v>
      </c>
      <c r="I546" s="145">
        <f t="shared" si="14"/>
        <v>0</v>
      </c>
      <c r="J546" s="145">
        <f t="shared" si="15"/>
        <v>-183.7</v>
      </c>
    </row>
    <row r="547" spans="1:10" ht="15.75">
      <c r="A547" s="74" t="s">
        <v>26</v>
      </c>
      <c r="B547" s="79" t="s">
        <v>510</v>
      </c>
      <c r="C547" s="54" t="s">
        <v>106</v>
      </c>
      <c r="D547" s="54" t="s">
        <v>125</v>
      </c>
      <c r="E547" s="54" t="s">
        <v>125</v>
      </c>
      <c r="F547" s="57">
        <v>3.2</v>
      </c>
      <c r="G547" s="144">
        <f>SUM(Ведомственная!G918)</f>
        <v>3.2</v>
      </c>
      <c r="I547" s="145">
        <f t="shared" si="14"/>
        <v>0</v>
      </c>
      <c r="J547" s="145">
        <f t="shared" si="15"/>
        <v>-3.2</v>
      </c>
    </row>
    <row r="548" spans="1:10" ht="31.5">
      <c r="A548" s="74" t="s">
        <v>464</v>
      </c>
      <c r="B548" s="79" t="s">
        <v>465</v>
      </c>
      <c r="C548" s="54"/>
      <c r="D548" s="54"/>
      <c r="E548" s="54"/>
      <c r="F548" s="57">
        <f>F549</f>
        <v>12600</v>
      </c>
      <c r="I548" s="145">
        <f t="shared" si="14"/>
        <v>-12600</v>
      </c>
      <c r="J548" s="145">
        <f t="shared" si="15"/>
        <v>-12600</v>
      </c>
    </row>
    <row r="549" spans="1:10" ht="15.75">
      <c r="A549" s="74" t="s">
        <v>39</v>
      </c>
      <c r="B549" s="79" t="s">
        <v>466</v>
      </c>
      <c r="C549" s="54"/>
      <c r="D549" s="54"/>
      <c r="E549" s="54"/>
      <c r="F549" s="57">
        <f>SUM(F550:F555)</f>
        <v>12600</v>
      </c>
      <c r="I549" s="145">
        <f t="shared" si="14"/>
        <v>-12600</v>
      </c>
      <c r="J549" s="145">
        <f t="shared" si="15"/>
        <v>-12600</v>
      </c>
    </row>
    <row r="550" spans="1:10" ht="31.5">
      <c r="A550" s="74" t="s">
        <v>56</v>
      </c>
      <c r="B550" s="79" t="s">
        <v>466</v>
      </c>
      <c r="C550" s="54" t="s">
        <v>101</v>
      </c>
      <c r="D550" s="54" t="s">
        <v>125</v>
      </c>
      <c r="E550" s="54" t="s">
        <v>38</v>
      </c>
      <c r="F550" s="57">
        <v>958.6</v>
      </c>
      <c r="G550" s="144">
        <f>SUM(Ведомственная!G803)</f>
        <v>958.6</v>
      </c>
      <c r="I550" s="145">
        <f t="shared" si="14"/>
        <v>0</v>
      </c>
      <c r="J550" s="145">
        <f t="shared" si="15"/>
        <v>-958.6</v>
      </c>
    </row>
    <row r="551" spans="1:10" ht="31.5">
      <c r="A551" s="74" t="s">
        <v>76</v>
      </c>
      <c r="B551" s="79" t="s">
        <v>466</v>
      </c>
      <c r="C551" s="54" t="s">
        <v>135</v>
      </c>
      <c r="D551" s="54" t="s">
        <v>125</v>
      </c>
      <c r="E551" s="54" t="s">
        <v>38</v>
      </c>
      <c r="F551" s="57">
        <v>4036.5</v>
      </c>
      <c r="G551" s="144">
        <f>SUM(Ведомственная!G804)</f>
        <v>4036.5</v>
      </c>
      <c r="I551" s="145">
        <f t="shared" si="14"/>
        <v>0</v>
      </c>
      <c r="J551" s="145">
        <f t="shared" si="15"/>
        <v>-4036.5</v>
      </c>
    </row>
    <row r="552" spans="1:10" ht="31.5">
      <c r="A552" s="74" t="s">
        <v>56</v>
      </c>
      <c r="B552" s="79" t="s">
        <v>466</v>
      </c>
      <c r="C552" s="54" t="s">
        <v>101</v>
      </c>
      <c r="D552" s="54" t="s">
        <v>125</v>
      </c>
      <c r="E552" s="54" t="s">
        <v>48</v>
      </c>
      <c r="F552" s="57">
        <v>5299.5</v>
      </c>
      <c r="G552" s="144">
        <f>SUM(Ведомственная!G872)</f>
        <v>5299.5</v>
      </c>
      <c r="I552" s="145">
        <f t="shared" si="14"/>
        <v>0</v>
      </c>
      <c r="J552" s="145">
        <f t="shared" si="15"/>
        <v>-5299.5</v>
      </c>
    </row>
    <row r="553" spans="1:10" ht="44.25" customHeight="1">
      <c r="A553" s="74" t="s">
        <v>76</v>
      </c>
      <c r="B553" s="79" t="s">
        <v>466</v>
      </c>
      <c r="C553" s="54" t="s">
        <v>135</v>
      </c>
      <c r="D553" s="54" t="s">
        <v>125</v>
      </c>
      <c r="E553" s="54" t="s">
        <v>48</v>
      </c>
      <c r="F553" s="57">
        <v>2055.4</v>
      </c>
      <c r="G553" s="144">
        <f>SUM(Ведомственная!G873)</f>
        <v>2055.4</v>
      </c>
      <c r="I553" s="145">
        <f t="shared" si="14"/>
        <v>0</v>
      </c>
      <c r="J553" s="145">
        <f t="shared" si="15"/>
        <v>-2055.4</v>
      </c>
    </row>
    <row r="554" spans="1:10" ht="30.75" customHeight="1">
      <c r="A554" s="74" t="s">
        <v>56</v>
      </c>
      <c r="B554" s="79" t="s">
        <v>466</v>
      </c>
      <c r="C554" s="54" t="s">
        <v>101</v>
      </c>
      <c r="D554" s="54" t="s">
        <v>125</v>
      </c>
      <c r="E554" s="54" t="s">
        <v>192</v>
      </c>
      <c r="F554" s="57">
        <v>250</v>
      </c>
      <c r="G554" s="144">
        <f>SUM(Ведомственная!G936)</f>
        <v>250</v>
      </c>
      <c r="I554" s="145">
        <f t="shared" si="14"/>
        <v>0</v>
      </c>
      <c r="J554" s="145">
        <f t="shared" si="15"/>
        <v>-250</v>
      </c>
    </row>
    <row r="555" spans="1:10" ht="31.5" hidden="1">
      <c r="A555" s="74" t="s">
        <v>76</v>
      </c>
      <c r="B555" s="79" t="s">
        <v>466</v>
      </c>
      <c r="C555" s="54" t="s">
        <v>135</v>
      </c>
      <c r="D555" s="54" t="s">
        <v>125</v>
      </c>
      <c r="E555" s="54" t="s">
        <v>82</v>
      </c>
      <c r="F555" s="57"/>
      <c r="G555" s="144">
        <f>SUM(Ведомственная!G884)</f>
        <v>0</v>
      </c>
      <c r="I555" s="145">
        <f t="shared" si="14"/>
        <v>0</v>
      </c>
      <c r="J555" s="145">
        <f t="shared" si="15"/>
        <v>0</v>
      </c>
    </row>
    <row r="556" spans="1:10" ht="31.5">
      <c r="A556" s="74" t="s">
        <v>511</v>
      </c>
      <c r="B556" s="79" t="s">
        <v>512</v>
      </c>
      <c r="C556" s="54"/>
      <c r="D556" s="54"/>
      <c r="E556" s="54"/>
      <c r="F556" s="57">
        <f>F560+F557</f>
        <v>41887.99999999999</v>
      </c>
      <c r="I556" s="145">
        <f t="shared" si="14"/>
        <v>-41887.99999999999</v>
      </c>
      <c r="J556" s="145">
        <f t="shared" si="15"/>
        <v>-41887.99999999999</v>
      </c>
    </row>
    <row r="557" spans="1:10" ht="15.75" hidden="1">
      <c r="A557" s="74" t="s">
        <v>39</v>
      </c>
      <c r="B557" s="56" t="s">
        <v>635</v>
      </c>
      <c r="C557" s="54"/>
      <c r="D557" s="54"/>
      <c r="E557" s="54"/>
      <c r="F557" s="57">
        <f>F558</f>
        <v>0</v>
      </c>
      <c r="I557" s="145">
        <f t="shared" si="14"/>
        <v>0</v>
      </c>
      <c r="J557" s="145">
        <f t="shared" si="15"/>
        <v>0</v>
      </c>
    </row>
    <row r="558" spans="1:10" ht="15.75" hidden="1">
      <c r="A558" s="74" t="s">
        <v>636</v>
      </c>
      <c r="B558" s="56" t="s">
        <v>637</v>
      </c>
      <c r="C558" s="54"/>
      <c r="D558" s="54"/>
      <c r="E558" s="54"/>
      <c r="F558" s="57">
        <f>F559</f>
        <v>0</v>
      </c>
      <c r="I558" s="145">
        <f t="shared" si="14"/>
        <v>0</v>
      </c>
      <c r="J558" s="145">
        <f t="shared" si="15"/>
        <v>0</v>
      </c>
    </row>
    <row r="559" spans="1:10" ht="31.5" hidden="1">
      <c r="A559" s="74" t="s">
        <v>56</v>
      </c>
      <c r="B559" s="56" t="s">
        <v>637</v>
      </c>
      <c r="C559" s="54" t="s">
        <v>101</v>
      </c>
      <c r="D559" s="54"/>
      <c r="E559" s="54"/>
      <c r="F559" s="57"/>
      <c r="I559" s="145">
        <f t="shared" si="14"/>
        <v>0</v>
      </c>
      <c r="J559" s="145">
        <f t="shared" si="15"/>
        <v>0</v>
      </c>
    </row>
    <row r="560" spans="1:10" ht="31.5">
      <c r="A560" s="74" t="s">
        <v>49</v>
      </c>
      <c r="B560" s="80" t="s">
        <v>513</v>
      </c>
      <c r="C560" s="54"/>
      <c r="D560" s="54"/>
      <c r="E560" s="54"/>
      <c r="F560" s="57">
        <f>SUM(F561)</f>
        <v>41887.99999999999</v>
      </c>
      <c r="I560" s="145">
        <f t="shared" si="14"/>
        <v>-41887.99999999999</v>
      </c>
      <c r="J560" s="145">
        <f t="shared" si="15"/>
        <v>-41887.99999999999</v>
      </c>
    </row>
    <row r="561" spans="1:10" ht="15.75">
      <c r="A561" s="97" t="s">
        <v>521</v>
      </c>
      <c r="B561" s="80" t="s">
        <v>514</v>
      </c>
      <c r="C561" s="54"/>
      <c r="D561" s="54"/>
      <c r="E561" s="54"/>
      <c r="F561" s="57">
        <f>F562+F563+F564</f>
        <v>41887.99999999999</v>
      </c>
      <c r="I561" s="145">
        <f t="shared" si="14"/>
        <v>-41887.99999999999</v>
      </c>
      <c r="J561" s="145">
        <f t="shared" si="15"/>
        <v>-41887.99999999999</v>
      </c>
    </row>
    <row r="562" spans="1:10" ht="63">
      <c r="A562" s="48" t="s">
        <v>55</v>
      </c>
      <c r="B562" s="80" t="s">
        <v>514</v>
      </c>
      <c r="C562" s="54" t="s">
        <v>99</v>
      </c>
      <c r="D562" s="54" t="s">
        <v>125</v>
      </c>
      <c r="E562" s="54" t="s">
        <v>192</v>
      </c>
      <c r="F562" s="57">
        <v>37029.2</v>
      </c>
      <c r="G562" s="144">
        <f>SUM(Ведомственная!G940)</f>
        <v>37029.2</v>
      </c>
      <c r="I562" s="145">
        <f t="shared" si="14"/>
        <v>0</v>
      </c>
      <c r="J562" s="145">
        <f t="shared" si="15"/>
        <v>-37029.2</v>
      </c>
    </row>
    <row r="563" spans="1:10" ht="31.5">
      <c r="A563" s="74" t="s">
        <v>56</v>
      </c>
      <c r="B563" s="80" t="s">
        <v>514</v>
      </c>
      <c r="C563" s="54" t="s">
        <v>101</v>
      </c>
      <c r="D563" s="54" t="s">
        <v>125</v>
      </c>
      <c r="E563" s="54" t="s">
        <v>192</v>
      </c>
      <c r="F563" s="57">
        <v>4467.6</v>
      </c>
      <c r="G563" s="144">
        <f>SUM(Ведомственная!G941)</f>
        <v>4467.6</v>
      </c>
      <c r="I563" s="145">
        <f t="shared" si="14"/>
        <v>0</v>
      </c>
      <c r="J563" s="145">
        <f t="shared" si="15"/>
        <v>-4467.6</v>
      </c>
    </row>
    <row r="564" spans="1:10" ht="15.75">
      <c r="A564" s="74" t="s">
        <v>26</v>
      </c>
      <c r="B564" s="80" t="s">
        <v>514</v>
      </c>
      <c r="C564" s="54" t="s">
        <v>106</v>
      </c>
      <c r="D564" s="54" t="s">
        <v>125</v>
      </c>
      <c r="E564" s="54" t="s">
        <v>192</v>
      </c>
      <c r="F564" s="57">
        <v>391.2</v>
      </c>
      <c r="G564" s="144">
        <f>SUM(Ведомственная!G942)</f>
        <v>391.2</v>
      </c>
      <c r="I564" s="145">
        <f t="shared" si="14"/>
        <v>0</v>
      </c>
      <c r="J564" s="145">
        <f t="shared" si="15"/>
        <v>-391.2</v>
      </c>
    </row>
    <row r="565" spans="1:11" ht="31.5">
      <c r="A565" s="74" t="s">
        <v>324</v>
      </c>
      <c r="B565" s="54" t="s">
        <v>325</v>
      </c>
      <c r="C565" s="54"/>
      <c r="D565" s="54"/>
      <c r="E565" s="54"/>
      <c r="F565" s="57">
        <f>F566+F572+F587+F595</f>
        <v>100551</v>
      </c>
      <c r="H565" s="146">
        <f>SUM(G566:G616)</f>
        <v>100551</v>
      </c>
      <c r="I565" s="145">
        <f t="shared" si="14"/>
        <v>-100551</v>
      </c>
      <c r="J565" s="145">
        <f t="shared" si="15"/>
        <v>0</v>
      </c>
      <c r="K565" s="28">
        <f>Ведомственная!G690+Ведомственная!G429</f>
        <v>100551</v>
      </c>
    </row>
    <row r="566" spans="1:11" ht="31.5">
      <c r="A566" s="74" t="s">
        <v>426</v>
      </c>
      <c r="B566" s="54" t="s">
        <v>326</v>
      </c>
      <c r="C566" s="54"/>
      <c r="D566" s="54"/>
      <c r="E566" s="54"/>
      <c r="F566" s="57">
        <f>F567</f>
        <v>6002.3</v>
      </c>
      <c r="I566" s="145">
        <f t="shared" si="14"/>
        <v>-6002.3</v>
      </c>
      <c r="J566" s="145">
        <f t="shared" si="15"/>
        <v>-6002.3</v>
      </c>
      <c r="K566" s="37">
        <f>K565-F565</f>
        <v>0</v>
      </c>
    </row>
    <row r="567" spans="1:10" ht="31.5">
      <c r="A567" s="74" t="s">
        <v>49</v>
      </c>
      <c r="B567" s="54" t="s">
        <v>327</v>
      </c>
      <c r="C567" s="54"/>
      <c r="D567" s="54"/>
      <c r="E567" s="54"/>
      <c r="F567" s="57">
        <f>F568</f>
        <v>6002.3</v>
      </c>
      <c r="I567" s="145">
        <f t="shared" si="14"/>
        <v>-6002.3</v>
      </c>
      <c r="J567" s="145">
        <f t="shared" si="15"/>
        <v>-6002.3</v>
      </c>
    </row>
    <row r="568" spans="1:10" ht="15.75">
      <c r="A568" s="74" t="s">
        <v>328</v>
      </c>
      <c r="B568" s="54" t="s">
        <v>329</v>
      </c>
      <c r="C568" s="54"/>
      <c r="D568" s="54"/>
      <c r="E568" s="54"/>
      <c r="F568" s="57">
        <f>F569+F570+F571</f>
        <v>6002.3</v>
      </c>
      <c r="I568" s="145">
        <f t="shared" si="14"/>
        <v>-6002.3</v>
      </c>
      <c r="J568" s="145">
        <f t="shared" si="15"/>
        <v>-6002.3</v>
      </c>
    </row>
    <row r="569" spans="1:10" ht="63">
      <c r="A569" s="48" t="s">
        <v>55</v>
      </c>
      <c r="B569" s="54" t="s">
        <v>329</v>
      </c>
      <c r="C569" s="54" t="s">
        <v>99</v>
      </c>
      <c r="D569" s="54" t="s">
        <v>189</v>
      </c>
      <c r="E569" s="54" t="s">
        <v>38</v>
      </c>
      <c r="F569" s="57">
        <v>5274.4</v>
      </c>
      <c r="G569" s="144">
        <f>SUM(Ведомственная!G694)</f>
        <v>5274.4</v>
      </c>
      <c r="I569" s="145">
        <f t="shared" si="14"/>
        <v>0</v>
      </c>
      <c r="J569" s="145">
        <f t="shared" si="15"/>
        <v>-5274.4</v>
      </c>
    </row>
    <row r="570" spans="1:10" ht="31.5">
      <c r="A570" s="74" t="s">
        <v>56</v>
      </c>
      <c r="B570" s="54" t="s">
        <v>329</v>
      </c>
      <c r="C570" s="54" t="s">
        <v>101</v>
      </c>
      <c r="D570" s="54" t="s">
        <v>189</v>
      </c>
      <c r="E570" s="54" t="s">
        <v>38</v>
      </c>
      <c r="F570" s="55">
        <v>726.1</v>
      </c>
      <c r="G570" s="144">
        <f>SUM(Ведомственная!G695)</f>
        <v>726.1</v>
      </c>
      <c r="I570" s="145">
        <f t="shared" si="14"/>
        <v>0</v>
      </c>
      <c r="J570" s="145">
        <f t="shared" si="15"/>
        <v>-726.1</v>
      </c>
    </row>
    <row r="571" spans="1:10" ht="15.75">
      <c r="A571" s="74" t="s">
        <v>26</v>
      </c>
      <c r="B571" s="54" t="s">
        <v>329</v>
      </c>
      <c r="C571" s="54" t="s">
        <v>106</v>
      </c>
      <c r="D571" s="54" t="s">
        <v>189</v>
      </c>
      <c r="E571" s="54" t="s">
        <v>38</v>
      </c>
      <c r="F571" s="57">
        <v>1.8</v>
      </c>
      <c r="G571" s="144">
        <f>SUM(Ведомственная!G696)</f>
        <v>1.8</v>
      </c>
      <c r="I571" s="145">
        <f aca="true" t="shared" si="16" ref="I571:I641">G571-F571</f>
        <v>0</v>
      </c>
      <c r="J571" s="145">
        <f t="shared" si="15"/>
        <v>-1.8</v>
      </c>
    </row>
    <row r="572" spans="1:10" ht="31.5">
      <c r="A572" s="74" t="s">
        <v>342</v>
      </c>
      <c r="B572" s="54" t="s">
        <v>330</v>
      </c>
      <c r="C572" s="54"/>
      <c r="D572" s="54"/>
      <c r="E572" s="54"/>
      <c r="F572" s="57">
        <f>F573</f>
        <v>5733</v>
      </c>
      <c r="I572" s="145">
        <f t="shared" si="16"/>
        <v>-5733</v>
      </c>
      <c r="J572" s="145">
        <f t="shared" si="15"/>
        <v>-5733</v>
      </c>
    </row>
    <row r="573" spans="1:10" ht="15.75">
      <c r="A573" s="74" t="s">
        <v>39</v>
      </c>
      <c r="B573" s="54" t="s">
        <v>427</v>
      </c>
      <c r="C573" s="54"/>
      <c r="D573" s="54"/>
      <c r="E573" s="54"/>
      <c r="F573" s="57">
        <f>F574+F580+F585+F578+F583</f>
        <v>5733</v>
      </c>
      <c r="I573" s="145">
        <f t="shared" si="16"/>
        <v>-5733</v>
      </c>
      <c r="J573" s="145">
        <f t="shared" si="15"/>
        <v>-5733</v>
      </c>
    </row>
    <row r="574" spans="1:10" ht="15.75">
      <c r="A574" s="74" t="s">
        <v>328</v>
      </c>
      <c r="B574" s="54" t="s">
        <v>428</v>
      </c>
      <c r="C574" s="54"/>
      <c r="D574" s="54"/>
      <c r="E574" s="54"/>
      <c r="F574" s="57">
        <f>+F575+F576+F577</f>
        <v>3424</v>
      </c>
      <c r="I574" s="145">
        <f t="shared" si="16"/>
        <v>-3424</v>
      </c>
      <c r="J574" s="145">
        <f aca="true" t="shared" si="17" ref="J574:J586">SUM(H574-F574)</f>
        <v>-3424</v>
      </c>
    </row>
    <row r="575" spans="1:10" ht="63">
      <c r="A575" s="48" t="s">
        <v>55</v>
      </c>
      <c r="B575" s="54" t="s">
        <v>428</v>
      </c>
      <c r="C575" s="54" t="s">
        <v>99</v>
      </c>
      <c r="D575" s="54" t="s">
        <v>189</v>
      </c>
      <c r="E575" s="54" t="s">
        <v>38</v>
      </c>
      <c r="F575" s="57">
        <v>1494</v>
      </c>
      <c r="G575" s="144">
        <f>SUM(Ведомственная!G700)</f>
        <v>1494</v>
      </c>
      <c r="I575" s="145">
        <f t="shared" si="16"/>
        <v>0</v>
      </c>
      <c r="J575" s="145">
        <f t="shared" si="17"/>
        <v>-1494</v>
      </c>
    </row>
    <row r="576" spans="1:10" ht="31.5">
      <c r="A576" s="74" t="s">
        <v>56</v>
      </c>
      <c r="B576" s="54" t="s">
        <v>428</v>
      </c>
      <c r="C576" s="54" t="s">
        <v>101</v>
      </c>
      <c r="D576" s="54" t="s">
        <v>189</v>
      </c>
      <c r="E576" s="54" t="s">
        <v>38</v>
      </c>
      <c r="F576" s="57">
        <v>1810</v>
      </c>
      <c r="G576" s="144">
        <f>SUM(Ведомственная!G701)</f>
        <v>1810</v>
      </c>
      <c r="I576" s="145">
        <f t="shared" si="16"/>
        <v>0</v>
      </c>
      <c r="J576" s="145">
        <f t="shared" si="17"/>
        <v>-1810</v>
      </c>
    </row>
    <row r="577" spans="1:10" ht="31.5">
      <c r="A577" s="74" t="s">
        <v>283</v>
      </c>
      <c r="B577" s="54" t="s">
        <v>428</v>
      </c>
      <c r="C577" s="54" t="s">
        <v>135</v>
      </c>
      <c r="D577" s="54" t="s">
        <v>189</v>
      </c>
      <c r="E577" s="54" t="s">
        <v>38</v>
      </c>
      <c r="F577" s="57">
        <v>120</v>
      </c>
      <c r="G577" s="144">
        <f>SUM(Ведомственная!G702)</f>
        <v>120</v>
      </c>
      <c r="I577" s="145">
        <f t="shared" si="16"/>
        <v>0</v>
      </c>
      <c r="J577" s="145">
        <f t="shared" si="17"/>
        <v>-120</v>
      </c>
    </row>
    <row r="578" spans="1:10" ht="47.25">
      <c r="A578" s="48" t="s">
        <v>683</v>
      </c>
      <c r="B578" s="77" t="s">
        <v>684</v>
      </c>
      <c r="C578" s="77"/>
      <c r="D578" s="54"/>
      <c r="E578" s="54"/>
      <c r="F578" s="57">
        <f>SUM(F579)</f>
        <v>1760</v>
      </c>
      <c r="I578" s="145">
        <f t="shared" si="16"/>
        <v>-1760</v>
      </c>
      <c r="J578" s="145"/>
    </row>
    <row r="579" spans="1:10" ht="31.5">
      <c r="A579" s="48" t="s">
        <v>283</v>
      </c>
      <c r="B579" s="77" t="s">
        <v>684</v>
      </c>
      <c r="C579" s="77" t="s">
        <v>135</v>
      </c>
      <c r="D579" s="54" t="s">
        <v>189</v>
      </c>
      <c r="E579" s="54" t="s">
        <v>38</v>
      </c>
      <c r="F579" s="57">
        <v>1760</v>
      </c>
      <c r="G579" s="144">
        <f>SUM(Ведомственная!G704)</f>
        <v>1760</v>
      </c>
      <c r="I579" s="145">
        <f t="shared" si="16"/>
        <v>0</v>
      </c>
      <c r="J579" s="145"/>
    </row>
    <row r="580" spans="1:10" ht="31.5">
      <c r="A580" s="74" t="s">
        <v>338</v>
      </c>
      <c r="B580" s="54" t="s">
        <v>429</v>
      </c>
      <c r="C580" s="54"/>
      <c r="D580" s="54"/>
      <c r="E580" s="54"/>
      <c r="F580" s="57">
        <f>SUM(F581:F582)</f>
        <v>499</v>
      </c>
      <c r="I580" s="145">
        <f t="shared" si="16"/>
        <v>-499</v>
      </c>
      <c r="J580" s="145">
        <f t="shared" si="17"/>
        <v>-499</v>
      </c>
    </row>
    <row r="581" spans="1:10" ht="63">
      <c r="A581" s="177" t="s">
        <v>55</v>
      </c>
      <c r="B581" s="54" t="s">
        <v>429</v>
      </c>
      <c r="C581" s="54" t="s">
        <v>99</v>
      </c>
      <c r="D581" s="54" t="s">
        <v>189</v>
      </c>
      <c r="E581" s="54" t="s">
        <v>38</v>
      </c>
      <c r="F581" s="57">
        <v>50</v>
      </c>
      <c r="G581" s="144">
        <f>SUM(Ведомственная!G706)</f>
        <v>50</v>
      </c>
      <c r="I581" s="145">
        <f t="shared" si="16"/>
        <v>0</v>
      </c>
      <c r="J581" s="145"/>
    </row>
    <row r="582" spans="1:10" ht="31.5">
      <c r="A582" s="74" t="s">
        <v>56</v>
      </c>
      <c r="B582" s="54" t="s">
        <v>429</v>
      </c>
      <c r="C582" s="54" t="s">
        <v>101</v>
      </c>
      <c r="D582" s="54" t="s">
        <v>189</v>
      </c>
      <c r="E582" s="54" t="s">
        <v>38</v>
      </c>
      <c r="F582" s="57">
        <v>449</v>
      </c>
      <c r="G582" s="144">
        <f>SUM(Ведомственная!G707)</f>
        <v>449</v>
      </c>
      <c r="I582" s="145">
        <f t="shared" si="16"/>
        <v>0</v>
      </c>
      <c r="J582" s="145">
        <f t="shared" si="17"/>
        <v>-449</v>
      </c>
    </row>
    <row r="583" spans="1:10" ht="78.75">
      <c r="A583" s="99" t="s">
        <v>685</v>
      </c>
      <c r="B583" s="54" t="s">
        <v>686</v>
      </c>
      <c r="C583" s="54"/>
      <c r="D583" s="54"/>
      <c r="E583" s="54"/>
      <c r="F583" s="57">
        <f>SUM(F584)</f>
        <v>50</v>
      </c>
      <c r="I583" s="145">
        <f t="shared" si="16"/>
        <v>-50</v>
      </c>
      <c r="J583" s="145"/>
    </row>
    <row r="584" spans="1:10" ht="29.25" customHeight="1">
      <c r="A584" s="99" t="s">
        <v>283</v>
      </c>
      <c r="B584" s="54" t="s">
        <v>686</v>
      </c>
      <c r="C584" s="54" t="s">
        <v>135</v>
      </c>
      <c r="D584" s="54" t="s">
        <v>189</v>
      </c>
      <c r="E584" s="54" t="s">
        <v>38</v>
      </c>
      <c r="F584" s="57">
        <v>50</v>
      </c>
      <c r="G584" s="144">
        <f>SUM(Ведомственная!G709)</f>
        <v>50</v>
      </c>
      <c r="I584" s="145">
        <f t="shared" si="16"/>
        <v>0</v>
      </c>
      <c r="J584" s="145"/>
    </row>
    <row r="585" spans="1:10" ht="47.25" hidden="1">
      <c r="A585" s="74" t="s">
        <v>339</v>
      </c>
      <c r="B585" s="54" t="s">
        <v>430</v>
      </c>
      <c r="C585" s="54"/>
      <c r="D585" s="54"/>
      <c r="E585" s="54"/>
      <c r="F585" s="57">
        <f>F586</f>
        <v>0</v>
      </c>
      <c r="I585" s="145">
        <f t="shared" si="16"/>
        <v>0</v>
      </c>
      <c r="J585" s="145">
        <f t="shared" si="17"/>
        <v>0</v>
      </c>
    </row>
    <row r="586" spans="1:10" ht="31.5" hidden="1">
      <c r="A586" s="74" t="s">
        <v>283</v>
      </c>
      <c r="B586" s="54" t="s">
        <v>430</v>
      </c>
      <c r="C586" s="54" t="s">
        <v>135</v>
      </c>
      <c r="D586" s="54" t="s">
        <v>189</v>
      </c>
      <c r="E586" s="54" t="s">
        <v>38</v>
      </c>
      <c r="F586" s="57"/>
      <c r="G586" s="144">
        <f>SUM(Ведомственная!G711)</f>
        <v>0</v>
      </c>
      <c r="I586" s="145">
        <f t="shared" si="16"/>
        <v>0</v>
      </c>
      <c r="J586" s="145">
        <f t="shared" si="17"/>
        <v>0</v>
      </c>
    </row>
    <row r="587" spans="1:10" ht="78.75">
      <c r="A587" s="74" t="s">
        <v>340</v>
      </c>
      <c r="B587" s="80" t="s">
        <v>333</v>
      </c>
      <c r="C587" s="54"/>
      <c r="D587" s="54"/>
      <c r="E587" s="54"/>
      <c r="F587" s="57">
        <f>F588+F591</f>
        <v>76695.9</v>
      </c>
      <c r="I587" s="145">
        <f t="shared" si="16"/>
        <v>-76695.9</v>
      </c>
      <c r="J587" s="145">
        <f aca="true" t="shared" si="18" ref="J587:J678">SUM(H587-F587)</f>
        <v>-76695.9</v>
      </c>
    </row>
    <row r="588" spans="1:10" ht="31.5">
      <c r="A588" s="74" t="s">
        <v>331</v>
      </c>
      <c r="B588" s="80" t="s">
        <v>431</v>
      </c>
      <c r="C588" s="54"/>
      <c r="D588" s="54"/>
      <c r="E588" s="54"/>
      <c r="F588" s="57">
        <f>F589</f>
        <v>76595.9</v>
      </c>
      <c r="I588" s="145">
        <f t="shared" si="16"/>
        <v>-76595.9</v>
      </c>
      <c r="J588" s="145">
        <f t="shared" si="18"/>
        <v>-76595.9</v>
      </c>
    </row>
    <row r="589" spans="1:10" ht="15.75">
      <c r="A589" s="74" t="s">
        <v>328</v>
      </c>
      <c r="B589" s="80" t="s">
        <v>432</v>
      </c>
      <c r="C589" s="54"/>
      <c r="D589" s="54"/>
      <c r="E589" s="54"/>
      <c r="F589" s="57">
        <f>F590</f>
        <v>76595.9</v>
      </c>
      <c r="I589" s="145">
        <f t="shared" si="16"/>
        <v>-76595.9</v>
      </c>
      <c r="J589" s="145">
        <f t="shared" si="18"/>
        <v>-76595.9</v>
      </c>
    </row>
    <row r="590" spans="1:10" ht="31.5">
      <c r="A590" s="74" t="s">
        <v>76</v>
      </c>
      <c r="B590" s="80" t="s">
        <v>432</v>
      </c>
      <c r="C590" s="54" t="s">
        <v>135</v>
      </c>
      <c r="D590" s="54" t="s">
        <v>189</v>
      </c>
      <c r="E590" s="54" t="s">
        <v>38</v>
      </c>
      <c r="F590" s="57">
        <v>76595.9</v>
      </c>
      <c r="G590" s="144">
        <f>SUM(Ведомственная!G715)</f>
        <v>76595.9</v>
      </c>
      <c r="I590" s="145">
        <f t="shared" si="16"/>
        <v>0</v>
      </c>
      <c r="J590" s="145">
        <f t="shared" si="18"/>
        <v>-76595.9</v>
      </c>
    </row>
    <row r="591" spans="1:10" ht="15.75">
      <c r="A591" s="181" t="s">
        <v>166</v>
      </c>
      <c r="B591" s="83" t="s">
        <v>815</v>
      </c>
      <c r="C591" s="54"/>
      <c r="D591" s="54"/>
      <c r="E591" s="54"/>
      <c r="F591" s="57">
        <f>F592</f>
        <v>100</v>
      </c>
      <c r="I591" s="145">
        <f t="shared" si="16"/>
        <v>-100</v>
      </c>
      <c r="J591" s="145"/>
    </row>
    <row r="592" spans="1:10" ht="31.5">
      <c r="A592" s="181" t="s">
        <v>335</v>
      </c>
      <c r="B592" s="83" t="s">
        <v>816</v>
      </c>
      <c r="C592" s="54"/>
      <c r="D592" s="54"/>
      <c r="E592" s="54"/>
      <c r="F592" s="57">
        <f>F593</f>
        <v>100</v>
      </c>
      <c r="I592" s="145">
        <f t="shared" si="16"/>
        <v>-100</v>
      </c>
      <c r="J592" s="145"/>
    </row>
    <row r="593" spans="1:10" ht="15.75">
      <c r="A593" s="181" t="s">
        <v>328</v>
      </c>
      <c r="B593" s="83" t="s">
        <v>817</v>
      </c>
      <c r="C593" s="54"/>
      <c r="D593" s="54"/>
      <c r="E593" s="54"/>
      <c r="F593" s="57">
        <f>F594</f>
        <v>100</v>
      </c>
      <c r="I593" s="145">
        <f t="shared" si="16"/>
        <v>-100</v>
      </c>
      <c r="J593" s="145"/>
    </row>
    <row r="594" spans="1:10" ht="31.5">
      <c r="A594" s="181" t="s">
        <v>76</v>
      </c>
      <c r="B594" s="83" t="s">
        <v>817</v>
      </c>
      <c r="C594" s="54" t="s">
        <v>135</v>
      </c>
      <c r="D594" s="54" t="s">
        <v>189</v>
      </c>
      <c r="E594" s="54" t="s">
        <v>38</v>
      </c>
      <c r="F594" s="57">
        <v>100</v>
      </c>
      <c r="G594" s="144">
        <f>SUM(Ведомственная!G719)</f>
        <v>100</v>
      </c>
      <c r="I594" s="145">
        <f t="shared" si="16"/>
        <v>0</v>
      </c>
      <c r="J594" s="145"/>
    </row>
    <row r="595" spans="1:10" ht="45" customHeight="1">
      <c r="A595" s="74" t="s">
        <v>341</v>
      </c>
      <c r="B595" s="54" t="s">
        <v>337</v>
      </c>
      <c r="C595" s="54"/>
      <c r="D595" s="54"/>
      <c r="E595" s="54"/>
      <c r="F595" s="57">
        <f>SUM(F596+F600+F598)</f>
        <v>12119.8</v>
      </c>
      <c r="I595" s="145">
        <f t="shared" si="16"/>
        <v>-12119.8</v>
      </c>
      <c r="J595" s="145">
        <f t="shared" si="18"/>
        <v>-12119.8</v>
      </c>
    </row>
    <row r="596" spans="1:10" ht="31.5">
      <c r="A596" s="14" t="s">
        <v>358</v>
      </c>
      <c r="B596" s="85" t="s">
        <v>422</v>
      </c>
      <c r="C596" s="85"/>
      <c r="D596" s="68"/>
      <c r="E596" s="68"/>
      <c r="F596" s="69">
        <f>SUM(F597)</f>
        <v>9275</v>
      </c>
      <c r="I596" s="145">
        <f t="shared" si="16"/>
        <v>-9275</v>
      </c>
      <c r="J596" s="145">
        <f t="shared" si="18"/>
        <v>-9275</v>
      </c>
    </row>
    <row r="597" spans="1:10" ht="31.5">
      <c r="A597" s="14" t="s">
        <v>359</v>
      </c>
      <c r="B597" s="85" t="s">
        <v>422</v>
      </c>
      <c r="C597" s="85">
        <v>400</v>
      </c>
      <c r="D597" s="54" t="s">
        <v>189</v>
      </c>
      <c r="E597" s="54" t="s">
        <v>38</v>
      </c>
      <c r="F597" s="69">
        <v>9275</v>
      </c>
      <c r="G597" s="144">
        <f>SUM(Ведомственная!G432)</f>
        <v>9275</v>
      </c>
      <c r="I597" s="145">
        <f t="shared" si="16"/>
        <v>0</v>
      </c>
      <c r="J597" s="145">
        <f t="shared" si="18"/>
        <v>-9275</v>
      </c>
    </row>
    <row r="598" spans="1:10" ht="47.25">
      <c r="A598" s="67" t="s">
        <v>750</v>
      </c>
      <c r="B598" s="86" t="s">
        <v>751</v>
      </c>
      <c r="C598" s="86"/>
      <c r="D598" s="54"/>
      <c r="E598" s="54"/>
      <c r="F598" s="69">
        <f>SUM(F599)</f>
        <v>717.8</v>
      </c>
      <c r="I598" s="145">
        <f t="shared" si="16"/>
        <v>-717.8</v>
      </c>
      <c r="J598" s="145"/>
    </row>
    <row r="599" spans="1:10" ht="31.5">
      <c r="A599" s="67" t="s">
        <v>359</v>
      </c>
      <c r="B599" s="86" t="s">
        <v>751</v>
      </c>
      <c r="C599" s="86">
        <v>400</v>
      </c>
      <c r="D599" s="54" t="s">
        <v>189</v>
      </c>
      <c r="E599" s="54" t="s">
        <v>38</v>
      </c>
      <c r="F599" s="69">
        <v>717.8</v>
      </c>
      <c r="G599" s="144">
        <f>SUM(Ведомственная!G434)</f>
        <v>717.8</v>
      </c>
      <c r="I599" s="145">
        <f t="shared" si="16"/>
        <v>0</v>
      </c>
      <c r="J599" s="145"/>
    </row>
    <row r="600" spans="1:10" ht="15.75">
      <c r="A600" s="74" t="s">
        <v>166</v>
      </c>
      <c r="B600" s="54" t="s">
        <v>433</v>
      </c>
      <c r="C600" s="54"/>
      <c r="D600" s="54"/>
      <c r="E600" s="54"/>
      <c r="F600" s="57">
        <f>SUM(F601+F606+F609+F612)</f>
        <v>2127</v>
      </c>
      <c r="I600" s="145">
        <f t="shared" si="16"/>
        <v>-2127</v>
      </c>
      <c r="J600" s="145">
        <f t="shared" si="18"/>
        <v>-2127</v>
      </c>
    </row>
    <row r="601" spans="1:10" ht="31.5">
      <c r="A601" s="74" t="s">
        <v>527</v>
      </c>
      <c r="B601" s="54" t="s">
        <v>528</v>
      </c>
      <c r="C601" s="54"/>
      <c r="D601" s="54"/>
      <c r="E601" s="54"/>
      <c r="F601" s="57">
        <f>F604+F602</f>
        <v>1000</v>
      </c>
      <c r="I601" s="145">
        <f t="shared" si="16"/>
        <v>-1000</v>
      </c>
      <c r="J601" s="145">
        <f t="shared" si="18"/>
        <v>-1000</v>
      </c>
    </row>
    <row r="602" spans="1:10" ht="47.25">
      <c r="A602" s="48" t="s">
        <v>683</v>
      </c>
      <c r="B602" s="77" t="s">
        <v>687</v>
      </c>
      <c r="C602" s="77"/>
      <c r="D602" s="54"/>
      <c r="E602" s="54"/>
      <c r="F602" s="57">
        <f>SUM(F603)</f>
        <v>1000</v>
      </c>
      <c r="I602" s="145">
        <f t="shared" si="16"/>
        <v>-1000</v>
      </c>
      <c r="J602" s="145"/>
    </row>
    <row r="603" spans="1:10" ht="29.25" customHeight="1">
      <c r="A603" s="48" t="s">
        <v>283</v>
      </c>
      <c r="B603" s="77" t="s">
        <v>687</v>
      </c>
      <c r="C603" s="77" t="s">
        <v>135</v>
      </c>
      <c r="D603" s="54" t="s">
        <v>189</v>
      </c>
      <c r="E603" s="54" t="s">
        <v>38</v>
      </c>
      <c r="F603" s="57">
        <v>1000</v>
      </c>
      <c r="G603" s="144">
        <f>SUM(Ведомственная!G726)</f>
        <v>1000</v>
      </c>
      <c r="I603" s="145">
        <f t="shared" si="16"/>
        <v>0</v>
      </c>
      <c r="J603" s="145"/>
    </row>
    <row r="604" spans="1:10" ht="14.25" customHeight="1" hidden="1">
      <c r="A604" s="74" t="s">
        <v>328</v>
      </c>
      <c r="B604" s="54" t="s">
        <v>529</v>
      </c>
      <c r="C604" s="54"/>
      <c r="D604" s="54"/>
      <c r="E604" s="54"/>
      <c r="F604" s="57">
        <f>F605</f>
        <v>0</v>
      </c>
      <c r="I604" s="145">
        <f t="shared" si="16"/>
        <v>0</v>
      </c>
      <c r="J604" s="145">
        <f t="shared" si="18"/>
        <v>0</v>
      </c>
    </row>
    <row r="605" spans="1:10" ht="31.5" hidden="1">
      <c r="A605" s="74" t="s">
        <v>76</v>
      </c>
      <c r="B605" s="54" t="s">
        <v>529</v>
      </c>
      <c r="C605" s="54" t="s">
        <v>135</v>
      </c>
      <c r="D605" s="54" t="s">
        <v>189</v>
      </c>
      <c r="E605" s="54" t="s">
        <v>38</v>
      </c>
      <c r="F605" s="57"/>
      <c r="G605" s="144">
        <f>SUM(Ведомственная!G724)</f>
        <v>0</v>
      </c>
      <c r="I605" s="145">
        <f t="shared" si="16"/>
        <v>0</v>
      </c>
      <c r="J605" s="145">
        <f t="shared" si="18"/>
        <v>0</v>
      </c>
    </row>
    <row r="606" spans="1:10" ht="31.5">
      <c r="A606" s="74" t="s">
        <v>334</v>
      </c>
      <c r="B606" s="54" t="s">
        <v>434</v>
      </c>
      <c r="C606" s="54"/>
      <c r="D606" s="54"/>
      <c r="E606" s="54"/>
      <c r="F606" s="57">
        <f>F607</f>
        <v>657</v>
      </c>
      <c r="I606" s="145">
        <f t="shared" si="16"/>
        <v>-657</v>
      </c>
      <c r="J606" s="145">
        <f t="shared" si="18"/>
        <v>-657</v>
      </c>
    </row>
    <row r="607" spans="1:10" ht="15.75">
      <c r="A607" s="74" t="s">
        <v>328</v>
      </c>
      <c r="B607" s="54" t="s">
        <v>435</v>
      </c>
      <c r="C607" s="54"/>
      <c r="D607" s="54"/>
      <c r="E607" s="54"/>
      <c r="F607" s="57">
        <f>F608</f>
        <v>657</v>
      </c>
      <c r="I607" s="145">
        <f t="shared" si="16"/>
        <v>-657</v>
      </c>
      <c r="J607" s="145">
        <f t="shared" si="18"/>
        <v>-657</v>
      </c>
    </row>
    <row r="608" spans="1:10" ht="31.5">
      <c r="A608" s="74" t="s">
        <v>76</v>
      </c>
      <c r="B608" s="54" t="s">
        <v>435</v>
      </c>
      <c r="C608" s="54" t="s">
        <v>135</v>
      </c>
      <c r="D608" s="54" t="s">
        <v>189</v>
      </c>
      <c r="E608" s="54" t="s">
        <v>38</v>
      </c>
      <c r="F608" s="57">
        <v>657</v>
      </c>
      <c r="G608" s="144">
        <f>SUM(Ведомственная!G732)</f>
        <v>657</v>
      </c>
      <c r="I608" s="145">
        <f t="shared" si="16"/>
        <v>0</v>
      </c>
      <c r="J608" s="145">
        <f t="shared" si="18"/>
        <v>-657</v>
      </c>
    </row>
    <row r="609" spans="1:10" ht="31.5" hidden="1">
      <c r="A609" s="74" t="s">
        <v>335</v>
      </c>
      <c r="B609" s="54" t="s">
        <v>436</v>
      </c>
      <c r="C609" s="54"/>
      <c r="D609" s="54"/>
      <c r="E609" s="54"/>
      <c r="F609" s="57">
        <f>+F610</f>
        <v>0</v>
      </c>
      <c r="I609" s="145">
        <f t="shared" si="16"/>
        <v>0</v>
      </c>
      <c r="J609" s="145">
        <f t="shared" si="18"/>
        <v>0</v>
      </c>
    </row>
    <row r="610" spans="1:10" ht="15.75" hidden="1">
      <c r="A610" s="74" t="s">
        <v>328</v>
      </c>
      <c r="B610" s="54" t="s">
        <v>437</v>
      </c>
      <c r="C610" s="54"/>
      <c r="D610" s="54"/>
      <c r="E610" s="54"/>
      <c r="F610" s="57">
        <f>F611</f>
        <v>0</v>
      </c>
      <c r="I610" s="145">
        <f t="shared" si="16"/>
        <v>0</v>
      </c>
      <c r="J610" s="145">
        <f t="shared" si="18"/>
        <v>0</v>
      </c>
    </row>
    <row r="611" spans="1:10" ht="31.5" hidden="1">
      <c r="A611" s="74" t="s">
        <v>76</v>
      </c>
      <c r="B611" s="54" t="s">
        <v>437</v>
      </c>
      <c r="C611" s="54" t="s">
        <v>135</v>
      </c>
      <c r="D611" s="54"/>
      <c r="E611" s="54"/>
      <c r="F611" s="57"/>
      <c r="G611" s="144">
        <f>SUM(Ведомственная!G735)</f>
        <v>0</v>
      </c>
      <c r="I611" s="145">
        <f t="shared" si="16"/>
        <v>0</v>
      </c>
      <c r="J611" s="145">
        <f t="shared" si="18"/>
        <v>0</v>
      </c>
    </row>
    <row r="612" spans="1:10" ht="31.5">
      <c r="A612" s="74" t="s">
        <v>336</v>
      </c>
      <c r="B612" s="54" t="s">
        <v>438</v>
      </c>
      <c r="C612" s="54"/>
      <c r="D612" s="54"/>
      <c r="E612" s="54"/>
      <c r="F612" s="57">
        <f>+F615+F613</f>
        <v>470</v>
      </c>
      <c r="I612" s="145">
        <f t="shared" si="16"/>
        <v>-470</v>
      </c>
      <c r="J612" s="145">
        <f t="shared" si="18"/>
        <v>-470</v>
      </c>
    </row>
    <row r="613" spans="1:10" ht="47.25">
      <c r="A613" s="48" t="s">
        <v>683</v>
      </c>
      <c r="B613" s="77" t="s">
        <v>688</v>
      </c>
      <c r="C613" s="77"/>
      <c r="D613" s="54"/>
      <c r="E613" s="54"/>
      <c r="F613" s="57">
        <f>SUM(F614)</f>
        <v>470</v>
      </c>
      <c r="I613" s="145">
        <f t="shared" si="16"/>
        <v>-470</v>
      </c>
      <c r="J613" s="145"/>
    </row>
    <row r="614" spans="1:10" ht="28.5" customHeight="1">
      <c r="A614" s="48" t="s">
        <v>283</v>
      </c>
      <c r="B614" s="77" t="s">
        <v>688</v>
      </c>
      <c r="C614" s="77" t="s">
        <v>135</v>
      </c>
      <c r="D614" s="54" t="s">
        <v>189</v>
      </c>
      <c r="E614" s="54" t="s">
        <v>38</v>
      </c>
      <c r="F614" s="57">
        <v>470</v>
      </c>
      <c r="G614" s="144">
        <f>SUM(Ведомственная!G738)</f>
        <v>470</v>
      </c>
      <c r="I614" s="145">
        <f t="shared" si="16"/>
        <v>0</v>
      </c>
      <c r="J614" s="145"/>
    </row>
    <row r="615" spans="1:10" ht="15.75" hidden="1">
      <c r="A615" s="74" t="s">
        <v>328</v>
      </c>
      <c r="B615" s="54" t="s">
        <v>439</v>
      </c>
      <c r="C615" s="54"/>
      <c r="D615" s="54"/>
      <c r="E615" s="54"/>
      <c r="F615" s="57">
        <f>F616</f>
        <v>0</v>
      </c>
      <c r="I615" s="145">
        <f t="shared" si="16"/>
        <v>0</v>
      </c>
      <c r="J615" s="145">
        <f t="shared" si="18"/>
        <v>0</v>
      </c>
    </row>
    <row r="616" spans="1:10" ht="15.75" hidden="1">
      <c r="A616" s="74" t="s">
        <v>332</v>
      </c>
      <c r="B616" s="54" t="s">
        <v>439</v>
      </c>
      <c r="C616" s="54" t="s">
        <v>135</v>
      </c>
      <c r="D616" s="54" t="s">
        <v>189</v>
      </c>
      <c r="E616" s="54" t="s">
        <v>38</v>
      </c>
      <c r="F616" s="57"/>
      <c r="G616" s="144">
        <f>SUM(Ведомственная!G740)</f>
        <v>0</v>
      </c>
      <c r="I616" s="145">
        <f t="shared" si="16"/>
        <v>0</v>
      </c>
      <c r="J616" s="145">
        <f t="shared" si="18"/>
        <v>0</v>
      </c>
    </row>
    <row r="617" spans="1:10" ht="31.5">
      <c r="A617" s="48" t="s">
        <v>88</v>
      </c>
      <c r="B617" s="49" t="s">
        <v>20</v>
      </c>
      <c r="C617" s="49"/>
      <c r="D617" s="50"/>
      <c r="E617" s="50"/>
      <c r="F617" s="51">
        <f>SUM(F618+F645+F650+F661)</f>
        <v>23671.5</v>
      </c>
      <c r="G617" s="145"/>
      <c r="H617" s="150">
        <f>SUM(G618:G665)</f>
        <v>23671.5</v>
      </c>
      <c r="I617" s="145">
        <f t="shared" si="16"/>
        <v>-23671.5</v>
      </c>
      <c r="J617" s="145">
        <f t="shared" si="18"/>
        <v>0</v>
      </c>
    </row>
    <row r="618" spans="1:10" ht="47.25">
      <c r="A618" s="48" t="s">
        <v>89</v>
      </c>
      <c r="B618" s="49" t="s">
        <v>21</v>
      </c>
      <c r="C618" s="49"/>
      <c r="D618" s="50"/>
      <c r="E618" s="50"/>
      <c r="F618" s="51">
        <f>F634+F619+F637</f>
        <v>15315.500000000002</v>
      </c>
      <c r="G618" s="145"/>
      <c r="I618" s="145">
        <f t="shared" si="16"/>
        <v>-15315.500000000002</v>
      </c>
      <c r="J618" s="145">
        <f t="shared" si="18"/>
        <v>-15315.500000000002</v>
      </c>
    </row>
    <row r="619" spans="1:10" ht="15.75">
      <c r="A619" s="48" t="s">
        <v>39</v>
      </c>
      <c r="B619" s="49" t="s">
        <v>40</v>
      </c>
      <c r="C619" s="49"/>
      <c r="D619" s="50"/>
      <c r="E619" s="50"/>
      <c r="F619" s="51">
        <f>SUM(F620+F623+F630)</f>
        <v>13115.500000000002</v>
      </c>
      <c r="I619" s="145">
        <f t="shared" si="16"/>
        <v>-13115.500000000002</v>
      </c>
      <c r="J619" s="145">
        <f t="shared" si="18"/>
        <v>-13115.500000000002</v>
      </c>
    </row>
    <row r="620" spans="1:10" ht="15.75">
      <c r="A620" s="48" t="s">
        <v>42</v>
      </c>
      <c r="B620" s="49" t="s">
        <v>43</v>
      </c>
      <c r="C620" s="49"/>
      <c r="D620" s="50"/>
      <c r="E620" s="50"/>
      <c r="F620" s="51">
        <f>F621</f>
        <v>8760.7</v>
      </c>
      <c r="I620" s="145">
        <f t="shared" si="16"/>
        <v>-8760.7</v>
      </c>
      <c r="J620" s="145">
        <f t="shared" si="18"/>
        <v>-8760.7</v>
      </c>
    </row>
    <row r="621" spans="1:10" ht="31.5">
      <c r="A621" s="48" t="s">
        <v>44</v>
      </c>
      <c r="B621" s="49" t="s">
        <v>45</v>
      </c>
      <c r="C621" s="49"/>
      <c r="D621" s="50"/>
      <c r="E621" s="50"/>
      <c r="F621" s="51">
        <f>F622</f>
        <v>8760.7</v>
      </c>
      <c r="I621" s="145">
        <f t="shared" si="16"/>
        <v>-8760.7</v>
      </c>
      <c r="J621" s="145">
        <f t="shared" si="18"/>
        <v>-8760.7</v>
      </c>
    </row>
    <row r="622" spans="1:10" ht="15.75">
      <c r="A622" s="48" t="s">
        <v>46</v>
      </c>
      <c r="B622" s="49" t="s">
        <v>45</v>
      </c>
      <c r="C622" s="49">
        <v>300</v>
      </c>
      <c r="D622" s="50" t="s">
        <v>35</v>
      </c>
      <c r="E622" s="50" t="s">
        <v>38</v>
      </c>
      <c r="F622" s="51">
        <v>8760.7</v>
      </c>
      <c r="G622" s="144">
        <f>SUM(Ведомственная!G510)</f>
        <v>8760.7</v>
      </c>
      <c r="I622" s="145">
        <f t="shared" si="16"/>
        <v>0</v>
      </c>
      <c r="J622" s="145">
        <f t="shared" si="18"/>
        <v>-8760.7</v>
      </c>
    </row>
    <row r="623" spans="1:10" ht="15.75">
      <c r="A623" s="48" t="s">
        <v>59</v>
      </c>
      <c r="B623" s="49" t="s">
        <v>60</v>
      </c>
      <c r="C623" s="49"/>
      <c r="D623" s="50"/>
      <c r="E623" s="50"/>
      <c r="F623" s="51">
        <f>F624+F626+F628</f>
        <v>3166.6000000000004</v>
      </c>
      <c r="I623" s="145">
        <f t="shared" si="16"/>
        <v>-3166.6000000000004</v>
      </c>
      <c r="J623" s="145">
        <f t="shared" si="18"/>
        <v>-3166.6000000000004</v>
      </c>
    </row>
    <row r="624" spans="1:10" ht="15.75">
      <c r="A624" s="48" t="s">
        <v>61</v>
      </c>
      <c r="B624" s="49" t="s">
        <v>62</v>
      </c>
      <c r="C624" s="49"/>
      <c r="D624" s="50"/>
      <c r="E624" s="50"/>
      <c r="F624" s="51">
        <f>F625</f>
        <v>1218.7</v>
      </c>
      <c r="I624" s="145">
        <f t="shared" si="16"/>
        <v>-1218.7</v>
      </c>
      <c r="J624" s="145">
        <f t="shared" si="18"/>
        <v>-1218.7</v>
      </c>
    </row>
    <row r="625" spans="1:10" ht="15.75">
      <c r="A625" s="48" t="s">
        <v>46</v>
      </c>
      <c r="B625" s="49" t="s">
        <v>62</v>
      </c>
      <c r="C625" s="49">
        <v>300</v>
      </c>
      <c r="D625" s="50" t="s">
        <v>35</v>
      </c>
      <c r="E625" s="50" t="s">
        <v>58</v>
      </c>
      <c r="F625" s="51">
        <v>1218.7</v>
      </c>
      <c r="G625" s="144">
        <f>SUM(Ведомственная!G589)</f>
        <v>1218.7</v>
      </c>
      <c r="I625" s="145">
        <f t="shared" si="16"/>
        <v>0</v>
      </c>
      <c r="J625" s="145">
        <f t="shared" si="18"/>
        <v>-1218.7</v>
      </c>
    </row>
    <row r="626" spans="1:10" ht="31.5">
      <c r="A626" s="48" t="s">
        <v>63</v>
      </c>
      <c r="B626" s="49" t="s">
        <v>64</v>
      </c>
      <c r="C626" s="49"/>
      <c r="D626" s="50"/>
      <c r="E626" s="50"/>
      <c r="F626" s="51">
        <f>F627</f>
        <v>1383.4</v>
      </c>
      <c r="I626" s="145">
        <f t="shared" si="16"/>
        <v>-1383.4</v>
      </c>
      <c r="J626" s="145">
        <f t="shared" si="18"/>
        <v>-1383.4</v>
      </c>
    </row>
    <row r="627" spans="1:10" ht="15.75">
      <c r="A627" s="48" t="s">
        <v>46</v>
      </c>
      <c r="B627" s="49" t="s">
        <v>64</v>
      </c>
      <c r="C627" s="49">
        <v>300</v>
      </c>
      <c r="D627" s="50" t="s">
        <v>35</v>
      </c>
      <c r="E627" s="50" t="s">
        <v>58</v>
      </c>
      <c r="F627" s="51">
        <v>1383.4</v>
      </c>
      <c r="G627" s="144">
        <f>SUM(Ведомственная!G591)</f>
        <v>1383.4</v>
      </c>
      <c r="I627" s="145">
        <f t="shared" si="16"/>
        <v>0</v>
      </c>
      <c r="J627" s="145">
        <f t="shared" si="18"/>
        <v>-1383.4</v>
      </c>
    </row>
    <row r="628" spans="1:10" ht="47.25">
      <c r="A628" s="174" t="s">
        <v>810</v>
      </c>
      <c r="B628" s="77" t="s">
        <v>813</v>
      </c>
      <c r="C628" s="175"/>
      <c r="D628" s="175"/>
      <c r="E628" s="175"/>
      <c r="F628" s="51">
        <f>F629</f>
        <v>564.5</v>
      </c>
      <c r="G628" s="176"/>
      <c r="I628" s="145"/>
      <c r="J628" s="145"/>
    </row>
    <row r="629" spans="1:10" ht="15.75">
      <c r="A629" s="174" t="s">
        <v>46</v>
      </c>
      <c r="B629" s="77" t="s">
        <v>813</v>
      </c>
      <c r="C629" s="175" t="s">
        <v>109</v>
      </c>
      <c r="D629" s="175" t="s">
        <v>35</v>
      </c>
      <c r="E629" s="175" t="s">
        <v>58</v>
      </c>
      <c r="F629" s="61">
        <v>564.5</v>
      </c>
      <c r="G629" s="176">
        <f>SUM(Ведомственная!G40+Ведомственная!G69+Ведомственная!G391+Ведомственная!G473+Ведомственная!G593)</f>
        <v>564.5</v>
      </c>
      <c r="I629" s="145">
        <f>G629-F629</f>
        <v>0</v>
      </c>
      <c r="J629" s="145">
        <f>SUM(H629-F629)</f>
        <v>-564.5</v>
      </c>
    </row>
    <row r="630" spans="1:10" ht="31.5">
      <c r="A630" s="48" t="s">
        <v>65</v>
      </c>
      <c r="B630" s="49" t="s">
        <v>66</v>
      </c>
      <c r="C630" s="49"/>
      <c r="D630" s="50"/>
      <c r="E630" s="50"/>
      <c r="F630" s="51">
        <f>F631</f>
        <v>1188.2</v>
      </c>
      <c r="I630" s="145">
        <f t="shared" si="16"/>
        <v>-1188.2</v>
      </c>
      <c r="J630" s="145">
        <f t="shared" si="18"/>
        <v>-1188.2</v>
      </c>
    </row>
    <row r="631" spans="1:10" ht="15.75">
      <c r="A631" s="48" t="s">
        <v>67</v>
      </c>
      <c r="B631" s="49" t="s">
        <v>68</v>
      </c>
      <c r="C631" s="49"/>
      <c r="D631" s="50"/>
      <c r="E631" s="50"/>
      <c r="F631" s="51">
        <f>F632+F633</f>
        <v>1188.2</v>
      </c>
      <c r="I631" s="145">
        <f t="shared" si="16"/>
        <v>-1188.2</v>
      </c>
      <c r="J631" s="145">
        <f t="shared" si="18"/>
        <v>-1188.2</v>
      </c>
    </row>
    <row r="632" spans="1:10" ht="31.5">
      <c r="A632" s="48" t="s">
        <v>56</v>
      </c>
      <c r="B632" s="49" t="s">
        <v>68</v>
      </c>
      <c r="C632" s="49">
        <v>200</v>
      </c>
      <c r="D632" s="50" t="s">
        <v>35</v>
      </c>
      <c r="E632" s="50" t="s">
        <v>58</v>
      </c>
      <c r="F632" s="51">
        <v>746.7</v>
      </c>
      <c r="G632" s="144">
        <f>SUM(Ведомственная!G596)</f>
        <v>746.7</v>
      </c>
      <c r="I632" s="145">
        <f t="shared" si="16"/>
        <v>0</v>
      </c>
      <c r="J632" s="145">
        <f t="shared" si="18"/>
        <v>-746.7</v>
      </c>
    </row>
    <row r="633" spans="1:10" ht="15" customHeight="1">
      <c r="A633" s="48" t="s">
        <v>46</v>
      </c>
      <c r="B633" s="49" t="s">
        <v>68</v>
      </c>
      <c r="C633" s="49">
        <v>300</v>
      </c>
      <c r="D633" s="50" t="s">
        <v>35</v>
      </c>
      <c r="E633" s="50" t="s">
        <v>58</v>
      </c>
      <c r="F633" s="51">
        <v>441.5</v>
      </c>
      <c r="G633" s="144">
        <f>SUM(Ведомственная!G597)</f>
        <v>441.5</v>
      </c>
      <c r="I633" s="145">
        <f t="shared" si="16"/>
        <v>0</v>
      </c>
      <c r="J633" s="145">
        <f t="shared" si="18"/>
        <v>-441.5</v>
      </c>
    </row>
    <row r="634" spans="1:10" ht="47.25" hidden="1">
      <c r="A634" s="48" t="s">
        <v>22</v>
      </c>
      <c r="B634" s="49" t="s">
        <v>23</v>
      </c>
      <c r="C634" s="49"/>
      <c r="D634" s="50"/>
      <c r="E634" s="50"/>
      <c r="F634" s="51">
        <f>SUM(F635)</f>
        <v>0</v>
      </c>
      <c r="I634" s="145">
        <f t="shared" si="16"/>
        <v>0</v>
      </c>
      <c r="J634" s="145">
        <f t="shared" si="18"/>
        <v>0</v>
      </c>
    </row>
    <row r="635" spans="1:10" ht="15.75" hidden="1">
      <c r="A635" s="48" t="s">
        <v>24</v>
      </c>
      <c r="B635" s="49" t="s">
        <v>25</v>
      </c>
      <c r="C635" s="49"/>
      <c r="D635" s="50"/>
      <c r="E635" s="50"/>
      <c r="F635" s="51">
        <f>F636</f>
        <v>0</v>
      </c>
      <c r="I635" s="145">
        <f t="shared" si="16"/>
        <v>0</v>
      </c>
      <c r="J635" s="145">
        <f t="shared" si="18"/>
        <v>0</v>
      </c>
    </row>
    <row r="636" spans="1:10" ht="15.75" hidden="1">
      <c r="A636" s="48" t="s">
        <v>26</v>
      </c>
      <c r="B636" s="49" t="s">
        <v>25</v>
      </c>
      <c r="C636" s="49">
        <v>800</v>
      </c>
      <c r="D636" s="50" t="s">
        <v>17</v>
      </c>
      <c r="E636" s="50" t="s">
        <v>19</v>
      </c>
      <c r="F636" s="51">
        <v>0</v>
      </c>
      <c r="G636" s="144">
        <f>SUM(Ведомственная!G490)</f>
        <v>0</v>
      </c>
      <c r="I636" s="145">
        <f t="shared" si="16"/>
        <v>0</v>
      </c>
      <c r="J636" s="145">
        <f t="shared" si="18"/>
        <v>0</v>
      </c>
    </row>
    <row r="637" spans="1:10" ht="31.5">
      <c r="A637" s="48" t="s">
        <v>49</v>
      </c>
      <c r="B637" s="49" t="s">
        <v>50</v>
      </c>
      <c r="C637" s="49"/>
      <c r="D637" s="50"/>
      <c r="E637" s="50"/>
      <c r="F637" s="51">
        <f>SUM(F638+F642)</f>
        <v>2200</v>
      </c>
      <c r="I637" s="145">
        <f t="shared" si="16"/>
        <v>-2200</v>
      </c>
      <c r="J637" s="145">
        <f t="shared" si="18"/>
        <v>-2200</v>
      </c>
    </row>
    <row r="638" spans="1:10" ht="15.75">
      <c r="A638" s="48" t="s">
        <v>51</v>
      </c>
      <c r="B638" s="49" t="s">
        <v>52</v>
      </c>
      <c r="C638" s="49"/>
      <c r="D638" s="50"/>
      <c r="E638" s="50"/>
      <c r="F638" s="51">
        <f>F639</f>
        <v>2200</v>
      </c>
      <c r="I638" s="145">
        <f t="shared" si="16"/>
        <v>-2200</v>
      </c>
      <c r="J638" s="145">
        <f t="shared" si="18"/>
        <v>-2200</v>
      </c>
    </row>
    <row r="639" spans="1:10" ht="47.25">
      <c r="A639" s="48" t="s">
        <v>53</v>
      </c>
      <c r="B639" s="49" t="s">
        <v>54</v>
      </c>
      <c r="C639" s="49"/>
      <c r="D639" s="50"/>
      <c r="E639" s="50"/>
      <c r="F639" s="51">
        <f>F640+F641</f>
        <v>2200</v>
      </c>
      <c r="I639" s="145">
        <f t="shared" si="16"/>
        <v>-2200</v>
      </c>
      <c r="J639" s="145">
        <f t="shared" si="18"/>
        <v>-2200</v>
      </c>
    </row>
    <row r="640" spans="1:10" ht="63">
      <c r="A640" s="48" t="s">
        <v>55</v>
      </c>
      <c r="B640" s="49" t="s">
        <v>54</v>
      </c>
      <c r="C640" s="49">
        <v>100</v>
      </c>
      <c r="D640" s="50" t="s">
        <v>35</v>
      </c>
      <c r="E640" s="50" t="s">
        <v>48</v>
      </c>
      <c r="F640" s="51">
        <v>1190</v>
      </c>
      <c r="G640" s="144">
        <f>SUM(Ведомственная!G525)</f>
        <v>1190</v>
      </c>
      <c r="I640" s="145">
        <f t="shared" si="16"/>
        <v>0</v>
      </c>
      <c r="J640" s="145">
        <f t="shared" si="18"/>
        <v>-1190</v>
      </c>
    </row>
    <row r="641" spans="1:10" ht="31.5">
      <c r="A641" s="48" t="s">
        <v>56</v>
      </c>
      <c r="B641" s="49" t="s">
        <v>54</v>
      </c>
      <c r="C641" s="49">
        <v>200</v>
      </c>
      <c r="D641" s="50" t="s">
        <v>35</v>
      </c>
      <c r="E641" s="50" t="s">
        <v>48</v>
      </c>
      <c r="F641" s="51">
        <v>1010</v>
      </c>
      <c r="G641" s="144">
        <f>SUM(Ведомственная!G526)</f>
        <v>1010</v>
      </c>
      <c r="I641" s="145">
        <f t="shared" si="16"/>
        <v>0</v>
      </c>
      <c r="J641" s="145">
        <f t="shared" si="18"/>
        <v>-1010</v>
      </c>
    </row>
    <row r="642" spans="1:10" ht="15.75" hidden="1">
      <c r="A642" s="48" t="s">
        <v>714</v>
      </c>
      <c r="B642" s="49" t="s">
        <v>715</v>
      </c>
      <c r="C642" s="49"/>
      <c r="D642" s="50"/>
      <c r="E642" s="50"/>
      <c r="F642" s="51">
        <f>SUM(F643)</f>
        <v>0</v>
      </c>
      <c r="I642" s="145">
        <f aca="true" t="shared" si="19" ref="I642:I705">G642-F642</f>
        <v>0</v>
      </c>
      <c r="J642" s="145"/>
    </row>
    <row r="643" spans="1:10" ht="47.25" hidden="1">
      <c r="A643" s="48" t="s">
        <v>53</v>
      </c>
      <c r="B643" s="49" t="s">
        <v>716</v>
      </c>
      <c r="C643" s="49"/>
      <c r="D643" s="50"/>
      <c r="E643" s="50"/>
      <c r="F643" s="51">
        <f>SUM(F644)</f>
        <v>0</v>
      </c>
      <c r="I643" s="145">
        <f t="shared" si="19"/>
        <v>0</v>
      </c>
      <c r="J643" s="145"/>
    </row>
    <row r="644" spans="1:10" ht="31.5" hidden="1">
      <c r="A644" s="48" t="s">
        <v>56</v>
      </c>
      <c r="B644" s="49" t="s">
        <v>716</v>
      </c>
      <c r="C644" s="49">
        <v>200</v>
      </c>
      <c r="D644" s="50" t="s">
        <v>35</v>
      </c>
      <c r="E644" s="50" t="s">
        <v>17</v>
      </c>
      <c r="F644" s="51"/>
      <c r="G644" s="144">
        <f>SUM(Ведомственная!G649)</f>
        <v>0</v>
      </c>
      <c r="I644" s="145">
        <f t="shared" si="19"/>
        <v>0</v>
      </c>
      <c r="J644" s="145"/>
    </row>
    <row r="645" spans="1:10" ht="15.75">
      <c r="A645" s="48" t="s">
        <v>91</v>
      </c>
      <c r="B645" s="49" t="s">
        <v>69</v>
      </c>
      <c r="C645" s="49"/>
      <c r="D645" s="50"/>
      <c r="E645" s="50"/>
      <c r="F645" s="51">
        <f>F646</f>
        <v>150.5</v>
      </c>
      <c r="I645" s="145">
        <f t="shared" si="19"/>
        <v>-150.5</v>
      </c>
      <c r="J645" s="145">
        <f t="shared" si="18"/>
        <v>-150.5</v>
      </c>
    </row>
    <row r="646" spans="1:10" ht="15.75">
      <c r="A646" s="48" t="s">
        <v>39</v>
      </c>
      <c r="B646" s="49" t="s">
        <v>70</v>
      </c>
      <c r="C646" s="49"/>
      <c r="D646" s="50"/>
      <c r="E646" s="50"/>
      <c r="F646" s="51">
        <f>F647</f>
        <v>150.5</v>
      </c>
      <c r="I646" s="145">
        <f t="shared" si="19"/>
        <v>-150.5</v>
      </c>
      <c r="J646" s="145">
        <f t="shared" si="18"/>
        <v>-150.5</v>
      </c>
    </row>
    <row r="647" spans="1:10" ht="15.75">
      <c r="A647" s="48" t="s">
        <v>41</v>
      </c>
      <c r="B647" s="49" t="s">
        <v>71</v>
      </c>
      <c r="C647" s="49"/>
      <c r="D647" s="50"/>
      <c r="E647" s="50"/>
      <c r="F647" s="51">
        <f>F648+F649</f>
        <v>150.5</v>
      </c>
      <c r="I647" s="145">
        <f t="shared" si="19"/>
        <v>-150.5</v>
      </c>
      <c r="J647" s="145">
        <f t="shared" si="18"/>
        <v>-150.5</v>
      </c>
    </row>
    <row r="648" spans="1:10" ht="31.5">
      <c r="A648" s="48" t="s">
        <v>56</v>
      </c>
      <c r="B648" s="49" t="s">
        <v>71</v>
      </c>
      <c r="C648" s="49">
        <v>200</v>
      </c>
      <c r="D648" s="50" t="s">
        <v>35</v>
      </c>
      <c r="E648" s="50" t="s">
        <v>58</v>
      </c>
      <c r="F648" s="51">
        <v>83.5</v>
      </c>
      <c r="G648" s="144">
        <f>SUM(Ведомственная!G601)</f>
        <v>83.5</v>
      </c>
      <c r="I648" s="145">
        <f t="shared" si="19"/>
        <v>0</v>
      </c>
      <c r="J648" s="145">
        <f t="shared" si="18"/>
        <v>-83.5</v>
      </c>
    </row>
    <row r="649" spans="1:10" ht="15.75">
      <c r="A649" s="48" t="s">
        <v>46</v>
      </c>
      <c r="B649" s="49" t="s">
        <v>71</v>
      </c>
      <c r="C649" s="49">
        <v>300</v>
      </c>
      <c r="D649" s="50" t="s">
        <v>35</v>
      </c>
      <c r="E649" s="50" t="s">
        <v>58</v>
      </c>
      <c r="F649" s="51">
        <v>67</v>
      </c>
      <c r="G649" s="144">
        <f>SUM(Ведомственная!G602)</f>
        <v>67</v>
      </c>
      <c r="I649" s="145">
        <f t="shared" si="19"/>
        <v>0</v>
      </c>
      <c r="J649" s="145">
        <f t="shared" si="18"/>
        <v>-67</v>
      </c>
    </row>
    <row r="650" spans="1:10" ht="15.75">
      <c r="A650" s="48" t="s">
        <v>92</v>
      </c>
      <c r="B650" s="49" t="s">
        <v>72</v>
      </c>
      <c r="C650" s="49"/>
      <c r="D650" s="50"/>
      <c r="E650" s="50"/>
      <c r="F650" s="51">
        <f>F657+F651+F653</f>
        <v>2400</v>
      </c>
      <c r="I650" s="145">
        <f t="shared" si="19"/>
        <v>-2400</v>
      </c>
      <c r="J650" s="145">
        <f t="shared" si="18"/>
        <v>-2400</v>
      </c>
    </row>
    <row r="651" spans="1:10" ht="15.75" hidden="1">
      <c r="A651" s="48" t="s">
        <v>41</v>
      </c>
      <c r="B651" s="49" t="s">
        <v>650</v>
      </c>
      <c r="C651" s="49"/>
      <c r="D651" s="50"/>
      <c r="E651" s="50"/>
      <c r="F651" s="51">
        <f>SUM(F652)</f>
        <v>0</v>
      </c>
      <c r="I651" s="145">
        <f t="shared" si="19"/>
        <v>0</v>
      </c>
      <c r="J651" s="145"/>
    </row>
    <row r="652" spans="1:10" ht="31.5" hidden="1">
      <c r="A652" s="48" t="s">
        <v>56</v>
      </c>
      <c r="B652" s="49" t="s">
        <v>650</v>
      </c>
      <c r="C652" s="49">
        <v>200</v>
      </c>
      <c r="D652" s="50" t="s">
        <v>35</v>
      </c>
      <c r="E652" s="50" t="s">
        <v>82</v>
      </c>
      <c r="F652" s="51"/>
      <c r="G652" s="144">
        <f>SUM(Ведомственная!G411)</f>
        <v>0</v>
      </c>
      <c r="I652" s="145">
        <f t="shared" si="19"/>
        <v>0</v>
      </c>
      <c r="J652" s="145">
        <f t="shared" si="18"/>
        <v>0</v>
      </c>
    </row>
    <row r="653" spans="1:10" ht="15.75">
      <c r="A653" s="48" t="s">
        <v>39</v>
      </c>
      <c r="B653" s="49" t="s">
        <v>678</v>
      </c>
      <c r="C653" s="49"/>
      <c r="D653" s="64"/>
      <c r="E653" s="64"/>
      <c r="F653" s="51">
        <f>F654</f>
        <v>1525</v>
      </c>
      <c r="I653" s="145">
        <f t="shared" si="19"/>
        <v>-1525</v>
      </c>
      <c r="J653" s="145"/>
    </row>
    <row r="654" spans="1:10" ht="15.75">
      <c r="A654" s="48" t="s">
        <v>41</v>
      </c>
      <c r="B654" s="49" t="s">
        <v>679</v>
      </c>
      <c r="C654" s="49"/>
      <c r="D654" s="64"/>
      <c r="E654" s="64"/>
      <c r="F654" s="51">
        <f>SUM(F655:F656)</f>
        <v>1525</v>
      </c>
      <c r="I654" s="145">
        <f t="shared" si="19"/>
        <v>-1525</v>
      </c>
      <c r="J654" s="145"/>
    </row>
    <row r="655" spans="1:10" ht="31.5">
      <c r="A655" s="48" t="s">
        <v>56</v>
      </c>
      <c r="B655" s="49" t="s">
        <v>679</v>
      </c>
      <c r="C655" s="49">
        <v>200</v>
      </c>
      <c r="D655" s="50" t="s">
        <v>35</v>
      </c>
      <c r="E655" s="50" t="s">
        <v>58</v>
      </c>
      <c r="F655" s="51">
        <v>411.8</v>
      </c>
      <c r="G655" s="144">
        <f>SUM(Ведомственная!G606)</f>
        <v>411.8</v>
      </c>
      <c r="I655" s="145">
        <f t="shared" si="19"/>
        <v>0</v>
      </c>
      <c r="J655" s="145"/>
    </row>
    <row r="656" spans="1:10" ht="31.5">
      <c r="A656" s="157" t="s">
        <v>76</v>
      </c>
      <c r="B656" s="49" t="s">
        <v>679</v>
      </c>
      <c r="C656" s="49">
        <v>600</v>
      </c>
      <c r="D656" s="158" t="s">
        <v>35</v>
      </c>
      <c r="E656" s="158" t="s">
        <v>82</v>
      </c>
      <c r="F656" s="51">
        <v>1113.2</v>
      </c>
      <c r="G656" s="144">
        <f>SUM(Ведомственная!G1083)+Ведомственная!G687+Ведомственная!G974</f>
        <v>1113.2</v>
      </c>
      <c r="I656" s="145">
        <f t="shared" si="19"/>
        <v>0</v>
      </c>
      <c r="J656" s="145"/>
    </row>
    <row r="657" spans="1:10" ht="31.5">
      <c r="A657" s="48" t="s">
        <v>73</v>
      </c>
      <c r="B657" s="49" t="s">
        <v>74</v>
      </c>
      <c r="C657" s="49"/>
      <c r="D657" s="50"/>
      <c r="E657" s="50"/>
      <c r="F657" s="51">
        <f>F658</f>
        <v>875</v>
      </c>
      <c r="I657" s="145">
        <f t="shared" si="19"/>
        <v>-875</v>
      </c>
      <c r="J657" s="145">
        <f t="shared" si="18"/>
        <v>-875</v>
      </c>
    </row>
    <row r="658" spans="1:10" ht="14.25" customHeight="1">
      <c r="A658" s="48" t="s">
        <v>41</v>
      </c>
      <c r="B658" s="49" t="s">
        <v>75</v>
      </c>
      <c r="C658" s="49"/>
      <c r="D658" s="50"/>
      <c r="E658" s="50"/>
      <c r="F658" s="51">
        <f>SUM(F659:F660)</f>
        <v>875</v>
      </c>
      <c r="I658" s="145">
        <f t="shared" si="19"/>
        <v>-875</v>
      </c>
      <c r="J658" s="145">
        <f t="shared" si="18"/>
        <v>-875</v>
      </c>
    </row>
    <row r="659" spans="1:10" ht="31.5" hidden="1">
      <c r="A659" s="48" t="s">
        <v>56</v>
      </c>
      <c r="B659" s="49" t="s">
        <v>75</v>
      </c>
      <c r="C659" s="49">
        <v>200</v>
      </c>
      <c r="D659" s="50" t="s">
        <v>35</v>
      </c>
      <c r="E659" s="50" t="s">
        <v>58</v>
      </c>
      <c r="F659" s="51"/>
      <c r="G659" s="144">
        <f>SUM(Ведомственная!G609)</f>
        <v>0</v>
      </c>
      <c r="I659" s="145">
        <f t="shared" si="19"/>
        <v>0</v>
      </c>
      <c r="J659" s="145">
        <f t="shared" si="18"/>
        <v>0</v>
      </c>
    </row>
    <row r="660" spans="1:10" ht="31.5">
      <c r="A660" s="48" t="s">
        <v>76</v>
      </c>
      <c r="B660" s="49" t="s">
        <v>75</v>
      </c>
      <c r="C660" s="49">
        <v>600</v>
      </c>
      <c r="D660" s="50" t="s">
        <v>35</v>
      </c>
      <c r="E660" s="50" t="s">
        <v>58</v>
      </c>
      <c r="F660" s="51">
        <v>875</v>
      </c>
      <c r="G660" s="144">
        <f>SUM(Ведомственная!G610)</f>
        <v>875</v>
      </c>
      <c r="I660" s="145">
        <f t="shared" si="19"/>
        <v>0</v>
      </c>
      <c r="J660" s="145">
        <f t="shared" si="18"/>
        <v>-875</v>
      </c>
    </row>
    <row r="661" spans="1:10" ht="47.25">
      <c r="A661" s="48" t="s">
        <v>94</v>
      </c>
      <c r="B661" s="49" t="s">
        <v>83</v>
      </c>
      <c r="C661" s="49"/>
      <c r="D661" s="50"/>
      <c r="E661" s="50"/>
      <c r="F661" s="51">
        <f>F662</f>
        <v>5805.5</v>
      </c>
      <c r="I661" s="145">
        <f t="shared" si="19"/>
        <v>-5805.5</v>
      </c>
      <c r="J661" s="145">
        <f t="shared" si="18"/>
        <v>-5805.5</v>
      </c>
    </row>
    <row r="662" spans="1:10" ht="47.25">
      <c r="A662" s="48" t="s">
        <v>84</v>
      </c>
      <c r="B662" s="49" t="s">
        <v>85</v>
      </c>
      <c r="C662" s="49"/>
      <c r="D662" s="50"/>
      <c r="E662" s="50"/>
      <c r="F662" s="51">
        <f>F663</f>
        <v>5805.5</v>
      </c>
      <c r="I662" s="145">
        <f t="shared" si="19"/>
        <v>-5805.5</v>
      </c>
      <c r="J662" s="145">
        <f t="shared" si="18"/>
        <v>-5805.5</v>
      </c>
    </row>
    <row r="663" spans="1:10" ht="15.75">
      <c r="A663" s="48" t="s">
        <v>86</v>
      </c>
      <c r="B663" s="49" t="s">
        <v>87</v>
      </c>
      <c r="C663" s="49"/>
      <c r="D663" s="50"/>
      <c r="E663" s="50"/>
      <c r="F663" s="51">
        <f>F664+F665</f>
        <v>5805.5</v>
      </c>
      <c r="I663" s="145">
        <f t="shared" si="19"/>
        <v>-5805.5</v>
      </c>
      <c r="J663" s="145">
        <f t="shared" si="18"/>
        <v>-5805.5</v>
      </c>
    </row>
    <row r="664" spans="1:10" ht="63">
      <c r="A664" s="48" t="s">
        <v>55</v>
      </c>
      <c r="B664" s="49" t="s">
        <v>87</v>
      </c>
      <c r="C664" s="49">
        <v>100</v>
      </c>
      <c r="D664" s="50" t="s">
        <v>35</v>
      </c>
      <c r="E664" s="50" t="s">
        <v>82</v>
      </c>
      <c r="F664" s="51">
        <v>5793.5</v>
      </c>
      <c r="G664" s="144">
        <f>SUM(Ведомственная!G671)</f>
        <v>5793.5</v>
      </c>
      <c r="I664" s="145">
        <f t="shared" si="19"/>
        <v>0</v>
      </c>
      <c r="J664" s="145">
        <f t="shared" si="18"/>
        <v>-5793.5</v>
      </c>
    </row>
    <row r="665" spans="1:10" ht="31.5">
      <c r="A665" s="48" t="s">
        <v>56</v>
      </c>
      <c r="B665" s="49" t="s">
        <v>87</v>
      </c>
      <c r="C665" s="49">
        <v>200</v>
      </c>
      <c r="D665" s="50" t="s">
        <v>35</v>
      </c>
      <c r="E665" s="50" t="s">
        <v>82</v>
      </c>
      <c r="F665" s="51">
        <v>12</v>
      </c>
      <c r="G665" s="144">
        <f>SUM(Ведомственная!G672)</f>
        <v>12</v>
      </c>
      <c r="I665" s="145">
        <f t="shared" si="19"/>
        <v>0</v>
      </c>
      <c r="J665" s="145">
        <f t="shared" si="18"/>
        <v>-12</v>
      </c>
    </row>
    <row r="666" spans="1:10" ht="78.75">
      <c r="A666" s="48" t="s">
        <v>90</v>
      </c>
      <c r="B666" s="49" t="s">
        <v>29</v>
      </c>
      <c r="C666" s="49"/>
      <c r="D666" s="50"/>
      <c r="E666" s="50"/>
      <c r="F666" s="51">
        <f>F667+F670</f>
        <v>23235</v>
      </c>
      <c r="H666" s="146">
        <f>SUM(G669:G676)</f>
        <v>23235</v>
      </c>
      <c r="I666" s="145">
        <f t="shared" si="19"/>
        <v>-23235</v>
      </c>
      <c r="J666" s="145">
        <f t="shared" si="18"/>
        <v>0</v>
      </c>
    </row>
    <row r="667" spans="1:10" ht="47.25">
      <c r="A667" s="48" t="s">
        <v>30</v>
      </c>
      <c r="B667" s="49" t="s">
        <v>31</v>
      </c>
      <c r="C667" s="49"/>
      <c r="D667" s="50"/>
      <c r="E667" s="50"/>
      <c r="F667" s="51">
        <f>SUM(F668)</f>
        <v>22941.8</v>
      </c>
      <c r="I667" s="145">
        <f t="shared" si="19"/>
        <v>-22941.8</v>
      </c>
      <c r="J667" s="145">
        <f t="shared" si="18"/>
        <v>-22941.8</v>
      </c>
    </row>
    <row r="668" spans="1:10" ht="47.25">
      <c r="A668" s="48" t="s">
        <v>32</v>
      </c>
      <c r="B668" s="49" t="s">
        <v>33</v>
      </c>
      <c r="C668" s="49"/>
      <c r="D668" s="50"/>
      <c r="E668" s="50"/>
      <c r="F668" s="51">
        <f>F669</f>
        <v>22941.8</v>
      </c>
      <c r="I668" s="145">
        <f t="shared" si="19"/>
        <v>-22941.8</v>
      </c>
      <c r="J668" s="145">
        <f t="shared" si="18"/>
        <v>-22941.8</v>
      </c>
    </row>
    <row r="669" spans="1:10" ht="31.5">
      <c r="A669" s="48" t="s">
        <v>76</v>
      </c>
      <c r="B669" s="49" t="s">
        <v>33</v>
      </c>
      <c r="C669" s="49">
        <v>600</v>
      </c>
      <c r="D669" s="50" t="s">
        <v>35</v>
      </c>
      <c r="E669" s="50" t="s">
        <v>82</v>
      </c>
      <c r="F669" s="51">
        <v>22941.8</v>
      </c>
      <c r="G669" s="144">
        <f>SUM(Ведомственная!G416)</f>
        <v>22941.8</v>
      </c>
      <c r="I669" s="145">
        <f t="shared" si="19"/>
        <v>0</v>
      </c>
      <c r="J669" s="145">
        <f t="shared" si="18"/>
        <v>-22941.8</v>
      </c>
    </row>
    <row r="670" spans="1:10" ht="15.75">
      <c r="A670" s="48" t="s">
        <v>166</v>
      </c>
      <c r="B670" s="49" t="s">
        <v>680</v>
      </c>
      <c r="C670" s="49"/>
      <c r="D670" s="64"/>
      <c r="E670" s="50"/>
      <c r="F670" s="51">
        <f>SUM(F671)+F674</f>
        <v>293.2</v>
      </c>
      <c r="I670" s="145">
        <f t="shared" si="19"/>
        <v>-293.2</v>
      </c>
      <c r="J670" s="145"/>
    </row>
    <row r="671" spans="1:10" ht="31.5">
      <c r="A671" s="48" t="s">
        <v>335</v>
      </c>
      <c r="B671" s="49" t="s">
        <v>681</v>
      </c>
      <c r="C671" s="49"/>
      <c r="D671" s="64"/>
      <c r="E671" s="50"/>
      <c r="F671" s="51">
        <f>SUM(F672)</f>
        <v>212.9</v>
      </c>
      <c r="I671" s="145">
        <f t="shared" si="19"/>
        <v>-212.9</v>
      </c>
      <c r="J671" s="145"/>
    </row>
    <row r="672" spans="1:10" ht="47.25">
      <c r="A672" s="48" t="s">
        <v>32</v>
      </c>
      <c r="B672" s="49" t="s">
        <v>681</v>
      </c>
      <c r="C672" s="49"/>
      <c r="D672" s="64"/>
      <c r="E672" s="50"/>
      <c r="F672" s="51">
        <f>SUM(F673)</f>
        <v>212.9</v>
      </c>
      <c r="I672" s="145">
        <f t="shared" si="19"/>
        <v>-212.9</v>
      </c>
      <c r="J672" s="145"/>
    </row>
    <row r="673" spans="1:10" ht="31.5">
      <c r="A673" s="48" t="s">
        <v>76</v>
      </c>
      <c r="B673" s="49" t="s">
        <v>681</v>
      </c>
      <c r="C673" s="49">
        <v>600</v>
      </c>
      <c r="D673" s="50" t="s">
        <v>35</v>
      </c>
      <c r="E673" s="50" t="s">
        <v>82</v>
      </c>
      <c r="F673" s="51">
        <v>212.9</v>
      </c>
      <c r="G673" s="144">
        <f>SUM(Ведомственная!G420)</f>
        <v>212.9</v>
      </c>
      <c r="I673" s="145">
        <f t="shared" si="19"/>
        <v>0</v>
      </c>
      <c r="J673" s="145"/>
    </row>
    <row r="674" spans="1:10" ht="31.5">
      <c r="A674" s="48" t="s">
        <v>336</v>
      </c>
      <c r="B674" s="49" t="s">
        <v>682</v>
      </c>
      <c r="C674" s="49"/>
      <c r="D674" s="64"/>
      <c r="E674" s="50"/>
      <c r="F674" s="51">
        <f>SUM(F675)</f>
        <v>80.3</v>
      </c>
      <c r="I674" s="145">
        <f t="shared" si="19"/>
        <v>-80.3</v>
      </c>
      <c r="J674" s="145"/>
    </row>
    <row r="675" spans="1:10" ht="47.25">
      <c r="A675" s="48" t="s">
        <v>32</v>
      </c>
      <c r="B675" s="49" t="s">
        <v>682</v>
      </c>
      <c r="C675" s="49"/>
      <c r="D675" s="64"/>
      <c r="E675" s="50"/>
      <c r="F675" s="51">
        <f>SUM(F676)</f>
        <v>80.3</v>
      </c>
      <c r="I675" s="145">
        <f t="shared" si="19"/>
        <v>-80.3</v>
      </c>
      <c r="J675" s="145"/>
    </row>
    <row r="676" spans="1:10" ht="31.5">
      <c r="A676" s="48" t="s">
        <v>76</v>
      </c>
      <c r="B676" s="49" t="s">
        <v>682</v>
      </c>
      <c r="C676" s="49">
        <v>600</v>
      </c>
      <c r="D676" s="50" t="s">
        <v>35</v>
      </c>
      <c r="E676" s="50" t="s">
        <v>82</v>
      </c>
      <c r="F676" s="51">
        <v>80.3</v>
      </c>
      <c r="G676" s="144">
        <f>SUM(Ведомственная!G423)</f>
        <v>80.3</v>
      </c>
      <c r="I676" s="145">
        <f t="shared" si="19"/>
        <v>0</v>
      </c>
      <c r="J676" s="145"/>
    </row>
    <row r="677" spans="1:10" ht="63">
      <c r="A677" s="48" t="s">
        <v>93</v>
      </c>
      <c r="B677" s="49" t="s">
        <v>77</v>
      </c>
      <c r="C677" s="49"/>
      <c r="D677" s="50"/>
      <c r="E677" s="50"/>
      <c r="F677" s="51">
        <f>F678</f>
        <v>3587.4</v>
      </c>
      <c r="H677" s="146">
        <f>SUM(G678:G680)</f>
        <v>3587.4</v>
      </c>
      <c r="I677" s="145">
        <f t="shared" si="19"/>
        <v>-3587.4</v>
      </c>
      <c r="J677" s="145">
        <f t="shared" si="18"/>
        <v>0</v>
      </c>
    </row>
    <row r="678" spans="1:10" ht="15.75">
      <c r="A678" s="48" t="s">
        <v>39</v>
      </c>
      <c r="B678" s="49" t="s">
        <v>78</v>
      </c>
      <c r="C678" s="49"/>
      <c r="D678" s="50"/>
      <c r="E678" s="50"/>
      <c r="F678" s="51">
        <f>SUM(F679)</f>
        <v>3587.4</v>
      </c>
      <c r="I678" s="145">
        <f t="shared" si="19"/>
        <v>-3587.4</v>
      </c>
      <c r="J678" s="145">
        <f t="shared" si="18"/>
        <v>-3587.4</v>
      </c>
    </row>
    <row r="679" spans="1:10" ht="31.5">
      <c r="A679" s="48" t="s">
        <v>79</v>
      </c>
      <c r="B679" s="49" t="s">
        <v>80</v>
      </c>
      <c r="C679" s="49"/>
      <c r="D679" s="50"/>
      <c r="E679" s="50"/>
      <c r="F679" s="51">
        <f>F680</f>
        <v>3587.4</v>
      </c>
      <c r="I679" s="145">
        <f t="shared" si="19"/>
        <v>-3587.4</v>
      </c>
      <c r="J679" s="145">
        <f aca="true" t="shared" si="20" ref="J679:J757">SUM(H679-F679)</f>
        <v>-3587.4</v>
      </c>
    </row>
    <row r="680" spans="1:10" ht="31.5">
      <c r="A680" s="48" t="s">
        <v>56</v>
      </c>
      <c r="B680" s="49" t="s">
        <v>80</v>
      </c>
      <c r="C680" s="49">
        <v>200</v>
      </c>
      <c r="D680" s="50" t="s">
        <v>35</v>
      </c>
      <c r="E680" s="50" t="s">
        <v>58</v>
      </c>
      <c r="F680" s="51">
        <v>3587.4</v>
      </c>
      <c r="G680" s="144">
        <f>SUM(Ведомственная!G614)</f>
        <v>3587.4</v>
      </c>
      <c r="I680" s="145">
        <f t="shared" si="19"/>
        <v>0</v>
      </c>
      <c r="J680" s="145">
        <f t="shared" si="20"/>
        <v>-3587.4</v>
      </c>
    </row>
    <row r="681" spans="1:10" ht="31.5">
      <c r="A681" s="48" t="s">
        <v>276</v>
      </c>
      <c r="B681" s="49" t="s">
        <v>277</v>
      </c>
      <c r="C681" s="49"/>
      <c r="D681" s="50"/>
      <c r="E681" s="50"/>
      <c r="F681" s="51">
        <f>SUM(F682:F684)</f>
        <v>632.4000000000001</v>
      </c>
      <c r="H681" s="146">
        <f>SUM(G682:G684)</f>
        <v>632.4</v>
      </c>
      <c r="I681" s="145">
        <f t="shared" si="19"/>
        <v>-632.4000000000001</v>
      </c>
      <c r="J681" s="145">
        <f t="shared" si="20"/>
        <v>-1.1368683772161603E-13</v>
      </c>
    </row>
    <row r="682" spans="1:10" ht="63">
      <c r="A682" s="157" t="s">
        <v>55</v>
      </c>
      <c r="B682" s="49" t="s">
        <v>277</v>
      </c>
      <c r="C682" s="49">
        <v>100</v>
      </c>
      <c r="D682" s="158" t="s">
        <v>38</v>
      </c>
      <c r="E682" s="158">
        <v>13</v>
      </c>
      <c r="F682" s="51">
        <v>13.3</v>
      </c>
      <c r="G682" s="144">
        <f>SUM(Ведомственная!G139)</f>
        <v>13.3</v>
      </c>
      <c r="I682" s="145">
        <f t="shared" si="19"/>
        <v>0</v>
      </c>
      <c r="J682" s="145"/>
    </row>
    <row r="683" spans="1:10" ht="31.5">
      <c r="A683" s="48" t="s">
        <v>56</v>
      </c>
      <c r="B683" s="49" t="s">
        <v>277</v>
      </c>
      <c r="C683" s="49">
        <v>200</v>
      </c>
      <c r="D683" s="50" t="s">
        <v>38</v>
      </c>
      <c r="E683" s="50">
        <v>13</v>
      </c>
      <c r="F683" s="51">
        <v>469.1</v>
      </c>
      <c r="G683" s="144">
        <f>SUM(Ведомственная!G140)</f>
        <v>469.09999999999997</v>
      </c>
      <c r="I683" s="145">
        <f t="shared" si="19"/>
        <v>0</v>
      </c>
      <c r="J683" s="145">
        <f t="shared" si="20"/>
        <v>-469.1</v>
      </c>
    </row>
    <row r="684" spans="1:10" ht="15.75">
      <c r="A684" s="48" t="s">
        <v>46</v>
      </c>
      <c r="B684" s="49" t="s">
        <v>277</v>
      </c>
      <c r="C684" s="49">
        <v>300</v>
      </c>
      <c r="D684" s="50" t="s">
        <v>38</v>
      </c>
      <c r="E684" s="50">
        <v>13</v>
      </c>
      <c r="F684" s="51">
        <v>150</v>
      </c>
      <c r="G684" s="144">
        <f>SUM(Ведомственная!G141)</f>
        <v>150</v>
      </c>
      <c r="I684" s="145">
        <f t="shared" si="19"/>
        <v>0</v>
      </c>
      <c r="J684" s="145">
        <f t="shared" si="20"/>
        <v>-150</v>
      </c>
    </row>
    <row r="685" spans="1:10" ht="31.5">
      <c r="A685" s="46" t="s">
        <v>219</v>
      </c>
      <c r="B685" s="79" t="s">
        <v>220</v>
      </c>
      <c r="C685" s="49"/>
      <c r="D685" s="50"/>
      <c r="E685" s="50"/>
      <c r="F685" s="87">
        <f>SUM(F686+F688)</f>
        <v>38342.6</v>
      </c>
      <c r="H685" s="146">
        <f>SUM(G687:G699)</f>
        <v>38342.6</v>
      </c>
      <c r="I685" s="145">
        <f t="shared" si="19"/>
        <v>-38342.6</v>
      </c>
      <c r="J685" s="145">
        <f t="shared" si="20"/>
        <v>0</v>
      </c>
    </row>
    <row r="686" spans="1:10" ht="21.75" customHeight="1">
      <c r="A686" s="74" t="s">
        <v>233</v>
      </c>
      <c r="B686" s="79" t="s">
        <v>234</v>
      </c>
      <c r="C686" s="49"/>
      <c r="D686" s="50"/>
      <c r="E686" s="50"/>
      <c r="F686" s="49">
        <f>SUM(F687)</f>
        <v>7417.2</v>
      </c>
      <c r="I686" s="145">
        <f t="shared" si="19"/>
        <v>-7417.2</v>
      </c>
      <c r="J686" s="145">
        <f t="shared" si="20"/>
        <v>-7417.2</v>
      </c>
    </row>
    <row r="687" spans="1:10" ht="20.25" customHeight="1">
      <c r="A687" s="88" t="s">
        <v>235</v>
      </c>
      <c r="B687" s="79" t="s">
        <v>234</v>
      </c>
      <c r="C687" s="49">
        <v>700</v>
      </c>
      <c r="D687" s="50" t="s">
        <v>104</v>
      </c>
      <c r="E687" s="50" t="s">
        <v>38</v>
      </c>
      <c r="F687" s="49">
        <v>7417.2</v>
      </c>
      <c r="G687" s="144">
        <f>SUM(Ведомственная!G482)</f>
        <v>7417.200000000001</v>
      </c>
      <c r="I687" s="145">
        <f t="shared" si="19"/>
        <v>0</v>
      </c>
      <c r="J687" s="145">
        <f t="shared" si="20"/>
        <v>-7417.2</v>
      </c>
    </row>
    <row r="688" spans="1:10" ht="47.25">
      <c r="A688" s="74" t="s">
        <v>84</v>
      </c>
      <c r="B688" s="50" t="s">
        <v>221</v>
      </c>
      <c r="C688" s="73"/>
      <c r="D688" s="73"/>
      <c r="E688" s="73"/>
      <c r="F688" s="87">
        <f>SUM(F689+F692+F695+F697)</f>
        <v>30925.399999999998</v>
      </c>
      <c r="I688" s="145">
        <f t="shared" si="19"/>
        <v>-30925.399999999998</v>
      </c>
      <c r="J688" s="145">
        <f t="shared" si="20"/>
        <v>-30925.399999999998</v>
      </c>
    </row>
    <row r="689" spans="1:10" ht="15.75">
      <c r="A689" s="74" t="s">
        <v>86</v>
      </c>
      <c r="B689" s="50" t="s">
        <v>222</v>
      </c>
      <c r="C689" s="73"/>
      <c r="D689" s="73"/>
      <c r="E689" s="73"/>
      <c r="F689" s="87">
        <f>SUM(F690:F691)</f>
        <v>23794</v>
      </c>
      <c r="I689" s="145">
        <f t="shared" si="19"/>
        <v>-23794</v>
      </c>
      <c r="J689" s="145">
        <f t="shared" si="20"/>
        <v>-23794</v>
      </c>
    </row>
    <row r="690" spans="1:10" ht="63">
      <c r="A690" s="48" t="s">
        <v>55</v>
      </c>
      <c r="B690" s="50" t="s">
        <v>222</v>
      </c>
      <c r="C690" s="73" t="s">
        <v>99</v>
      </c>
      <c r="D690" s="73" t="s">
        <v>38</v>
      </c>
      <c r="E690" s="73" t="s">
        <v>82</v>
      </c>
      <c r="F690" s="87">
        <v>23786.4</v>
      </c>
      <c r="G690" s="144">
        <f>SUM(Ведомственная!G445)</f>
        <v>23786.4</v>
      </c>
      <c r="I690" s="145">
        <f t="shared" si="19"/>
        <v>0</v>
      </c>
      <c r="J690" s="145">
        <f t="shared" si="20"/>
        <v>-23786.4</v>
      </c>
    </row>
    <row r="691" spans="1:10" ht="31.5">
      <c r="A691" s="48" t="s">
        <v>56</v>
      </c>
      <c r="B691" s="50" t="s">
        <v>222</v>
      </c>
      <c r="C691" s="73" t="s">
        <v>101</v>
      </c>
      <c r="D691" s="73" t="s">
        <v>38</v>
      </c>
      <c r="E691" s="73" t="s">
        <v>82</v>
      </c>
      <c r="F691" s="87">
        <v>7.6</v>
      </c>
      <c r="G691" s="144">
        <f>SUM(Ведомственная!G446)</f>
        <v>7.6</v>
      </c>
      <c r="I691" s="145">
        <f t="shared" si="19"/>
        <v>0</v>
      </c>
      <c r="J691" s="145">
        <f t="shared" si="20"/>
        <v>-7.6</v>
      </c>
    </row>
    <row r="692" spans="1:10" ht="15.75">
      <c r="A692" s="74" t="s">
        <v>105</v>
      </c>
      <c r="B692" s="79" t="s">
        <v>225</v>
      </c>
      <c r="C692" s="49"/>
      <c r="D692" s="50"/>
      <c r="E692" s="50"/>
      <c r="F692" s="87">
        <f>SUM(F693:F694)</f>
        <v>213.3</v>
      </c>
      <c r="I692" s="145">
        <f t="shared" si="19"/>
        <v>-213.3</v>
      </c>
      <c r="J692" s="145">
        <f t="shared" si="20"/>
        <v>-213.3</v>
      </c>
    </row>
    <row r="693" spans="1:10" ht="31.5">
      <c r="A693" s="48" t="s">
        <v>56</v>
      </c>
      <c r="B693" s="79" t="s">
        <v>225</v>
      </c>
      <c r="C693" s="49">
        <v>200</v>
      </c>
      <c r="D693" s="50" t="s">
        <v>38</v>
      </c>
      <c r="E693" s="50" t="s">
        <v>104</v>
      </c>
      <c r="F693" s="87">
        <v>211.3</v>
      </c>
      <c r="G693" s="144">
        <f>SUM(Ведомственная!G455)</f>
        <v>211.3</v>
      </c>
      <c r="I693" s="145">
        <f t="shared" si="19"/>
        <v>0</v>
      </c>
      <c r="J693" s="145">
        <f t="shared" si="20"/>
        <v>-211.3</v>
      </c>
    </row>
    <row r="694" spans="1:10" ht="15.75">
      <c r="A694" s="74" t="s">
        <v>26</v>
      </c>
      <c r="B694" s="79" t="s">
        <v>225</v>
      </c>
      <c r="C694" s="49">
        <v>800</v>
      </c>
      <c r="D694" s="50" t="s">
        <v>38</v>
      </c>
      <c r="E694" s="50" t="s">
        <v>104</v>
      </c>
      <c r="F694" s="87">
        <v>2</v>
      </c>
      <c r="G694" s="144">
        <f>SUM(Ведомственная!G456)</f>
        <v>2</v>
      </c>
      <c r="I694" s="145">
        <f t="shared" si="19"/>
        <v>0</v>
      </c>
      <c r="J694" s="145">
        <f t="shared" si="20"/>
        <v>-2</v>
      </c>
    </row>
    <row r="695" spans="1:10" ht="31.5">
      <c r="A695" s="74" t="s">
        <v>107</v>
      </c>
      <c r="B695" s="79" t="s">
        <v>226</v>
      </c>
      <c r="C695" s="49"/>
      <c r="D695" s="50"/>
      <c r="E695" s="50"/>
      <c r="F695" s="87">
        <f>SUM(F696)</f>
        <v>300.6</v>
      </c>
      <c r="I695" s="145">
        <f t="shared" si="19"/>
        <v>-300.6</v>
      </c>
      <c r="J695" s="145">
        <f t="shared" si="20"/>
        <v>-300.6</v>
      </c>
    </row>
    <row r="696" spans="1:10" ht="31.5">
      <c r="A696" s="48" t="s">
        <v>56</v>
      </c>
      <c r="B696" s="79" t="s">
        <v>226</v>
      </c>
      <c r="C696" s="49">
        <v>200</v>
      </c>
      <c r="D696" s="50" t="s">
        <v>38</v>
      </c>
      <c r="E696" s="50" t="s">
        <v>104</v>
      </c>
      <c r="F696" s="87">
        <v>300.6</v>
      </c>
      <c r="G696" s="144">
        <f>SUM(Ведомственная!G458)</f>
        <v>300.6</v>
      </c>
      <c r="I696" s="145">
        <f t="shared" si="19"/>
        <v>0</v>
      </c>
      <c r="J696" s="145">
        <f t="shared" si="20"/>
        <v>-300.6</v>
      </c>
    </row>
    <row r="697" spans="1:10" ht="31.5">
      <c r="A697" s="74" t="s">
        <v>108</v>
      </c>
      <c r="B697" s="79" t="s">
        <v>227</v>
      </c>
      <c r="C697" s="49"/>
      <c r="D697" s="50"/>
      <c r="E697" s="50"/>
      <c r="F697" s="87">
        <f>SUM(F698:F699)</f>
        <v>6617.5</v>
      </c>
      <c r="I697" s="145">
        <f t="shared" si="19"/>
        <v>-6617.5</v>
      </c>
      <c r="J697" s="145">
        <f t="shared" si="20"/>
        <v>-6617.5</v>
      </c>
    </row>
    <row r="698" spans="1:10" ht="31.5">
      <c r="A698" s="48" t="s">
        <v>56</v>
      </c>
      <c r="B698" s="79" t="s">
        <v>227</v>
      </c>
      <c r="C698" s="49">
        <v>200</v>
      </c>
      <c r="D698" s="50" t="s">
        <v>38</v>
      </c>
      <c r="E698" s="50" t="s">
        <v>104</v>
      </c>
      <c r="F698" s="87">
        <v>6617.5</v>
      </c>
      <c r="G698" s="144">
        <f>SUM(Ведомственная!G460)</f>
        <v>6617.5</v>
      </c>
      <c r="I698" s="145">
        <f t="shared" si="19"/>
        <v>0</v>
      </c>
      <c r="J698" s="145">
        <f t="shared" si="20"/>
        <v>-6617.5</v>
      </c>
    </row>
    <row r="699" spans="1:10" ht="15.75" hidden="1">
      <c r="A699" s="74" t="s">
        <v>26</v>
      </c>
      <c r="B699" s="79" t="s">
        <v>227</v>
      </c>
      <c r="C699" s="49">
        <v>800</v>
      </c>
      <c r="D699" s="50"/>
      <c r="E699" s="50"/>
      <c r="F699" s="87"/>
      <c r="G699" s="144">
        <f>SUM(Ведомственная!G461)</f>
        <v>0</v>
      </c>
      <c r="I699" s="145">
        <f t="shared" si="19"/>
        <v>0</v>
      </c>
      <c r="J699" s="145">
        <f t="shared" si="20"/>
        <v>0</v>
      </c>
    </row>
    <row r="700" spans="1:10" ht="31.5">
      <c r="A700" s="48" t="s">
        <v>278</v>
      </c>
      <c r="B700" s="49" t="s">
        <v>279</v>
      </c>
      <c r="C700" s="49"/>
      <c r="D700" s="50"/>
      <c r="E700" s="50"/>
      <c r="F700" s="51">
        <f>SUM(F701)</f>
        <v>126.9</v>
      </c>
      <c r="H700" s="146">
        <f>SUM(G701)</f>
        <v>126.9</v>
      </c>
      <c r="I700" s="145">
        <f t="shared" si="19"/>
        <v>-126.9</v>
      </c>
      <c r="J700" s="145">
        <f t="shared" si="20"/>
        <v>0</v>
      </c>
    </row>
    <row r="701" spans="1:10" ht="31.5">
      <c r="A701" s="48" t="s">
        <v>56</v>
      </c>
      <c r="B701" s="49" t="s">
        <v>279</v>
      </c>
      <c r="C701" s="49">
        <v>200</v>
      </c>
      <c r="D701" s="50" t="s">
        <v>38</v>
      </c>
      <c r="E701" s="50">
        <v>13</v>
      </c>
      <c r="F701" s="51">
        <v>126.9</v>
      </c>
      <c r="G701" s="144">
        <f>SUM(Ведомственная!G143)</f>
        <v>126.9</v>
      </c>
      <c r="I701" s="145">
        <f t="shared" si="19"/>
        <v>0</v>
      </c>
      <c r="J701" s="145">
        <f t="shared" si="20"/>
        <v>-126.9</v>
      </c>
    </row>
    <row r="702" spans="1:10" ht="47.25">
      <c r="A702" s="48" t="s">
        <v>280</v>
      </c>
      <c r="B702" s="49" t="s">
        <v>281</v>
      </c>
      <c r="C702" s="49"/>
      <c r="D702" s="50"/>
      <c r="E702" s="50"/>
      <c r="F702" s="51">
        <f>SUM(F703+F706)+F708</f>
        <v>3172.2000000000003</v>
      </c>
      <c r="H702" s="146">
        <f>SUM(G705:G710)</f>
        <v>3172.2000000000003</v>
      </c>
      <c r="I702" s="145">
        <f t="shared" si="19"/>
        <v>-3172.2000000000003</v>
      </c>
      <c r="J702" s="145">
        <f t="shared" si="20"/>
        <v>0</v>
      </c>
    </row>
    <row r="703" spans="1:10" ht="94.5">
      <c r="A703" s="89" t="s">
        <v>246</v>
      </c>
      <c r="B703" s="49" t="s">
        <v>535</v>
      </c>
      <c r="C703" s="49"/>
      <c r="D703" s="50"/>
      <c r="E703" s="50"/>
      <c r="F703" s="51">
        <f>SUM(F704)</f>
        <v>87.4</v>
      </c>
      <c r="I703" s="145">
        <f t="shared" si="19"/>
        <v>-87.4</v>
      </c>
      <c r="J703" s="145">
        <f t="shared" si="20"/>
        <v>-87.4</v>
      </c>
    </row>
    <row r="704" spans="1:10" ht="47.25">
      <c r="A704" s="74" t="s">
        <v>534</v>
      </c>
      <c r="B704" s="49" t="s">
        <v>536</v>
      </c>
      <c r="C704" s="49"/>
      <c r="D704" s="50"/>
      <c r="E704" s="50"/>
      <c r="F704" s="51">
        <f>SUM(F705)</f>
        <v>87.4</v>
      </c>
      <c r="I704" s="145">
        <f t="shared" si="19"/>
        <v>-87.4</v>
      </c>
      <c r="J704" s="145">
        <f t="shared" si="20"/>
        <v>-87.4</v>
      </c>
    </row>
    <row r="705" spans="1:10" ht="31.5">
      <c r="A705" s="74" t="s">
        <v>283</v>
      </c>
      <c r="B705" s="49" t="s">
        <v>536</v>
      </c>
      <c r="C705" s="49">
        <v>600</v>
      </c>
      <c r="D705" s="50" t="s">
        <v>38</v>
      </c>
      <c r="E705" s="50">
        <v>13</v>
      </c>
      <c r="F705" s="51">
        <v>87.4</v>
      </c>
      <c r="G705" s="144">
        <f>SUM(Ведомственная!G147)</f>
        <v>87.4</v>
      </c>
      <c r="I705" s="145">
        <f t="shared" si="19"/>
        <v>0</v>
      </c>
      <c r="J705" s="145">
        <f t="shared" si="20"/>
        <v>-87.4</v>
      </c>
    </row>
    <row r="706" spans="1:10" ht="47.25">
      <c r="A706" s="48" t="s">
        <v>30</v>
      </c>
      <c r="B706" s="49" t="s">
        <v>282</v>
      </c>
      <c r="C706" s="49"/>
      <c r="D706" s="50"/>
      <c r="E706" s="50"/>
      <c r="F706" s="51">
        <f>SUM(F707)</f>
        <v>2812.3</v>
      </c>
      <c r="I706" s="145">
        <f aca="true" t="shared" si="21" ref="I706:I764">G706-F706</f>
        <v>-2812.3</v>
      </c>
      <c r="J706" s="145">
        <f t="shared" si="20"/>
        <v>-2812.3</v>
      </c>
    </row>
    <row r="707" spans="1:10" ht="31.5">
      <c r="A707" s="48" t="s">
        <v>283</v>
      </c>
      <c r="B707" s="49" t="s">
        <v>282</v>
      </c>
      <c r="C707" s="49">
        <v>600</v>
      </c>
      <c r="D707" s="50" t="s">
        <v>38</v>
      </c>
      <c r="E707" s="50">
        <v>13</v>
      </c>
      <c r="F707" s="51">
        <v>2812.3</v>
      </c>
      <c r="G707" s="144">
        <f>SUM(Ведомственная!G149)</f>
        <v>2812.3</v>
      </c>
      <c r="I707" s="145">
        <f t="shared" si="21"/>
        <v>0</v>
      </c>
      <c r="J707" s="145">
        <f t="shared" si="20"/>
        <v>-2812.3</v>
      </c>
    </row>
    <row r="708" spans="1:10" ht="15.75">
      <c r="A708" s="112" t="s">
        <v>166</v>
      </c>
      <c r="B708" s="49" t="s">
        <v>755</v>
      </c>
      <c r="C708" s="113"/>
      <c r="D708" s="113"/>
      <c r="E708" s="49"/>
      <c r="F708" s="49">
        <f>SUM(F709)</f>
        <v>272.5</v>
      </c>
      <c r="G708" s="151"/>
      <c r="I708" s="145">
        <f t="shared" si="21"/>
        <v>-272.5</v>
      </c>
      <c r="J708" s="145"/>
    </row>
    <row r="709" spans="1:10" ht="31.5">
      <c r="A709" s="74" t="s">
        <v>670</v>
      </c>
      <c r="B709" s="49" t="s">
        <v>756</v>
      </c>
      <c r="C709" s="113"/>
      <c r="D709" s="113"/>
      <c r="E709" s="49"/>
      <c r="F709" s="49">
        <f>SUM(F710)</f>
        <v>272.5</v>
      </c>
      <c r="G709" s="151"/>
      <c r="I709" s="145">
        <f t="shared" si="21"/>
        <v>-272.5</v>
      </c>
      <c r="J709" s="145"/>
    </row>
    <row r="710" spans="1:10" ht="31.5">
      <c r="A710" s="112" t="s">
        <v>283</v>
      </c>
      <c r="B710" s="49" t="s">
        <v>756</v>
      </c>
      <c r="C710" s="49">
        <v>600</v>
      </c>
      <c r="D710" s="113" t="s">
        <v>38</v>
      </c>
      <c r="E710" s="113">
        <v>13</v>
      </c>
      <c r="F710" s="49">
        <v>272.5</v>
      </c>
      <c r="G710" s="151">
        <f>SUM(Ведомственная!G152)</f>
        <v>272.5</v>
      </c>
      <c r="I710" s="145">
        <f t="shared" si="21"/>
        <v>0</v>
      </c>
      <c r="J710" s="145"/>
    </row>
    <row r="711" spans="1:10" ht="47.25">
      <c r="A711" s="159" t="s">
        <v>707</v>
      </c>
      <c r="B711" s="49" t="s">
        <v>708</v>
      </c>
      <c r="C711" s="49"/>
      <c r="D711" s="160"/>
      <c r="E711" s="160"/>
      <c r="F711" s="87">
        <f>SUM(F712)</f>
        <v>1600</v>
      </c>
      <c r="G711" s="151"/>
      <c r="H711" s="150">
        <f>SUM(G712:G715)</f>
        <v>1600</v>
      </c>
      <c r="I711" s="145">
        <f t="shared" si="21"/>
        <v>-1600</v>
      </c>
      <c r="J711" s="145"/>
    </row>
    <row r="712" spans="1:10" ht="15.75">
      <c r="A712" s="159" t="s">
        <v>39</v>
      </c>
      <c r="B712" s="49" t="s">
        <v>709</v>
      </c>
      <c r="C712" s="49"/>
      <c r="D712" s="160"/>
      <c r="E712" s="160"/>
      <c r="F712" s="87">
        <f>SUM(F713)</f>
        <v>1600</v>
      </c>
      <c r="G712" s="151"/>
      <c r="I712" s="145">
        <f t="shared" si="21"/>
        <v>-1600</v>
      </c>
      <c r="J712" s="145"/>
    </row>
    <row r="713" spans="1:10" ht="15.75">
      <c r="A713" s="159" t="s">
        <v>59</v>
      </c>
      <c r="B713" s="49" t="s">
        <v>710</v>
      </c>
      <c r="C713" s="49"/>
      <c r="D713" s="160"/>
      <c r="E713" s="160"/>
      <c r="F713" s="87">
        <f>SUM(F714)</f>
        <v>1600</v>
      </c>
      <c r="G713" s="151"/>
      <c r="I713" s="145">
        <f t="shared" si="21"/>
        <v>-1600</v>
      </c>
      <c r="J713" s="145"/>
    </row>
    <row r="714" spans="1:10" ht="94.5">
      <c r="A714" s="159" t="s">
        <v>809</v>
      </c>
      <c r="B714" s="49" t="s">
        <v>711</v>
      </c>
      <c r="C714" s="49"/>
      <c r="D714" s="160"/>
      <c r="E714" s="160"/>
      <c r="F714" s="87">
        <f>SUM(F715)</f>
        <v>1600</v>
      </c>
      <c r="G714" s="151"/>
      <c r="I714" s="145">
        <f t="shared" si="21"/>
        <v>-1600</v>
      </c>
      <c r="J714" s="145"/>
    </row>
    <row r="715" spans="1:10" ht="15.75">
      <c r="A715" s="159" t="s">
        <v>46</v>
      </c>
      <c r="B715" s="49" t="s">
        <v>711</v>
      </c>
      <c r="C715" s="49">
        <v>300</v>
      </c>
      <c r="D715" s="160" t="s">
        <v>35</v>
      </c>
      <c r="E715" s="160" t="s">
        <v>58</v>
      </c>
      <c r="F715" s="49">
        <v>1600</v>
      </c>
      <c r="G715" s="151">
        <f>SUM(Ведомственная!G619)</f>
        <v>1600</v>
      </c>
      <c r="I715" s="145">
        <f t="shared" si="21"/>
        <v>0</v>
      </c>
      <c r="J715" s="145"/>
    </row>
    <row r="716" spans="1:10" ht="47.25">
      <c r="A716" s="48" t="s">
        <v>722</v>
      </c>
      <c r="B716" s="49" t="s">
        <v>719</v>
      </c>
      <c r="C716" s="50"/>
      <c r="D716" s="50"/>
      <c r="E716" s="50"/>
      <c r="F716" s="51">
        <f>SUM(F717)</f>
        <v>35383.5</v>
      </c>
      <c r="H716" s="146">
        <f>SUM(G717:G719)</f>
        <v>35383.5</v>
      </c>
      <c r="I716" s="145">
        <f t="shared" si="21"/>
        <v>-35383.5</v>
      </c>
      <c r="J716" s="145"/>
    </row>
    <row r="717" spans="1:10" ht="47.25">
      <c r="A717" s="48" t="s">
        <v>717</v>
      </c>
      <c r="B717" s="49" t="s">
        <v>720</v>
      </c>
      <c r="C717" s="50"/>
      <c r="D717" s="50"/>
      <c r="E717" s="50"/>
      <c r="F717" s="51">
        <f>SUM(F718)</f>
        <v>35383.5</v>
      </c>
      <c r="I717" s="145">
        <f t="shared" si="21"/>
        <v>-35383.5</v>
      </c>
      <c r="J717" s="145"/>
    </row>
    <row r="718" spans="1:10" ht="63">
      <c r="A718" s="48" t="s">
        <v>718</v>
      </c>
      <c r="B718" s="49" t="s">
        <v>721</v>
      </c>
      <c r="C718" s="50"/>
      <c r="D718" s="50"/>
      <c r="E718" s="50"/>
      <c r="F718" s="51">
        <f>SUM(F719)</f>
        <v>35383.5</v>
      </c>
      <c r="I718" s="145">
        <f t="shared" si="21"/>
        <v>-35383.5</v>
      </c>
      <c r="J718" s="145"/>
    </row>
    <row r="719" spans="1:10" ht="31.5">
      <c r="A719" s="67" t="s">
        <v>359</v>
      </c>
      <c r="B719" s="49" t="s">
        <v>721</v>
      </c>
      <c r="C719" s="50" t="s">
        <v>313</v>
      </c>
      <c r="D719" s="50" t="s">
        <v>188</v>
      </c>
      <c r="E719" s="50" t="s">
        <v>38</v>
      </c>
      <c r="F719" s="51">
        <v>35383.5</v>
      </c>
      <c r="G719" s="144">
        <f>SUM(Ведомственная!G250)</f>
        <v>35383.5</v>
      </c>
      <c r="I719" s="145">
        <f t="shared" si="21"/>
        <v>0</v>
      </c>
      <c r="J719" s="145"/>
    </row>
    <row r="720" spans="1:10" ht="15.75">
      <c r="A720" s="100" t="s">
        <v>216</v>
      </c>
      <c r="B720" s="65" t="s">
        <v>217</v>
      </c>
      <c r="C720" s="65"/>
      <c r="D720" s="65"/>
      <c r="E720" s="65"/>
      <c r="F720" s="57">
        <f>SUM(F730)+F721+F723+F725+F752+F727+F763+F750</f>
        <v>42337.3</v>
      </c>
      <c r="H720" s="146">
        <f>SUM(G721:G765)</f>
        <v>42337.30000000001</v>
      </c>
      <c r="I720" s="145">
        <f t="shared" si="21"/>
        <v>-42337.3</v>
      </c>
      <c r="J720" s="145">
        <f t="shared" si="20"/>
        <v>7.275957614183426E-12</v>
      </c>
    </row>
    <row r="721" spans="1:10" ht="63">
      <c r="A721" s="48" t="s">
        <v>644</v>
      </c>
      <c r="B721" s="79" t="s">
        <v>230</v>
      </c>
      <c r="C721" s="49"/>
      <c r="D721" s="50"/>
      <c r="E721" s="50"/>
      <c r="F721" s="49">
        <f>SUM(F722)</f>
        <v>189.5</v>
      </c>
      <c r="I721" s="145">
        <f t="shared" si="21"/>
        <v>-189.5</v>
      </c>
      <c r="J721" s="145">
        <f t="shared" si="20"/>
        <v>-189.5</v>
      </c>
    </row>
    <row r="722" spans="1:10" ht="15.75">
      <c r="A722" s="74" t="s">
        <v>26</v>
      </c>
      <c r="B722" s="79" t="s">
        <v>230</v>
      </c>
      <c r="C722" s="49">
        <v>800</v>
      </c>
      <c r="D722" s="50">
        <v>10</v>
      </c>
      <c r="E722" s="50" t="s">
        <v>82</v>
      </c>
      <c r="F722" s="49">
        <v>189.5</v>
      </c>
      <c r="G722" s="144">
        <f>SUM(Ведомственная!G477)</f>
        <v>189.5</v>
      </c>
      <c r="I722" s="145">
        <f t="shared" si="21"/>
        <v>0</v>
      </c>
      <c r="J722" s="145">
        <f t="shared" si="20"/>
        <v>-189.5</v>
      </c>
    </row>
    <row r="723" spans="1:10" ht="31.5" hidden="1">
      <c r="A723" s="74" t="s">
        <v>228</v>
      </c>
      <c r="B723" s="50" t="s">
        <v>229</v>
      </c>
      <c r="C723" s="49"/>
      <c r="D723" s="50"/>
      <c r="E723" s="50"/>
      <c r="F723" s="49">
        <f>SUM(F724)</f>
        <v>0</v>
      </c>
      <c r="I723" s="145">
        <f t="shared" si="21"/>
        <v>0</v>
      </c>
      <c r="J723" s="145">
        <f t="shared" si="20"/>
        <v>0</v>
      </c>
    </row>
    <row r="724" spans="1:10" ht="15.75" hidden="1">
      <c r="A724" s="74" t="s">
        <v>26</v>
      </c>
      <c r="B724" s="50" t="s">
        <v>229</v>
      </c>
      <c r="C724" s="49">
        <v>800</v>
      </c>
      <c r="D724" s="50"/>
      <c r="E724" s="50"/>
      <c r="F724" s="49"/>
      <c r="G724" s="144">
        <f>SUM(Ведомственная!G464)</f>
        <v>0</v>
      </c>
      <c r="I724" s="145">
        <f t="shared" si="21"/>
        <v>0</v>
      </c>
      <c r="J724" s="145">
        <f t="shared" si="20"/>
        <v>0</v>
      </c>
    </row>
    <row r="725" spans="1:10" ht="15.75">
      <c r="A725" s="88" t="s">
        <v>158</v>
      </c>
      <c r="B725" s="50" t="s">
        <v>224</v>
      </c>
      <c r="C725" s="79"/>
      <c r="D725" s="73"/>
      <c r="E725" s="73"/>
      <c r="F725" s="90">
        <f>SUM(F726)</f>
        <v>19.600000000000023</v>
      </c>
      <c r="I725" s="145">
        <f t="shared" si="21"/>
        <v>-19.600000000000023</v>
      </c>
      <c r="J725" s="145">
        <f t="shared" si="20"/>
        <v>-19.600000000000023</v>
      </c>
    </row>
    <row r="726" spans="1:10" ht="15.75">
      <c r="A726" s="88" t="s">
        <v>26</v>
      </c>
      <c r="B726" s="50" t="s">
        <v>224</v>
      </c>
      <c r="C726" s="49">
        <v>800</v>
      </c>
      <c r="D726" s="50" t="s">
        <v>38</v>
      </c>
      <c r="E726" s="50" t="s">
        <v>189</v>
      </c>
      <c r="F726" s="90">
        <f>500-480.4</f>
        <v>19.600000000000023</v>
      </c>
      <c r="G726" s="144">
        <f>SUM(Ведомственная!G450)</f>
        <v>19.600000000000023</v>
      </c>
      <c r="I726" s="145">
        <f t="shared" si="21"/>
        <v>0</v>
      </c>
      <c r="J726" s="145">
        <f t="shared" si="20"/>
        <v>-19.600000000000023</v>
      </c>
    </row>
    <row r="727" spans="1:10" ht="47.25">
      <c r="A727" s="14" t="s">
        <v>366</v>
      </c>
      <c r="B727" s="65" t="s">
        <v>424</v>
      </c>
      <c r="C727" s="65"/>
      <c r="D727" s="65"/>
      <c r="E727" s="65"/>
      <c r="F727" s="66">
        <f>SUM(F728)</f>
        <v>500</v>
      </c>
      <c r="I727" s="145">
        <f t="shared" si="21"/>
        <v>-500</v>
      </c>
      <c r="J727" s="145">
        <f t="shared" si="20"/>
        <v>-500</v>
      </c>
    </row>
    <row r="728" spans="1:10" ht="31.5">
      <c r="A728" s="14" t="s">
        <v>423</v>
      </c>
      <c r="B728" s="65" t="s">
        <v>425</v>
      </c>
      <c r="C728" s="65"/>
      <c r="D728" s="65"/>
      <c r="E728" s="65"/>
      <c r="F728" s="66">
        <f>SUM(F729)</f>
        <v>500</v>
      </c>
      <c r="I728" s="145">
        <f t="shared" si="21"/>
        <v>-500</v>
      </c>
      <c r="J728" s="145">
        <f t="shared" si="20"/>
        <v>-500</v>
      </c>
    </row>
    <row r="729" spans="1:10" ht="31.5">
      <c r="A729" s="14" t="s">
        <v>56</v>
      </c>
      <c r="B729" s="65" t="s">
        <v>425</v>
      </c>
      <c r="C729" s="65" t="s">
        <v>101</v>
      </c>
      <c r="D729" s="65" t="s">
        <v>58</v>
      </c>
      <c r="E729" s="65" t="s">
        <v>192</v>
      </c>
      <c r="F729" s="66">
        <v>500</v>
      </c>
      <c r="G729" s="144">
        <f>SUM(Ведомственная!G186)</f>
        <v>500</v>
      </c>
      <c r="I729" s="145">
        <f t="shared" si="21"/>
        <v>0</v>
      </c>
      <c r="J729" s="145">
        <f t="shared" si="20"/>
        <v>-500</v>
      </c>
    </row>
    <row r="730" spans="1:10" ht="47.25">
      <c r="A730" s="88" t="s">
        <v>84</v>
      </c>
      <c r="B730" s="65" t="s">
        <v>114</v>
      </c>
      <c r="C730" s="54"/>
      <c r="D730" s="54"/>
      <c r="E730" s="54"/>
      <c r="F730" s="57">
        <f>SUM(F731+F734+F737+F739+F742+F744+F746)</f>
        <v>40316.9</v>
      </c>
      <c r="I730" s="145">
        <f t="shared" si="21"/>
        <v>-40316.9</v>
      </c>
      <c r="J730" s="145">
        <f t="shared" si="20"/>
        <v>-40316.9</v>
      </c>
    </row>
    <row r="731" spans="1:10" ht="15.75">
      <c r="A731" s="88" t="s">
        <v>86</v>
      </c>
      <c r="B731" s="65" t="s">
        <v>115</v>
      </c>
      <c r="C731" s="54"/>
      <c r="D731" s="54"/>
      <c r="E731" s="54"/>
      <c r="F731" s="57">
        <f>SUM(F732+F733)</f>
        <v>14720.2</v>
      </c>
      <c r="I731" s="145">
        <f t="shared" si="21"/>
        <v>-14720.2</v>
      </c>
      <c r="J731" s="145">
        <f t="shared" si="20"/>
        <v>-14720.2</v>
      </c>
    </row>
    <row r="732" spans="1:10" ht="63">
      <c r="A732" s="48" t="s">
        <v>55</v>
      </c>
      <c r="B732" s="65" t="s">
        <v>115</v>
      </c>
      <c r="C732" s="65" t="s">
        <v>99</v>
      </c>
      <c r="D732" s="65" t="s">
        <v>38</v>
      </c>
      <c r="E732" s="65" t="s">
        <v>58</v>
      </c>
      <c r="F732" s="57">
        <v>14710.2</v>
      </c>
      <c r="G732" s="144">
        <f>SUM(Ведомственная!G17)</f>
        <v>14710.2</v>
      </c>
      <c r="I732" s="145">
        <f t="shared" si="21"/>
        <v>0</v>
      </c>
      <c r="J732" s="145">
        <f t="shared" si="20"/>
        <v>-14710.2</v>
      </c>
    </row>
    <row r="733" spans="1:10" ht="15.75">
      <c r="A733" s="88" t="s">
        <v>100</v>
      </c>
      <c r="B733" s="65" t="s">
        <v>115</v>
      </c>
      <c r="C733" s="65" t="s">
        <v>101</v>
      </c>
      <c r="D733" s="65" t="s">
        <v>38</v>
      </c>
      <c r="E733" s="65" t="s">
        <v>58</v>
      </c>
      <c r="F733" s="55">
        <v>10</v>
      </c>
      <c r="G733" s="144">
        <f>SUM(Ведомственная!G18)</f>
        <v>10</v>
      </c>
      <c r="I733" s="145">
        <f t="shared" si="21"/>
        <v>0</v>
      </c>
      <c r="J733" s="145">
        <f t="shared" si="20"/>
        <v>-10</v>
      </c>
    </row>
    <row r="734" spans="1:10" ht="31.5">
      <c r="A734" s="88" t="s">
        <v>218</v>
      </c>
      <c r="B734" s="65" t="s">
        <v>120</v>
      </c>
      <c r="C734" s="54"/>
      <c r="D734" s="54"/>
      <c r="E734" s="54"/>
      <c r="F734" s="57">
        <f>SUM(F735:F736)</f>
        <v>4480</v>
      </c>
      <c r="I734" s="145">
        <f t="shared" si="21"/>
        <v>-4480</v>
      </c>
      <c r="J734" s="145">
        <f t="shared" si="20"/>
        <v>-4480</v>
      </c>
    </row>
    <row r="735" spans="1:10" ht="63">
      <c r="A735" s="48" t="s">
        <v>55</v>
      </c>
      <c r="B735" s="65" t="s">
        <v>120</v>
      </c>
      <c r="C735" s="65" t="s">
        <v>99</v>
      </c>
      <c r="D735" s="65" t="s">
        <v>38</v>
      </c>
      <c r="E735" s="65" t="s">
        <v>82</v>
      </c>
      <c r="F735" s="57">
        <v>4475</v>
      </c>
      <c r="G735" s="144">
        <f>SUM(Ведомственная!G47)</f>
        <v>4475</v>
      </c>
      <c r="I735" s="145">
        <f t="shared" si="21"/>
        <v>0</v>
      </c>
      <c r="J735" s="145">
        <f t="shared" si="20"/>
        <v>-4475</v>
      </c>
    </row>
    <row r="736" spans="1:10" ht="31.5">
      <c r="A736" s="48" t="s">
        <v>56</v>
      </c>
      <c r="B736" s="65" t="s">
        <v>120</v>
      </c>
      <c r="C736" s="65" t="s">
        <v>101</v>
      </c>
      <c r="D736" s="65" t="s">
        <v>38</v>
      </c>
      <c r="E736" s="65" t="s">
        <v>82</v>
      </c>
      <c r="F736" s="55">
        <v>5</v>
      </c>
      <c r="G736" s="144">
        <f>SUM(Ведомственная!G48)</f>
        <v>5</v>
      </c>
      <c r="I736" s="145">
        <f t="shared" si="21"/>
        <v>0</v>
      </c>
      <c r="J736" s="145">
        <f t="shared" si="20"/>
        <v>-5</v>
      </c>
    </row>
    <row r="737" spans="1:10" ht="15.75">
      <c r="A737" s="88" t="s">
        <v>102</v>
      </c>
      <c r="B737" s="65" t="s">
        <v>116</v>
      </c>
      <c r="C737" s="65"/>
      <c r="D737" s="65"/>
      <c r="E737" s="65"/>
      <c r="F737" s="57">
        <f>SUM(F738)</f>
        <v>1571.9</v>
      </c>
      <c r="I737" s="145">
        <f t="shared" si="21"/>
        <v>-1571.9</v>
      </c>
      <c r="J737" s="145">
        <f t="shared" si="20"/>
        <v>-1571.9</v>
      </c>
    </row>
    <row r="738" spans="1:10" ht="63">
      <c r="A738" s="48" t="s">
        <v>55</v>
      </c>
      <c r="B738" s="65" t="s">
        <v>116</v>
      </c>
      <c r="C738" s="65" t="s">
        <v>99</v>
      </c>
      <c r="D738" s="65" t="s">
        <v>38</v>
      </c>
      <c r="E738" s="65" t="s">
        <v>58</v>
      </c>
      <c r="F738" s="57">
        <v>1571.9</v>
      </c>
      <c r="G738" s="144">
        <f>SUM(Ведомственная!G20)</f>
        <v>1571.9</v>
      </c>
      <c r="I738" s="145">
        <f t="shared" si="21"/>
        <v>0</v>
      </c>
      <c r="J738" s="145">
        <f t="shared" si="20"/>
        <v>-1571.9</v>
      </c>
    </row>
    <row r="739" spans="1:10" ht="15.75">
      <c r="A739" s="88" t="s">
        <v>105</v>
      </c>
      <c r="B739" s="65" t="s">
        <v>117</v>
      </c>
      <c r="C739" s="65"/>
      <c r="D739" s="65"/>
      <c r="E739" s="65"/>
      <c r="F739" s="55">
        <f>SUM(F740:F741)</f>
        <v>757.8000000000001</v>
      </c>
      <c r="I739" s="145">
        <f t="shared" si="21"/>
        <v>-757.8000000000001</v>
      </c>
      <c r="J739" s="145">
        <f t="shared" si="20"/>
        <v>-757.8000000000001</v>
      </c>
    </row>
    <row r="740" spans="1:10" ht="31.5">
      <c r="A740" s="48" t="s">
        <v>56</v>
      </c>
      <c r="B740" s="65" t="s">
        <v>117</v>
      </c>
      <c r="C740" s="65" t="s">
        <v>101</v>
      </c>
      <c r="D740" s="65" t="s">
        <v>38</v>
      </c>
      <c r="E740" s="65" t="s">
        <v>104</v>
      </c>
      <c r="F740" s="55">
        <v>711.1</v>
      </c>
      <c r="G740" s="144">
        <f>SUM(Ведомственная!G24+Ведомственная!G54)</f>
        <v>711.0999999999999</v>
      </c>
      <c r="I740" s="145">
        <f t="shared" si="21"/>
        <v>0</v>
      </c>
      <c r="J740" s="145">
        <f t="shared" si="20"/>
        <v>-711.1</v>
      </c>
    </row>
    <row r="741" spans="1:10" ht="15.75">
      <c r="A741" s="88" t="s">
        <v>26</v>
      </c>
      <c r="B741" s="65" t="s">
        <v>117</v>
      </c>
      <c r="C741" s="65" t="s">
        <v>106</v>
      </c>
      <c r="D741" s="65" t="s">
        <v>38</v>
      </c>
      <c r="E741" s="65" t="s">
        <v>104</v>
      </c>
      <c r="F741" s="55">
        <v>46.7</v>
      </c>
      <c r="G741" s="144">
        <f>SUM(Ведомственная!G25+Ведомственная!G55)</f>
        <v>46.7</v>
      </c>
      <c r="I741" s="145">
        <f t="shared" si="21"/>
        <v>0</v>
      </c>
      <c r="J741" s="145">
        <f t="shared" si="20"/>
        <v>-46.7</v>
      </c>
    </row>
    <row r="742" spans="1:10" ht="31.5">
      <c r="A742" s="88" t="s">
        <v>107</v>
      </c>
      <c r="B742" s="65" t="s">
        <v>118</v>
      </c>
      <c r="C742" s="65"/>
      <c r="D742" s="65"/>
      <c r="E742" s="65"/>
      <c r="F742" s="55">
        <f>SUM(F743)</f>
        <v>789.9</v>
      </c>
      <c r="I742" s="145">
        <f t="shared" si="21"/>
        <v>-789.9</v>
      </c>
      <c r="J742" s="145">
        <f t="shared" si="20"/>
        <v>-789.9</v>
      </c>
    </row>
    <row r="743" spans="1:10" ht="31.5">
      <c r="A743" s="48" t="s">
        <v>56</v>
      </c>
      <c r="B743" s="65" t="s">
        <v>118</v>
      </c>
      <c r="C743" s="65" t="s">
        <v>101</v>
      </c>
      <c r="D743" s="65" t="s">
        <v>38</v>
      </c>
      <c r="E743" s="65" t="s">
        <v>104</v>
      </c>
      <c r="F743" s="55">
        <v>789.9</v>
      </c>
      <c r="G743" s="144">
        <f>SUM(Ведомственная!G27+Ведомственная!G57)</f>
        <v>789.9</v>
      </c>
      <c r="I743" s="145">
        <f t="shared" si="21"/>
        <v>0</v>
      </c>
      <c r="J743" s="145">
        <f t="shared" si="20"/>
        <v>-789.9</v>
      </c>
    </row>
    <row r="744" spans="1:10" ht="31.5">
      <c r="A744" s="88" t="s">
        <v>113</v>
      </c>
      <c r="B744" s="65" t="s">
        <v>121</v>
      </c>
      <c r="C744" s="77"/>
      <c r="D744" s="77"/>
      <c r="E744" s="77"/>
      <c r="F744" s="57">
        <f>SUM(F745)</f>
        <v>1960.2</v>
      </c>
      <c r="I744" s="145">
        <f t="shared" si="21"/>
        <v>-1960.2</v>
      </c>
      <c r="J744" s="145">
        <f t="shared" si="20"/>
        <v>-1960.2</v>
      </c>
    </row>
    <row r="745" spans="1:10" ht="63">
      <c r="A745" s="48" t="s">
        <v>55</v>
      </c>
      <c r="B745" s="65" t="s">
        <v>121</v>
      </c>
      <c r="C745" s="65" t="s">
        <v>99</v>
      </c>
      <c r="D745" s="65" t="s">
        <v>38</v>
      </c>
      <c r="E745" s="65" t="s">
        <v>82</v>
      </c>
      <c r="F745" s="57">
        <v>1960.2</v>
      </c>
      <c r="G745" s="144">
        <f>SUM(Ведомственная!G50)</f>
        <v>1960.2</v>
      </c>
      <c r="I745" s="145">
        <f t="shared" si="21"/>
        <v>0</v>
      </c>
      <c r="J745" s="145">
        <f t="shared" si="20"/>
        <v>-1960.2</v>
      </c>
    </row>
    <row r="746" spans="1:10" ht="31.5">
      <c r="A746" s="100" t="s">
        <v>108</v>
      </c>
      <c r="B746" s="65" t="s">
        <v>119</v>
      </c>
      <c r="C746" s="77"/>
      <c r="D746" s="77"/>
      <c r="E746" s="77"/>
      <c r="F746" s="57">
        <f>SUM(F747:F749)</f>
        <v>16036.9</v>
      </c>
      <c r="I746" s="145">
        <f t="shared" si="21"/>
        <v>-16036.9</v>
      </c>
      <c r="J746" s="145">
        <f t="shared" si="20"/>
        <v>-16036.9</v>
      </c>
    </row>
    <row r="747" spans="1:10" ht="31.5">
      <c r="A747" s="48" t="s">
        <v>56</v>
      </c>
      <c r="B747" s="65" t="s">
        <v>119</v>
      </c>
      <c r="C747" s="77" t="s">
        <v>101</v>
      </c>
      <c r="D747" s="65" t="s">
        <v>38</v>
      </c>
      <c r="E747" s="65" t="s">
        <v>104</v>
      </c>
      <c r="F747" s="57">
        <v>4970.6</v>
      </c>
      <c r="G747" s="144">
        <f>SUM(Ведомственная!G29+Ведомственная!G59)</f>
        <v>4970.6</v>
      </c>
      <c r="I747" s="145">
        <f t="shared" si="21"/>
        <v>0</v>
      </c>
      <c r="J747" s="145">
        <f t="shared" si="20"/>
        <v>-4970.6</v>
      </c>
    </row>
    <row r="748" spans="1:10" ht="15.75">
      <c r="A748" s="88" t="s">
        <v>46</v>
      </c>
      <c r="B748" s="65" t="s">
        <v>119</v>
      </c>
      <c r="C748" s="77" t="s">
        <v>109</v>
      </c>
      <c r="D748" s="65" t="s">
        <v>38</v>
      </c>
      <c r="E748" s="65" t="s">
        <v>104</v>
      </c>
      <c r="F748" s="57">
        <v>667</v>
      </c>
      <c r="G748" s="144">
        <f>SUM(Ведомственная!G30)</f>
        <v>667</v>
      </c>
      <c r="I748" s="145">
        <f t="shared" si="21"/>
        <v>0</v>
      </c>
      <c r="J748" s="145">
        <f t="shared" si="20"/>
        <v>-667</v>
      </c>
    </row>
    <row r="749" spans="1:10" ht="15.75">
      <c r="A749" s="88" t="s">
        <v>26</v>
      </c>
      <c r="B749" s="65" t="s">
        <v>119</v>
      </c>
      <c r="C749" s="77" t="s">
        <v>106</v>
      </c>
      <c r="D749" s="65" t="s">
        <v>38</v>
      </c>
      <c r="E749" s="65" t="s">
        <v>104</v>
      </c>
      <c r="F749" s="57">
        <v>10399.3</v>
      </c>
      <c r="G749" s="144">
        <f>SUM(Ведомственная!G31+Ведомственная!G60)+Ведомственная!G155</f>
        <v>10399.3</v>
      </c>
      <c r="I749" s="145">
        <f t="shared" si="21"/>
        <v>0</v>
      </c>
      <c r="J749" s="145">
        <f t="shared" si="20"/>
        <v>-10399.3</v>
      </c>
    </row>
    <row r="750" spans="1:10" ht="47.25">
      <c r="A750" s="179" t="s">
        <v>833</v>
      </c>
      <c r="B750" s="163" t="s">
        <v>834</v>
      </c>
      <c r="C750" s="77"/>
      <c r="D750" s="65"/>
      <c r="E750" s="65"/>
      <c r="F750" s="57">
        <f>SUM(F751)</f>
        <v>800</v>
      </c>
      <c r="I750" s="145"/>
      <c r="J750" s="145"/>
    </row>
    <row r="751" spans="1:10" ht="31.5">
      <c r="A751" s="74" t="s">
        <v>283</v>
      </c>
      <c r="B751" s="163" t="s">
        <v>834</v>
      </c>
      <c r="C751" s="77" t="s">
        <v>135</v>
      </c>
      <c r="D751" s="65" t="s">
        <v>17</v>
      </c>
      <c r="E751" s="65" t="s">
        <v>28</v>
      </c>
      <c r="F751" s="57">
        <v>800</v>
      </c>
      <c r="G751" s="144">
        <f>SUM(Ведомственная!G237)</f>
        <v>800</v>
      </c>
      <c r="I751" s="145">
        <f>G751-F751</f>
        <v>0</v>
      </c>
      <c r="J751" s="145">
        <f>SUM(H751-F751)</f>
        <v>-800</v>
      </c>
    </row>
    <row r="752" spans="1:10" ht="94.5">
      <c r="A752" s="52" t="s">
        <v>246</v>
      </c>
      <c r="B752" s="50" t="s">
        <v>252</v>
      </c>
      <c r="C752" s="50"/>
      <c r="D752" s="50"/>
      <c r="E752" s="50"/>
      <c r="F752" s="51">
        <f>SUM(F756+F761+F758+F753)</f>
        <v>404.5</v>
      </c>
      <c r="I752" s="145">
        <f t="shared" si="21"/>
        <v>-404.5</v>
      </c>
      <c r="J752" s="145">
        <f t="shared" si="20"/>
        <v>-404.5</v>
      </c>
    </row>
    <row r="753" spans="1:10" ht="47.25">
      <c r="A753" s="48" t="s">
        <v>253</v>
      </c>
      <c r="B753" s="50" t="s">
        <v>254</v>
      </c>
      <c r="C753" s="49"/>
      <c r="D753" s="50"/>
      <c r="E753" s="50"/>
      <c r="F753" s="51">
        <f>SUM(F754:F755)</f>
        <v>93.8</v>
      </c>
      <c r="I753" s="145">
        <f t="shared" si="21"/>
        <v>-93.8</v>
      </c>
      <c r="J753" s="145">
        <f t="shared" si="20"/>
        <v>-93.8</v>
      </c>
    </row>
    <row r="754" spans="1:10" ht="63">
      <c r="A754" s="48" t="s">
        <v>55</v>
      </c>
      <c r="B754" s="50" t="s">
        <v>254</v>
      </c>
      <c r="C754" s="50" t="s">
        <v>99</v>
      </c>
      <c r="D754" s="50" t="s">
        <v>38</v>
      </c>
      <c r="E754" s="50" t="s">
        <v>17</v>
      </c>
      <c r="F754" s="51">
        <v>72.3</v>
      </c>
      <c r="G754" s="144">
        <f>SUM(Ведомственная!G98)</f>
        <v>72.3</v>
      </c>
      <c r="I754" s="145">
        <f t="shared" si="21"/>
        <v>0</v>
      </c>
      <c r="J754" s="145">
        <f t="shared" si="20"/>
        <v>-72.3</v>
      </c>
    </row>
    <row r="755" spans="1:10" ht="31.5">
      <c r="A755" s="48" t="s">
        <v>56</v>
      </c>
      <c r="B755" s="50" t="s">
        <v>254</v>
      </c>
      <c r="C755" s="50" t="s">
        <v>101</v>
      </c>
      <c r="D755" s="50" t="s">
        <v>38</v>
      </c>
      <c r="E755" s="50" t="s">
        <v>17</v>
      </c>
      <c r="F755" s="51">
        <v>21.5</v>
      </c>
      <c r="G755" s="144">
        <f>SUM(Ведомственная!G99)</f>
        <v>21.5</v>
      </c>
      <c r="I755" s="145">
        <f t="shared" si="21"/>
        <v>0</v>
      </c>
      <c r="J755" s="145">
        <f t="shared" si="20"/>
        <v>-21.5</v>
      </c>
    </row>
    <row r="756" spans="1:10" ht="47.25" hidden="1">
      <c r="A756" s="48" t="s">
        <v>256</v>
      </c>
      <c r="B756" s="50" t="s">
        <v>257</v>
      </c>
      <c r="C756" s="50"/>
      <c r="D756" s="50"/>
      <c r="E756" s="50"/>
      <c r="F756" s="51">
        <f>SUM(F757)</f>
        <v>0</v>
      </c>
      <c r="I756" s="145">
        <f t="shared" si="21"/>
        <v>0</v>
      </c>
      <c r="J756" s="145">
        <f t="shared" si="20"/>
        <v>0</v>
      </c>
    </row>
    <row r="757" spans="1:10" ht="15.75" hidden="1">
      <c r="A757" s="48" t="s">
        <v>100</v>
      </c>
      <c r="B757" s="50" t="s">
        <v>257</v>
      </c>
      <c r="C757" s="50" t="s">
        <v>101</v>
      </c>
      <c r="D757" s="50"/>
      <c r="E757" s="50"/>
      <c r="F757" s="51"/>
      <c r="G757" s="144">
        <f>SUM(Ведомственная!G107)</f>
        <v>0</v>
      </c>
      <c r="I757" s="145">
        <f t="shared" si="21"/>
        <v>0</v>
      </c>
      <c r="J757" s="145">
        <f t="shared" si="20"/>
        <v>0</v>
      </c>
    </row>
    <row r="758" spans="1:10" ht="47.25">
      <c r="A758" s="48" t="s">
        <v>532</v>
      </c>
      <c r="B758" s="50" t="s">
        <v>533</v>
      </c>
      <c r="C758" s="49"/>
      <c r="D758" s="50"/>
      <c r="E758" s="50"/>
      <c r="F758" s="55">
        <f>SUM(F759:F760)</f>
        <v>112.3</v>
      </c>
      <c r="I758" s="145">
        <f t="shared" si="21"/>
        <v>-112.3</v>
      </c>
      <c r="J758" s="145">
        <f aca="true" t="shared" si="22" ref="J758:J765">SUM(H758-F758)</f>
        <v>-112.3</v>
      </c>
    </row>
    <row r="759" spans="1:10" ht="63">
      <c r="A759" s="48" t="s">
        <v>55</v>
      </c>
      <c r="B759" s="50" t="s">
        <v>533</v>
      </c>
      <c r="C759" s="50" t="s">
        <v>99</v>
      </c>
      <c r="D759" s="50" t="s">
        <v>38</v>
      </c>
      <c r="E759" s="50" t="s">
        <v>17</v>
      </c>
      <c r="F759" s="51">
        <v>103.5</v>
      </c>
      <c r="G759" s="144">
        <f>SUM(Ведомственная!G101)</f>
        <v>103.5</v>
      </c>
      <c r="I759" s="145">
        <f t="shared" si="21"/>
        <v>0</v>
      </c>
      <c r="J759" s="145">
        <f t="shared" si="22"/>
        <v>-103.5</v>
      </c>
    </row>
    <row r="760" spans="1:10" ht="31.5">
      <c r="A760" s="48" t="s">
        <v>56</v>
      </c>
      <c r="B760" s="50" t="s">
        <v>533</v>
      </c>
      <c r="C760" s="50" t="s">
        <v>101</v>
      </c>
      <c r="D760" s="50" t="s">
        <v>38</v>
      </c>
      <c r="E760" s="50" t="s">
        <v>17</v>
      </c>
      <c r="F760" s="51">
        <v>8.8</v>
      </c>
      <c r="G760" s="144">
        <f>SUM(Ведомственная!G102)</f>
        <v>8.8</v>
      </c>
      <c r="I760" s="145">
        <f t="shared" si="21"/>
        <v>0</v>
      </c>
      <c r="J760" s="145">
        <f t="shared" si="22"/>
        <v>-8.8</v>
      </c>
    </row>
    <row r="761" spans="1:10" ht="78.75">
      <c r="A761" s="101" t="s">
        <v>649</v>
      </c>
      <c r="B761" s="77" t="s">
        <v>419</v>
      </c>
      <c r="C761" s="77"/>
      <c r="D761" s="77"/>
      <c r="E761" s="77"/>
      <c r="F761" s="61">
        <f>SUM(F762)</f>
        <v>198.4</v>
      </c>
      <c r="I761" s="145">
        <f t="shared" si="21"/>
        <v>-198.4</v>
      </c>
      <c r="J761" s="145">
        <f t="shared" si="22"/>
        <v>-198.4</v>
      </c>
    </row>
    <row r="762" spans="1:10" ht="31.5">
      <c r="A762" s="67" t="s">
        <v>56</v>
      </c>
      <c r="B762" s="77" t="s">
        <v>419</v>
      </c>
      <c r="C762" s="77" t="s">
        <v>101</v>
      </c>
      <c r="D762" s="77" t="s">
        <v>188</v>
      </c>
      <c r="E762" s="77" t="s">
        <v>58</v>
      </c>
      <c r="F762" s="61">
        <v>198.4</v>
      </c>
      <c r="G762" s="144">
        <f>SUM(Ведомственная!G314)</f>
        <v>198.4</v>
      </c>
      <c r="I762" s="145">
        <f t="shared" si="21"/>
        <v>0</v>
      </c>
      <c r="J762" s="145">
        <f t="shared" si="22"/>
        <v>-198.4</v>
      </c>
    </row>
    <row r="763" spans="1:10" ht="31.5">
      <c r="A763" s="67" t="s">
        <v>49</v>
      </c>
      <c r="B763" s="49" t="s">
        <v>787</v>
      </c>
      <c r="C763" s="77"/>
      <c r="D763" s="77"/>
      <c r="E763" s="77"/>
      <c r="F763" s="61">
        <f>SUM(F764)</f>
        <v>106.8</v>
      </c>
      <c r="I763" s="145">
        <f t="shared" si="21"/>
        <v>-106.8</v>
      </c>
      <c r="J763" s="145"/>
    </row>
    <row r="764" spans="1:10" ht="15" customHeight="1">
      <c r="A764" s="67" t="s">
        <v>26</v>
      </c>
      <c r="B764" s="49" t="s">
        <v>787</v>
      </c>
      <c r="C764" s="77" t="s">
        <v>106</v>
      </c>
      <c r="D764" s="77" t="s">
        <v>17</v>
      </c>
      <c r="E764" s="77" t="s">
        <v>28</v>
      </c>
      <c r="F764" s="61">
        <v>106.8</v>
      </c>
      <c r="G764" s="144">
        <f>SUM(Ведомственная!G239)</f>
        <v>106.8</v>
      </c>
      <c r="I764" s="145">
        <f t="shared" si="21"/>
        <v>0</v>
      </c>
      <c r="J764" s="145"/>
    </row>
    <row r="765" spans="1:10" s="95" customFormat="1" ht="22.5" customHeight="1">
      <c r="A765" s="91" t="s">
        <v>215</v>
      </c>
      <c r="B765" s="92"/>
      <c r="C765" s="93"/>
      <c r="D765" s="93"/>
      <c r="E765" s="93"/>
      <c r="F765" s="94">
        <f>SUM(F11+F95+F200+F206+F220+F225+F228+F245+F258+F263+F269+F281+F285+F307+F320+F329+F340+F358+F371+F375+F379+F452+F565+F617+F666+F677+F681+F685+F700+F702+F720+F45+F77+F716)+F58+F711+F192+F303</f>
        <v>4345311.3</v>
      </c>
      <c r="G765" s="144"/>
      <c r="H765" s="147"/>
      <c r="I765" s="145">
        <f>G765-F765</f>
        <v>-4345311.3</v>
      </c>
      <c r="J765" s="148">
        <f t="shared" si="22"/>
        <v>-4345311.3</v>
      </c>
    </row>
    <row r="766" spans="7:9" ht="30.75" customHeight="1" hidden="1">
      <c r="G766" s="144">
        <f>SUM(G11:G765)</f>
        <v>4345311.300000003</v>
      </c>
      <c r="H766" s="144">
        <f>SUM(H11:H765)</f>
        <v>4341811.300000001</v>
      </c>
      <c r="I766" s="145">
        <f>I765+H766</f>
        <v>-3499.9999999990687</v>
      </c>
    </row>
    <row r="767" spans="6:8" ht="15" hidden="1">
      <c r="F767" s="37">
        <f>SUM(F765-G766)</f>
        <v>-2.7939677238464355E-09</v>
      </c>
      <c r="G767" s="149">
        <f>SUM(G766-Ведомственная!G1084)</f>
        <v>2.7939677238464355E-09</v>
      </c>
      <c r="H767" s="144">
        <f>SUM(H766-Ведомственная!G1084)</f>
        <v>-3499.9999999990687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35">
      <selection activeCell="K5" sqref="K5"/>
    </sheetView>
  </sheetViews>
  <sheetFormatPr defaultColWidth="9.140625" defaultRowHeight="15"/>
  <cols>
    <col min="1" max="1" width="55.57421875" style="27" customWidth="1"/>
    <col min="2" max="2" width="14.421875" style="28" customWidth="1"/>
    <col min="3" max="3" width="14.7109375" style="28" customWidth="1"/>
    <col min="4" max="4" width="17.8515625" style="28" customWidth="1"/>
    <col min="5" max="5" width="14.421875" style="28" hidden="1" customWidth="1"/>
    <col min="6" max="6" width="14.57421875" style="28" hidden="1" customWidth="1"/>
    <col min="7" max="7" width="9.140625" style="28" customWidth="1"/>
    <col min="8" max="16384" width="9.140625" style="28" customWidth="1"/>
  </cols>
  <sheetData>
    <row r="1" ht="15.75">
      <c r="C1" s="43" t="s">
        <v>850</v>
      </c>
    </row>
    <row r="2" ht="15.75">
      <c r="C2" s="44" t="s">
        <v>0</v>
      </c>
    </row>
    <row r="3" ht="15.75">
      <c r="C3" s="44" t="s">
        <v>1</v>
      </c>
    </row>
    <row r="4" ht="15.75">
      <c r="C4" s="44" t="s">
        <v>2</v>
      </c>
    </row>
    <row r="5" ht="15.75">
      <c r="C5" s="45" t="s">
        <v>838</v>
      </c>
    </row>
    <row r="7" spans="1:5" ht="48" customHeight="1">
      <c r="A7" s="191" t="s">
        <v>180</v>
      </c>
      <c r="B7" s="191"/>
      <c r="C7" s="191"/>
      <c r="D7" s="191"/>
      <c r="E7" s="191"/>
    </row>
    <row r="9" spans="1:5" ht="46.5" customHeight="1">
      <c r="A9" s="32" t="s">
        <v>176</v>
      </c>
      <c r="B9" s="32" t="s">
        <v>181</v>
      </c>
      <c r="C9" s="32" t="s">
        <v>182</v>
      </c>
      <c r="D9" s="32" t="s">
        <v>183</v>
      </c>
      <c r="E9" s="32" t="s">
        <v>183</v>
      </c>
    </row>
    <row r="10" spans="1:6" ht="15.75">
      <c r="A10" s="33" t="s">
        <v>97</v>
      </c>
      <c r="B10" s="34" t="s">
        <v>38</v>
      </c>
      <c r="C10" s="34" t="s">
        <v>36</v>
      </c>
      <c r="D10" s="35">
        <f>SUM(D11:D17)</f>
        <v>218945.90000000002</v>
      </c>
      <c r="E10" s="36">
        <f>SUM(E11:E17)</f>
        <v>218945.90000000002</v>
      </c>
      <c r="F10" s="37">
        <f>SUM(D10-E10)</f>
        <v>0</v>
      </c>
    </row>
    <row r="11" spans="1:6" ht="47.25">
      <c r="A11" s="38" t="s">
        <v>184</v>
      </c>
      <c r="B11" s="39" t="s">
        <v>38</v>
      </c>
      <c r="C11" s="39" t="s">
        <v>48</v>
      </c>
      <c r="D11" s="36">
        <v>1836</v>
      </c>
      <c r="E11" s="36">
        <f>SUM(Ведомственная!G76)</f>
        <v>1836</v>
      </c>
      <c r="F11" s="37">
        <f aca="true" t="shared" si="0" ref="F11:F60">SUM(D11-E11)</f>
        <v>0</v>
      </c>
    </row>
    <row r="12" spans="1:6" ht="63">
      <c r="A12" s="38" t="s">
        <v>185</v>
      </c>
      <c r="B12" s="39" t="s">
        <v>38</v>
      </c>
      <c r="C12" s="39" t="s">
        <v>58</v>
      </c>
      <c r="D12" s="36">
        <v>16292.1</v>
      </c>
      <c r="E12" s="36">
        <f>SUM(Ведомственная!G13)</f>
        <v>16292.1</v>
      </c>
      <c r="F12" s="37">
        <f t="shared" si="0"/>
        <v>0</v>
      </c>
    </row>
    <row r="13" spans="1:6" ht="63">
      <c r="A13" s="38" t="s">
        <v>186</v>
      </c>
      <c r="B13" s="39" t="s">
        <v>38</v>
      </c>
      <c r="C13" s="39" t="s">
        <v>17</v>
      </c>
      <c r="D13" s="36">
        <v>108262.8</v>
      </c>
      <c r="E13" s="36">
        <f>SUM(Ведомственная!G77)</f>
        <v>108262.8</v>
      </c>
      <c r="F13" s="37">
        <f t="shared" si="0"/>
        <v>0</v>
      </c>
    </row>
    <row r="14" spans="1:6" ht="15.75" hidden="1">
      <c r="A14" s="38" t="s">
        <v>187</v>
      </c>
      <c r="B14" s="39" t="s">
        <v>38</v>
      </c>
      <c r="C14" s="39" t="s">
        <v>188</v>
      </c>
      <c r="D14" s="36">
        <f>SUM(Ведомственная!F103)</f>
        <v>0</v>
      </c>
      <c r="E14" s="36">
        <f>SUM(Ведомственная!G103)</f>
        <v>0</v>
      </c>
      <c r="F14" s="37">
        <f t="shared" si="0"/>
        <v>0</v>
      </c>
    </row>
    <row r="15" spans="1:6" ht="47.25">
      <c r="A15" s="38" t="s">
        <v>112</v>
      </c>
      <c r="B15" s="39" t="s">
        <v>38</v>
      </c>
      <c r="C15" s="39" t="s">
        <v>82</v>
      </c>
      <c r="D15" s="36">
        <v>30234.2</v>
      </c>
      <c r="E15" s="36">
        <f>SUM(Ведомственная!G43+Ведомственная!G441)</f>
        <v>30234.2</v>
      </c>
      <c r="F15" s="37">
        <f t="shared" si="0"/>
        <v>0</v>
      </c>
    </row>
    <row r="16" spans="1:6" ht="15.75">
      <c r="A16" s="38" t="s">
        <v>157</v>
      </c>
      <c r="B16" s="39" t="s">
        <v>38</v>
      </c>
      <c r="C16" s="39" t="s">
        <v>189</v>
      </c>
      <c r="D16" s="36">
        <v>19.6</v>
      </c>
      <c r="E16" s="36">
        <f>SUM(Ведомственная!G447)</f>
        <v>19.600000000000023</v>
      </c>
      <c r="F16" s="37">
        <f t="shared" si="0"/>
        <v>-2.1316282072803006E-14</v>
      </c>
    </row>
    <row r="17" spans="1:6" ht="15.75">
      <c r="A17" s="38" t="s">
        <v>103</v>
      </c>
      <c r="B17" s="39" t="s">
        <v>38</v>
      </c>
      <c r="C17" s="39" t="s">
        <v>104</v>
      </c>
      <c r="D17" s="36">
        <v>62301.2</v>
      </c>
      <c r="E17" s="36">
        <f>SUM(Ведомственная!G21+Ведомственная!G51+Ведомственная!G108+Ведомственная!G451)</f>
        <v>62301.2</v>
      </c>
      <c r="F17" s="37">
        <f t="shared" si="0"/>
        <v>0</v>
      </c>
    </row>
    <row r="18" spans="1:6" ht="31.5">
      <c r="A18" s="33" t="s">
        <v>284</v>
      </c>
      <c r="B18" s="34" t="s">
        <v>58</v>
      </c>
      <c r="C18" s="34" t="s">
        <v>36</v>
      </c>
      <c r="D18" s="35">
        <f>SUM(D19:D20)</f>
        <v>26431.9</v>
      </c>
      <c r="E18" s="36">
        <f>SUM(E19:E20)</f>
        <v>26431.9</v>
      </c>
      <c r="F18" s="37">
        <f t="shared" si="0"/>
        <v>0</v>
      </c>
    </row>
    <row r="19" spans="1:6" ht="15.75">
      <c r="A19" s="38" t="s">
        <v>190</v>
      </c>
      <c r="B19" s="39" t="s">
        <v>58</v>
      </c>
      <c r="C19" s="39" t="s">
        <v>17</v>
      </c>
      <c r="D19" s="36">
        <v>6985.1</v>
      </c>
      <c r="E19" s="36">
        <f>SUM(Ведомственная!G157)</f>
        <v>6985.1</v>
      </c>
      <c r="F19" s="37">
        <f t="shared" si="0"/>
        <v>0</v>
      </c>
    </row>
    <row r="20" spans="1:6" ht="47.25">
      <c r="A20" s="38" t="s">
        <v>191</v>
      </c>
      <c r="B20" s="39" t="s">
        <v>58</v>
      </c>
      <c r="C20" s="39" t="s">
        <v>192</v>
      </c>
      <c r="D20" s="36">
        <v>19446.8</v>
      </c>
      <c r="E20" s="36">
        <f>SUM(Ведомственная!G164)</f>
        <v>19446.800000000003</v>
      </c>
      <c r="F20" s="37">
        <f t="shared" si="0"/>
        <v>-3.637978807091713E-12</v>
      </c>
    </row>
    <row r="21" spans="1:6" ht="15.75">
      <c r="A21" s="33" t="s">
        <v>16</v>
      </c>
      <c r="B21" s="34" t="s">
        <v>17</v>
      </c>
      <c r="C21" s="34" t="s">
        <v>36</v>
      </c>
      <c r="D21" s="35">
        <f>SUM(D23:D25)</f>
        <v>225802.8</v>
      </c>
      <c r="E21" s="36">
        <f>SUM(E22:E25)</f>
        <v>225802.80000000002</v>
      </c>
      <c r="F21" s="37">
        <f t="shared" si="0"/>
        <v>-2.9103830456733704E-11</v>
      </c>
    </row>
    <row r="22" spans="1:6" ht="15.75" hidden="1">
      <c r="A22" s="38" t="s">
        <v>193</v>
      </c>
      <c r="B22" s="39" t="s">
        <v>17</v>
      </c>
      <c r="C22" s="39" t="s">
        <v>38</v>
      </c>
      <c r="D22" s="36"/>
      <c r="E22" s="36"/>
      <c r="F22" s="37">
        <f t="shared" si="0"/>
        <v>0</v>
      </c>
    </row>
    <row r="23" spans="1:6" ht="15.75">
      <c r="A23" s="38" t="s">
        <v>18</v>
      </c>
      <c r="B23" s="39" t="s">
        <v>17</v>
      </c>
      <c r="C23" s="39" t="s">
        <v>19</v>
      </c>
      <c r="D23" s="36">
        <v>93242.7</v>
      </c>
      <c r="E23" s="36">
        <f>SUM(Ведомственная!G188+Ведомственная!G485)</f>
        <v>93242.7</v>
      </c>
      <c r="F23" s="37">
        <f t="shared" si="0"/>
        <v>0</v>
      </c>
    </row>
    <row r="24" spans="1:6" ht="15.75">
      <c r="A24" s="38" t="s">
        <v>194</v>
      </c>
      <c r="B24" s="39" t="s">
        <v>17</v>
      </c>
      <c r="C24" s="39" t="s">
        <v>192</v>
      </c>
      <c r="D24" s="36">
        <v>112458.4</v>
      </c>
      <c r="E24" s="36">
        <f>SUM(Ведомственная!G196)</f>
        <v>112458.40000000001</v>
      </c>
      <c r="F24" s="37">
        <f t="shared" si="0"/>
        <v>-1.4551915228366852E-11</v>
      </c>
    </row>
    <row r="25" spans="1:6" ht="15.75">
      <c r="A25" s="38" t="s">
        <v>27</v>
      </c>
      <c r="B25" s="39" t="s">
        <v>17</v>
      </c>
      <c r="C25" s="39" t="s">
        <v>28</v>
      </c>
      <c r="D25" s="36">
        <v>20101.7</v>
      </c>
      <c r="E25" s="36">
        <f>SUM(Ведомственная!G211+Ведомственная!G491)</f>
        <v>20101.7</v>
      </c>
      <c r="F25" s="37">
        <f t="shared" si="0"/>
        <v>0</v>
      </c>
    </row>
    <row r="26" spans="1:6" ht="15" customHeight="1">
      <c r="A26" s="33" t="s">
        <v>294</v>
      </c>
      <c r="B26" s="34" t="s">
        <v>188</v>
      </c>
      <c r="C26" s="34" t="s">
        <v>36</v>
      </c>
      <c r="D26" s="35">
        <f>SUM(D27:D30)</f>
        <v>316590.3</v>
      </c>
      <c r="E26" s="36">
        <f>SUM(E27:E30)</f>
        <v>316590.3</v>
      </c>
      <c r="F26" s="37">
        <f t="shared" si="0"/>
        <v>0</v>
      </c>
    </row>
    <row r="27" spans="1:6" ht="15.75" customHeight="1">
      <c r="A27" s="38" t="s">
        <v>195</v>
      </c>
      <c r="B27" s="39" t="s">
        <v>188</v>
      </c>
      <c r="C27" s="39" t="s">
        <v>38</v>
      </c>
      <c r="D27" s="36">
        <v>64394.8</v>
      </c>
      <c r="E27" s="36">
        <f>SUM(Ведомственная!G241)</f>
        <v>64394.8</v>
      </c>
      <c r="F27" s="37">
        <f t="shared" si="0"/>
        <v>0</v>
      </c>
    </row>
    <row r="28" spans="1:6" ht="15.75">
      <c r="A28" s="38" t="s">
        <v>196</v>
      </c>
      <c r="B28" s="39" t="s">
        <v>188</v>
      </c>
      <c r="C28" s="39" t="s">
        <v>48</v>
      </c>
      <c r="D28" s="36">
        <v>64830</v>
      </c>
      <c r="E28" s="36">
        <f>SUM(Ведомственная!G254)</f>
        <v>64830</v>
      </c>
      <c r="F28" s="37">
        <f t="shared" si="0"/>
        <v>0</v>
      </c>
    </row>
    <row r="29" spans="1:6" ht="15.75">
      <c r="A29" s="38" t="s">
        <v>197</v>
      </c>
      <c r="B29" s="39" t="s">
        <v>188</v>
      </c>
      <c r="C29" s="39" t="s">
        <v>58</v>
      </c>
      <c r="D29" s="36">
        <v>150603.4</v>
      </c>
      <c r="E29" s="36">
        <f>SUM(Ведомственная!G284)</f>
        <v>150603.4</v>
      </c>
      <c r="F29" s="37">
        <f t="shared" si="0"/>
        <v>0</v>
      </c>
    </row>
    <row r="30" spans="1:6" ht="31.5">
      <c r="A30" s="38" t="s">
        <v>198</v>
      </c>
      <c r="B30" s="39" t="s">
        <v>188</v>
      </c>
      <c r="C30" s="39" t="s">
        <v>188</v>
      </c>
      <c r="D30" s="36">
        <v>36762.1</v>
      </c>
      <c r="E30" s="36">
        <f>SUM(Ведомственная!G315)</f>
        <v>36762.1</v>
      </c>
      <c r="F30" s="37">
        <f t="shared" si="0"/>
        <v>0</v>
      </c>
    </row>
    <row r="31" spans="1:6" ht="15.75">
      <c r="A31" s="33" t="s">
        <v>522</v>
      </c>
      <c r="B31" s="34" t="s">
        <v>82</v>
      </c>
      <c r="C31" s="34" t="s">
        <v>36</v>
      </c>
      <c r="D31" s="35">
        <f>SUM(D32:D33)</f>
        <v>5906.8</v>
      </c>
      <c r="E31" s="36">
        <f>SUM(E32:E33)</f>
        <v>5906.799999999999</v>
      </c>
      <c r="F31" s="37">
        <f t="shared" si="0"/>
        <v>9.094947017729282E-13</v>
      </c>
    </row>
    <row r="32" spans="1:6" ht="32.25" customHeight="1">
      <c r="A32" s="38" t="s">
        <v>301</v>
      </c>
      <c r="B32" s="39" t="s">
        <v>82</v>
      </c>
      <c r="C32" s="39" t="s">
        <v>58</v>
      </c>
      <c r="D32" s="36">
        <v>4959.7</v>
      </c>
      <c r="E32" s="36">
        <f>SUM(Ведомственная!G336)</f>
        <v>4959.699999999999</v>
      </c>
      <c r="F32" s="37">
        <f t="shared" si="0"/>
        <v>9.094947017729282E-13</v>
      </c>
    </row>
    <row r="33" spans="1:6" ht="15.75">
      <c r="A33" s="38" t="s">
        <v>199</v>
      </c>
      <c r="B33" s="39" t="s">
        <v>82</v>
      </c>
      <c r="C33" s="39" t="s">
        <v>188</v>
      </c>
      <c r="D33" s="36">
        <v>947.1</v>
      </c>
      <c r="E33" s="36">
        <f>SUM(Ведомственная!G342)</f>
        <v>947.1</v>
      </c>
      <c r="F33" s="37">
        <f t="shared" si="0"/>
        <v>0</v>
      </c>
    </row>
    <row r="34" spans="1:6" ht="15.75">
      <c r="A34" s="33" t="s">
        <v>124</v>
      </c>
      <c r="B34" s="34" t="s">
        <v>125</v>
      </c>
      <c r="C34" s="34" t="s">
        <v>36</v>
      </c>
      <c r="D34" s="35">
        <f>SUM(D35:D39)</f>
        <v>2004510.2</v>
      </c>
      <c r="E34" s="36">
        <f>SUM(E35:E39)</f>
        <v>2004510.2</v>
      </c>
      <c r="F34" s="37">
        <f t="shared" si="0"/>
        <v>0</v>
      </c>
    </row>
    <row r="35" spans="1:6" ht="15.75">
      <c r="A35" s="38" t="s">
        <v>200</v>
      </c>
      <c r="B35" s="39" t="s">
        <v>125</v>
      </c>
      <c r="C35" s="39" t="s">
        <v>38</v>
      </c>
      <c r="D35" s="36">
        <v>761288.1</v>
      </c>
      <c r="E35" s="36">
        <f>SUM(Ведомственная!G764)</f>
        <v>761288.1</v>
      </c>
      <c r="F35" s="37">
        <f t="shared" si="0"/>
        <v>0</v>
      </c>
    </row>
    <row r="36" spans="1:6" ht="15.75">
      <c r="A36" s="38" t="s">
        <v>201</v>
      </c>
      <c r="B36" s="39" t="s">
        <v>125</v>
      </c>
      <c r="C36" s="39" t="s">
        <v>48</v>
      </c>
      <c r="D36" s="36">
        <v>1026041.8</v>
      </c>
      <c r="E36" s="36">
        <f>SUM(Ведомственная!G805)</f>
        <v>1026041.8</v>
      </c>
      <c r="F36" s="37">
        <f t="shared" si="0"/>
        <v>0</v>
      </c>
    </row>
    <row r="37" spans="1:6" ht="15.75">
      <c r="A37" s="38" t="s">
        <v>126</v>
      </c>
      <c r="B37" s="39" t="s">
        <v>125</v>
      </c>
      <c r="C37" s="39" t="s">
        <v>58</v>
      </c>
      <c r="D37" s="36">
        <v>139447.9</v>
      </c>
      <c r="E37" s="36">
        <f>SUM(Ведомственная!G977+Ведомственная!G874)</f>
        <v>139447.90000000002</v>
      </c>
      <c r="F37" s="37">
        <f t="shared" si="0"/>
        <v>-2.9103830456733704E-11</v>
      </c>
    </row>
    <row r="38" spans="1:6" ht="15.75">
      <c r="A38" s="38" t="s">
        <v>202</v>
      </c>
      <c r="B38" s="39" t="s">
        <v>125</v>
      </c>
      <c r="C38" s="39" t="s">
        <v>125</v>
      </c>
      <c r="D38" s="36">
        <v>25999.1</v>
      </c>
      <c r="E38" s="36">
        <f>SUM(Ведомственная!G497+Ведомственная!G675+Ведомственная!G885+Ведомственная!G983)</f>
        <v>25999.1</v>
      </c>
      <c r="F38" s="37">
        <f t="shared" si="0"/>
        <v>0</v>
      </c>
    </row>
    <row r="39" spans="1:6" ht="15.75">
      <c r="A39" s="38" t="s">
        <v>203</v>
      </c>
      <c r="B39" s="39" t="s">
        <v>125</v>
      </c>
      <c r="C39" s="39" t="s">
        <v>192</v>
      </c>
      <c r="D39" s="36">
        <v>51733.3</v>
      </c>
      <c r="E39" s="36">
        <f>SUM(Ведомственная!G919+Ведомственная!G355)</f>
        <v>51733.29999999999</v>
      </c>
      <c r="F39" s="37">
        <f t="shared" si="0"/>
        <v>1.4551915228366852E-11</v>
      </c>
    </row>
    <row r="40" spans="1:6" ht="15.75">
      <c r="A40" s="33" t="s">
        <v>523</v>
      </c>
      <c r="B40" s="34" t="s">
        <v>19</v>
      </c>
      <c r="C40" s="34" t="s">
        <v>36</v>
      </c>
      <c r="D40" s="35">
        <f>SUM(D41:D42)</f>
        <v>139597.3</v>
      </c>
      <c r="E40" s="36">
        <f>SUM(E41:E42)</f>
        <v>139597.3</v>
      </c>
      <c r="F40" s="37">
        <f t="shared" si="0"/>
        <v>0</v>
      </c>
    </row>
    <row r="41" spans="1:6" ht="15.75">
      <c r="A41" s="38" t="s">
        <v>204</v>
      </c>
      <c r="B41" s="39" t="s">
        <v>19</v>
      </c>
      <c r="C41" s="39" t="s">
        <v>38</v>
      </c>
      <c r="D41" s="36">
        <v>125069</v>
      </c>
      <c r="E41" s="36">
        <f>SUM(Ведомственная!G991)</f>
        <v>125068.99999999999</v>
      </c>
      <c r="F41" s="37">
        <f t="shared" si="0"/>
        <v>1.4551915228366852E-11</v>
      </c>
    </row>
    <row r="42" spans="1:6" ht="29.25" customHeight="1">
      <c r="A42" s="38" t="s">
        <v>205</v>
      </c>
      <c r="B42" s="39" t="s">
        <v>19</v>
      </c>
      <c r="C42" s="39" t="s">
        <v>17</v>
      </c>
      <c r="D42" s="36">
        <v>14528.3</v>
      </c>
      <c r="E42" s="36">
        <f>SUM(Ведомственная!G1020)</f>
        <v>14528.3</v>
      </c>
      <c r="F42" s="37">
        <f t="shared" si="0"/>
        <v>0</v>
      </c>
    </row>
    <row r="43" spans="1:6" ht="15.75" hidden="1">
      <c r="A43" s="38" t="s">
        <v>524</v>
      </c>
      <c r="B43" s="39" t="s">
        <v>192</v>
      </c>
      <c r="C43" s="39" t="s">
        <v>36</v>
      </c>
      <c r="D43" s="36">
        <f>SUM(D45:D46)</f>
        <v>0</v>
      </c>
      <c r="E43" s="36">
        <f>SUM(E45:E46)</f>
        <v>0</v>
      </c>
      <c r="F43" s="37">
        <f t="shared" si="0"/>
        <v>0</v>
      </c>
    </row>
    <row r="44" spans="1:6" ht="15.75" hidden="1">
      <c r="A44" s="38" t="s">
        <v>206</v>
      </c>
      <c r="B44" s="39" t="s">
        <v>192</v>
      </c>
      <c r="C44" s="39" t="s">
        <v>38</v>
      </c>
      <c r="D44" s="36"/>
      <c r="E44" s="36"/>
      <c r="F44" s="37">
        <f t="shared" si="0"/>
        <v>0</v>
      </c>
    </row>
    <row r="45" spans="1:6" ht="15.75" hidden="1">
      <c r="A45" s="38" t="s">
        <v>207</v>
      </c>
      <c r="B45" s="39" t="s">
        <v>192</v>
      </c>
      <c r="C45" s="39" t="s">
        <v>48</v>
      </c>
      <c r="D45" s="36"/>
      <c r="E45" s="36"/>
      <c r="F45" s="37">
        <f t="shared" si="0"/>
        <v>0</v>
      </c>
    </row>
    <row r="46" spans="1:6" ht="15.75" hidden="1">
      <c r="A46" s="38" t="s">
        <v>208</v>
      </c>
      <c r="B46" s="39" t="s">
        <v>192</v>
      </c>
      <c r="C46" s="39" t="s">
        <v>192</v>
      </c>
      <c r="D46" s="36"/>
      <c r="E46" s="36"/>
      <c r="F46" s="37">
        <f t="shared" si="0"/>
        <v>0</v>
      </c>
    </row>
    <row r="47" spans="1:6" ht="15.75">
      <c r="A47" s="33" t="s">
        <v>34</v>
      </c>
      <c r="B47" s="34" t="s">
        <v>35</v>
      </c>
      <c r="C47" s="34" t="s">
        <v>36</v>
      </c>
      <c r="D47" s="35">
        <f>SUM(D48:D52)</f>
        <v>1264032.9</v>
      </c>
      <c r="E47" s="36">
        <f>SUM(E48:E52)</f>
        <v>1264032.9000000001</v>
      </c>
      <c r="F47" s="37">
        <f t="shared" si="0"/>
        <v>-2.3283064365386963E-10</v>
      </c>
    </row>
    <row r="48" spans="1:6" ht="15.75">
      <c r="A48" s="38" t="s">
        <v>37</v>
      </c>
      <c r="B48" s="39" t="s">
        <v>35</v>
      </c>
      <c r="C48" s="39" t="s">
        <v>38</v>
      </c>
      <c r="D48" s="36">
        <v>8760.7</v>
      </c>
      <c r="E48" s="36">
        <f>SUM(Ведомственная!G504)</f>
        <v>8760.7</v>
      </c>
      <c r="F48" s="37">
        <f t="shared" si="0"/>
        <v>0</v>
      </c>
    </row>
    <row r="49" spans="1:6" ht="15.75">
      <c r="A49" s="38" t="s">
        <v>47</v>
      </c>
      <c r="B49" s="39" t="s">
        <v>35</v>
      </c>
      <c r="C49" s="39" t="s">
        <v>48</v>
      </c>
      <c r="D49" s="36">
        <v>67465.8</v>
      </c>
      <c r="E49" s="36">
        <f>SUM(Ведомственная!G511)</f>
        <v>67465.8</v>
      </c>
      <c r="F49" s="37">
        <f t="shared" si="0"/>
        <v>0</v>
      </c>
    </row>
    <row r="50" spans="1:6" ht="15.75">
      <c r="A50" s="38" t="s">
        <v>57</v>
      </c>
      <c r="B50" s="39" t="s">
        <v>35</v>
      </c>
      <c r="C50" s="39" t="s">
        <v>58</v>
      </c>
      <c r="D50" s="36">
        <v>791127.2</v>
      </c>
      <c r="E50" s="36">
        <f>SUM(Ведомственная!G373+Ведомственная!G527+Ведомственная!G944+Ведомственная!G1072+Ведомственная!G32+Ведомственная!G61+Ведомственная!G466)</f>
        <v>791127.2000000001</v>
      </c>
      <c r="F50" s="37">
        <f t="shared" si="0"/>
        <v>-1.1641532182693481E-10</v>
      </c>
    </row>
    <row r="51" spans="1:6" ht="15.75">
      <c r="A51" s="38" t="s">
        <v>209</v>
      </c>
      <c r="B51" s="39" t="s">
        <v>35</v>
      </c>
      <c r="C51" s="39" t="s">
        <v>17</v>
      </c>
      <c r="D51" s="36">
        <v>335756.7</v>
      </c>
      <c r="E51" s="36">
        <f>SUM(Ведомственная!G620+Ведомственная!G392+Ведомственная!G951)</f>
        <v>335756.70000000007</v>
      </c>
      <c r="F51" s="37">
        <f t="shared" si="0"/>
        <v>-5.820766091346741E-11</v>
      </c>
    </row>
    <row r="52" spans="1:6" ht="15.75">
      <c r="A52" s="38" t="s">
        <v>81</v>
      </c>
      <c r="B52" s="39" t="s">
        <v>35</v>
      </c>
      <c r="C52" s="39" t="s">
        <v>82</v>
      </c>
      <c r="D52" s="36">
        <v>60922.5</v>
      </c>
      <c r="E52" s="36">
        <f>SUM(Ведомственная!G405+Ведомственная!G474+Ведомственная!G650+Ведомственная!G682+Ведомственная!G969+Ведомственная!G1078)</f>
        <v>60922.5</v>
      </c>
      <c r="F52" s="37">
        <f t="shared" si="0"/>
        <v>0</v>
      </c>
    </row>
    <row r="53" spans="1:6" ht="15.75">
      <c r="A53" s="33" t="s">
        <v>322</v>
      </c>
      <c r="B53" s="34" t="s">
        <v>189</v>
      </c>
      <c r="C53" s="34" t="s">
        <v>36</v>
      </c>
      <c r="D53" s="35">
        <f>SUM(D54:D57)</f>
        <v>136076</v>
      </c>
      <c r="E53" s="36">
        <f>SUM(E54:E57)</f>
        <v>136076</v>
      </c>
      <c r="F53" s="37">
        <f t="shared" si="0"/>
        <v>0</v>
      </c>
    </row>
    <row r="54" spans="1:6" ht="14.25" customHeight="1">
      <c r="A54" s="38" t="s">
        <v>210</v>
      </c>
      <c r="B54" s="39" t="s">
        <v>189</v>
      </c>
      <c r="C54" s="39" t="s">
        <v>38</v>
      </c>
      <c r="D54" s="36">
        <v>100551</v>
      </c>
      <c r="E54" s="36">
        <f>SUM(Ведомственная!G425+Ведомственная!G689)</f>
        <v>100551</v>
      </c>
      <c r="F54" s="37">
        <f t="shared" si="0"/>
        <v>0</v>
      </c>
    </row>
    <row r="55" spans="1:6" ht="15.75">
      <c r="A55" s="38" t="s">
        <v>211</v>
      </c>
      <c r="B55" s="39" t="s">
        <v>189</v>
      </c>
      <c r="C55" s="39" t="s">
        <v>48</v>
      </c>
      <c r="D55" s="36">
        <v>22167.6</v>
      </c>
      <c r="E55" s="36">
        <f>SUM(Ведомственная!G741)</f>
        <v>22167.6</v>
      </c>
      <c r="F55" s="37">
        <f t="shared" si="0"/>
        <v>0</v>
      </c>
    </row>
    <row r="56" spans="1:6" ht="22.5" customHeight="1">
      <c r="A56" s="38" t="s">
        <v>212</v>
      </c>
      <c r="B56" s="39" t="s">
        <v>189</v>
      </c>
      <c r="C56" s="39" t="s">
        <v>58</v>
      </c>
      <c r="D56" s="36">
        <v>1972.2</v>
      </c>
      <c r="E56" s="36">
        <f>SUM(Ведомственная!G754)</f>
        <v>1972.2</v>
      </c>
      <c r="F56" s="37">
        <f t="shared" si="0"/>
        <v>0</v>
      </c>
    </row>
    <row r="57" spans="1:6" ht="35.25" customHeight="1">
      <c r="A57" s="38" t="s">
        <v>213</v>
      </c>
      <c r="B57" s="39" t="s">
        <v>189</v>
      </c>
      <c r="C57" s="39" t="s">
        <v>188</v>
      </c>
      <c r="D57" s="36">
        <v>11385.2</v>
      </c>
      <c r="E57" s="36">
        <f>Ведомственная!G435</f>
        <v>11385.2</v>
      </c>
      <c r="F57" s="37">
        <f t="shared" si="0"/>
        <v>0</v>
      </c>
    </row>
    <row r="58" spans="1:6" ht="31.5">
      <c r="A58" s="33" t="s">
        <v>231</v>
      </c>
      <c r="B58" s="34" t="s">
        <v>104</v>
      </c>
      <c r="C58" s="34" t="s">
        <v>36</v>
      </c>
      <c r="D58" s="35">
        <f>SUM(D59)</f>
        <v>7417.2</v>
      </c>
      <c r="E58" s="36">
        <f>SUM(E59)</f>
        <v>7417.200000000001</v>
      </c>
      <c r="F58" s="37">
        <f t="shared" si="0"/>
        <v>-9.094947017729282E-13</v>
      </c>
    </row>
    <row r="59" spans="1:6" ht="31.5">
      <c r="A59" s="38" t="s">
        <v>214</v>
      </c>
      <c r="B59" s="39" t="s">
        <v>104</v>
      </c>
      <c r="C59" s="39" t="s">
        <v>38</v>
      </c>
      <c r="D59" s="36">
        <v>7417.2</v>
      </c>
      <c r="E59" s="36">
        <f>SUM(Ведомственная!G478)</f>
        <v>7417.200000000001</v>
      </c>
      <c r="F59" s="37">
        <f t="shared" si="0"/>
        <v>-9.094947017729282E-13</v>
      </c>
    </row>
    <row r="60" spans="1:6" ht="21.75" customHeight="1">
      <c r="A60" s="33" t="s">
        <v>215</v>
      </c>
      <c r="B60" s="40"/>
      <c r="C60" s="40"/>
      <c r="D60" s="41">
        <f>SUM(D10+D18+D21+D26+D31+D34+D40+D43+D47+D53+D58)</f>
        <v>4345311.3</v>
      </c>
      <c r="E60" s="42">
        <f>SUM(E10+E18+E21+E26+E31+E34+E40+E43+E47+E53+E58)</f>
        <v>4345311.3</v>
      </c>
      <c r="F60" s="37">
        <f t="shared" si="0"/>
        <v>0</v>
      </c>
    </row>
    <row r="61" spans="5:6" ht="15">
      <c r="E61" s="37"/>
      <c r="F61" s="37">
        <f>SUM(E60-Программы!F765)</f>
        <v>0</v>
      </c>
    </row>
    <row r="62" ht="15">
      <c r="E62" s="37"/>
    </row>
    <row r="63" ht="15">
      <c r="E63" s="37"/>
    </row>
  </sheetData>
  <sheetProtection/>
  <mergeCells count="1">
    <mergeCell ref="A7:E7"/>
  </mergeCells>
  <conditionalFormatting sqref="E10:E59">
    <cfRule type="cellIs" priority="14" dxfId="14" operator="lessThan">
      <formula>0</formula>
    </cfRule>
  </conditionalFormatting>
  <conditionalFormatting sqref="D10">
    <cfRule type="cellIs" priority="13" dxfId="14" operator="lessThan">
      <formula>0</formula>
    </cfRule>
  </conditionalFormatting>
  <conditionalFormatting sqref="D18">
    <cfRule type="cellIs" priority="12" dxfId="14" operator="lessThan">
      <formula>0</formula>
    </cfRule>
  </conditionalFormatting>
  <conditionalFormatting sqref="D21">
    <cfRule type="cellIs" priority="11" dxfId="14" operator="lessThan">
      <formula>0</formula>
    </cfRule>
  </conditionalFormatting>
  <conditionalFormatting sqref="D26">
    <cfRule type="cellIs" priority="10" dxfId="14" operator="lessThan">
      <formula>0</formula>
    </cfRule>
  </conditionalFormatting>
  <conditionalFormatting sqref="D31">
    <cfRule type="cellIs" priority="9" dxfId="14" operator="lessThan">
      <formula>0</formula>
    </cfRule>
  </conditionalFormatting>
  <conditionalFormatting sqref="D34">
    <cfRule type="cellIs" priority="8" dxfId="14" operator="lessThan">
      <formula>0</formula>
    </cfRule>
  </conditionalFormatting>
  <conditionalFormatting sqref="D40">
    <cfRule type="cellIs" priority="7" dxfId="14" operator="lessThan">
      <formula>0</formula>
    </cfRule>
  </conditionalFormatting>
  <conditionalFormatting sqref="D43">
    <cfRule type="cellIs" priority="6" dxfId="14" operator="lessThan">
      <formula>0</formula>
    </cfRule>
  </conditionalFormatting>
  <conditionalFormatting sqref="D47">
    <cfRule type="cellIs" priority="5" dxfId="14" operator="lessThan">
      <formula>0</formula>
    </cfRule>
  </conditionalFormatting>
  <conditionalFormatting sqref="D53">
    <cfRule type="cellIs" priority="4" dxfId="14" operator="lessThan">
      <formula>0</formula>
    </cfRule>
  </conditionalFormatting>
  <conditionalFormatting sqref="D58">
    <cfRule type="cellIs" priority="3" dxfId="14" operator="lessThan">
      <formula>0</formula>
    </cfRule>
  </conditionalFormatting>
  <conditionalFormatting sqref="D10">
    <cfRule type="cellIs" priority="2" dxfId="14" operator="lessThan">
      <formula>0</formula>
    </cfRule>
  </conditionalFormatting>
  <conditionalFormatting sqref="D10:D59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72.421875" style="1" customWidth="1"/>
    <col min="2" max="2" width="19.7109375" style="1" customWidth="1"/>
    <col min="3" max="3" width="15.7109375" style="1" customWidth="1"/>
    <col min="4" max="4" width="15.28125" style="1" customWidth="1"/>
    <col min="5" max="16384" width="9.140625" style="1" customWidth="1"/>
  </cols>
  <sheetData>
    <row r="1" ht="15.75">
      <c r="C1" s="140" t="s">
        <v>814</v>
      </c>
    </row>
    <row r="2" ht="15.75">
      <c r="C2" s="141" t="s">
        <v>0</v>
      </c>
    </row>
    <row r="3" ht="15.75">
      <c r="C3" s="141" t="s">
        <v>1</v>
      </c>
    </row>
    <row r="4" ht="15.75">
      <c r="C4" s="141" t="s">
        <v>2</v>
      </c>
    </row>
    <row r="5" ht="12.75">
      <c r="C5" s="31" t="s">
        <v>839</v>
      </c>
    </row>
    <row r="6" spans="1:4" ht="47.25" customHeight="1">
      <c r="A6" s="190" t="s">
        <v>723</v>
      </c>
      <c r="B6" s="190"/>
      <c r="C6" s="192"/>
      <c r="D6" s="192"/>
    </row>
    <row r="7" ht="15">
      <c r="B7" s="6" t="s">
        <v>724</v>
      </c>
    </row>
    <row r="8" spans="1:4" ht="39.75" customHeight="1">
      <c r="A8" s="142" t="s">
        <v>725</v>
      </c>
      <c r="B8" s="143" t="s">
        <v>726</v>
      </c>
      <c r="C8" s="143" t="s">
        <v>727</v>
      </c>
      <c r="D8" s="143" t="s">
        <v>728</v>
      </c>
    </row>
    <row r="9" spans="1:4" ht="47.25">
      <c r="A9" s="7" t="s">
        <v>752</v>
      </c>
      <c r="B9" s="3">
        <f>SUM(B10)</f>
        <v>31600</v>
      </c>
      <c r="C9" s="2"/>
      <c r="D9" s="2"/>
    </row>
    <row r="10" spans="1:4" ht="31.5">
      <c r="A10" s="8" t="s">
        <v>360</v>
      </c>
      <c r="B10" s="4">
        <f>SUM(B11:B14)</f>
        <v>31600</v>
      </c>
      <c r="C10" s="2"/>
      <c r="D10" s="2"/>
    </row>
    <row r="11" spans="1:4" ht="47.25">
      <c r="A11" s="9" t="s">
        <v>753</v>
      </c>
      <c r="B11" s="5">
        <v>14016</v>
      </c>
      <c r="C11" s="2"/>
      <c r="D11" s="2"/>
    </row>
    <row r="12" spans="1:4" ht="47.25">
      <c r="A12" s="9" t="s">
        <v>754</v>
      </c>
      <c r="B12" s="5">
        <v>5000</v>
      </c>
      <c r="C12" s="2"/>
      <c r="D12" s="2"/>
    </row>
    <row r="13" spans="1:4" ht="42.75">
      <c r="A13" s="187" t="s">
        <v>846</v>
      </c>
      <c r="B13" s="5">
        <v>3570</v>
      </c>
      <c r="C13" s="2"/>
      <c r="D13" s="2"/>
    </row>
    <row r="14" spans="1:4" ht="28.5">
      <c r="A14" s="187" t="s">
        <v>847</v>
      </c>
      <c r="B14" s="5">
        <v>9014</v>
      </c>
      <c r="C14" s="2"/>
      <c r="D14" s="2"/>
    </row>
    <row r="15" spans="1:4" ht="31.5">
      <c r="A15" s="10" t="s">
        <v>295</v>
      </c>
      <c r="B15" s="11">
        <f>B16</f>
        <v>3604.4</v>
      </c>
      <c r="C15" s="11"/>
      <c r="D15" s="11"/>
    </row>
    <row r="16" spans="1:4" ht="31.5">
      <c r="A16" s="12" t="s">
        <v>729</v>
      </c>
      <c r="B16" s="13">
        <v>3604.4</v>
      </c>
      <c r="C16" s="13"/>
      <c r="D16" s="13"/>
    </row>
    <row r="17" spans="1:4" ht="15.75">
      <c r="A17" s="14" t="s">
        <v>730</v>
      </c>
      <c r="B17" s="15">
        <v>3604.4</v>
      </c>
      <c r="C17" s="15"/>
      <c r="D17" s="15"/>
    </row>
    <row r="18" spans="1:4" ht="47.25">
      <c r="A18" s="16" t="s">
        <v>731</v>
      </c>
      <c r="B18" s="11">
        <f>SUM(B19,B27)</f>
        <v>3236</v>
      </c>
      <c r="C18" s="11"/>
      <c r="D18" s="15"/>
    </row>
    <row r="19" spans="1:4" ht="31.5">
      <c r="A19" s="12" t="s">
        <v>732</v>
      </c>
      <c r="B19" s="13">
        <f>SUM(B20:B26)</f>
        <v>2460.5</v>
      </c>
      <c r="C19" s="13"/>
      <c r="D19" s="13"/>
    </row>
    <row r="20" spans="1:4" ht="47.25">
      <c r="A20" s="17" t="s">
        <v>733</v>
      </c>
      <c r="B20" s="15">
        <v>100</v>
      </c>
      <c r="C20" s="15"/>
      <c r="D20" s="15"/>
    </row>
    <row r="21" spans="1:4" ht="15.75">
      <c r="A21" s="17" t="s">
        <v>734</v>
      </c>
      <c r="B21" s="15">
        <v>2060.5</v>
      </c>
      <c r="C21" s="15"/>
      <c r="D21" s="15"/>
    </row>
    <row r="22" spans="1:4" ht="31.5">
      <c r="A22" s="17" t="s">
        <v>735</v>
      </c>
      <c r="B22" s="15">
        <v>100</v>
      </c>
      <c r="C22" s="15"/>
      <c r="D22" s="15"/>
    </row>
    <row r="23" spans="1:4" ht="42.75">
      <c r="A23" s="187" t="s">
        <v>753</v>
      </c>
      <c r="B23" s="15">
        <v>100</v>
      </c>
      <c r="C23" s="15"/>
      <c r="D23" s="15"/>
    </row>
    <row r="24" spans="1:4" ht="42.75">
      <c r="A24" s="187" t="s">
        <v>754</v>
      </c>
      <c r="B24" s="15">
        <v>60</v>
      </c>
      <c r="C24" s="15"/>
      <c r="D24" s="15"/>
    </row>
    <row r="25" spans="1:4" ht="42.75">
      <c r="A25" s="187" t="s">
        <v>846</v>
      </c>
      <c r="B25" s="15">
        <v>30</v>
      </c>
      <c r="C25" s="15"/>
      <c r="D25" s="15"/>
    </row>
    <row r="26" spans="1:4" ht="28.5">
      <c r="A26" s="187" t="s">
        <v>847</v>
      </c>
      <c r="B26" s="15">
        <v>10</v>
      </c>
      <c r="C26" s="15"/>
      <c r="D26" s="15"/>
    </row>
    <row r="27" spans="1:4" ht="31.5">
      <c r="A27" s="18" t="s">
        <v>736</v>
      </c>
      <c r="B27" s="13">
        <f>B28+B29+B31+B30</f>
        <v>775.5</v>
      </c>
      <c r="C27" s="13"/>
      <c r="D27" s="13"/>
    </row>
    <row r="28" spans="1:4" ht="44.25" customHeight="1">
      <c r="A28" s="17" t="s">
        <v>737</v>
      </c>
      <c r="B28" s="15">
        <v>236.9</v>
      </c>
      <c r="C28" s="15"/>
      <c r="D28" s="15"/>
    </row>
    <row r="29" spans="1:4" ht="31.5" hidden="1">
      <c r="A29" s="17" t="s">
        <v>738</v>
      </c>
      <c r="B29" s="15"/>
      <c r="C29" s="15"/>
      <c r="D29" s="15"/>
    </row>
    <row r="30" spans="1:4" ht="15.75">
      <c r="A30" s="17" t="s">
        <v>835</v>
      </c>
      <c r="B30" s="15">
        <v>380</v>
      </c>
      <c r="C30" s="15"/>
      <c r="D30" s="15"/>
    </row>
    <row r="31" spans="1:4" ht="47.25">
      <c r="A31" s="17" t="s">
        <v>739</v>
      </c>
      <c r="B31" s="15">
        <v>158.6</v>
      </c>
      <c r="C31" s="15"/>
      <c r="D31" s="15"/>
    </row>
    <row r="32" spans="1:4" ht="42" customHeight="1">
      <c r="A32" s="19" t="s">
        <v>352</v>
      </c>
      <c r="B32" s="11">
        <f>SUM(B33:B35)</f>
        <v>12362.900000000001</v>
      </c>
      <c r="C32" s="11"/>
      <c r="D32" s="11"/>
    </row>
    <row r="33" spans="1:4" ht="22.5" customHeight="1">
      <c r="A33" s="17" t="s">
        <v>740</v>
      </c>
      <c r="B33" s="15">
        <v>500</v>
      </c>
      <c r="C33" s="15"/>
      <c r="D33" s="15"/>
    </row>
    <row r="34" spans="1:4" ht="22.5" customHeight="1">
      <c r="A34" s="17" t="s">
        <v>741</v>
      </c>
      <c r="B34" s="15">
        <v>477.7</v>
      </c>
      <c r="C34" s="15"/>
      <c r="D34" s="15"/>
    </row>
    <row r="35" spans="1:4" ht="33.75" customHeight="1">
      <c r="A35" s="17" t="s">
        <v>742</v>
      </c>
      <c r="B35" s="15">
        <v>11385.2</v>
      </c>
      <c r="C35" s="15"/>
      <c r="D35" s="15"/>
    </row>
    <row r="36" spans="1:4" ht="31.5">
      <c r="A36" s="19" t="s">
        <v>324</v>
      </c>
      <c r="B36" s="11">
        <f>B37</f>
        <v>9992.8</v>
      </c>
      <c r="C36" s="11"/>
      <c r="D36" s="11"/>
    </row>
    <row r="37" spans="1:4" ht="47.25">
      <c r="A37" s="18" t="s">
        <v>743</v>
      </c>
      <c r="B37" s="13">
        <f>SUM(B38:B39)</f>
        <v>9992.8</v>
      </c>
      <c r="C37" s="13"/>
      <c r="D37" s="13"/>
    </row>
    <row r="38" spans="1:4" ht="47.25">
      <c r="A38" s="17" t="s">
        <v>749</v>
      </c>
      <c r="B38" s="15">
        <v>717.8</v>
      </c>
      <c r="C38" s="13"/>
      <c r="D38" s="13"/>
    </row>
    <row r="39" spans="1:4" ht="47.25">
      <c r="A39" s="17" t="s">
        <v>744</v>
      </c>
      <c r="B39" s="15">
        <v>9275</v>
      </c>
      <c r="C39" s="15"/>
      <c r="D39" s="15"/>
    </row>
    <row r="40" spans="1:4" ht="47.25">
      <c r="A40" s="20" t="s">
        <v>346</v>
      </c>
      <c r="B40" s="21">
        <f>SUM(B41)</f>
        <v>233.1</v>
      </c>
      <c r="C40" s="11"/>
      <c r="D40" s="11"/>
    </row>
    <row r="41" spans="1:4" ht="30.75" customHeight="1">
      <c r="A41" s="22" t="s">
        <v>350</v>
      </c>
      <c r="B41" s="23">
        <f>SUM(B42:B44)</f>
        <v>233.1</v>
      </c>
      <c r="C41" s="15"/>
      <c r="D41" s="15"/>
    </row>
    <row r="42" spans="1:4" ht="15.75" hidden="1">
      <c r="A42" s="24" t="s">
        <v>745</v>
      </c>
      <c r="B42" s="25"/>
      <c r="C42" s="15"/>
      <c r="D42" s="15"/>
    </row>
    <row r="43" spans="1:4" ht="15.75">
      <c r="A43" s="24" t="s">
        <v>746</v>
      </c>
      <c r="B43" s="25">
        <v>33.1</v>
      </c>
      <c r="C43" s="15"/>
      <c r="D43" s="15"/>
    </row>
    <row r="44" spans="1:4" ht="15.75">
      <c r="A44" s="24" t="s">
        <v>747</v>
      </c>
      <c r="B44" s="25">
        <v>200</v>
      </c>
      <c r="C44" s="15"/>
      <c r="D44" s="15"/>
    </row>
    <row r="45" spans="1:4" ht="19.5" customHeight="1">
      <c r="A45" s="10" t="s">
        <v>748</v>
      </c>
      <c r="B45" s="26">
        <f>SUM(B15,B18,B32,B36,B40,B9)</f>
        <v>61029.2</v>
      </c>
      <c r="C45" s="26">
        <f>SUM(C15,C18,C32,C36)</f>
        <v>0</v>
      </c>
      <c r="D45" s="26">
        <f>SUM(D15,D18,D32,D36)</f>
        <v>0</v>
      </c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2017-09-18T09:05:17Z</cp:lastPrinted>
  <dcterms:created xsi:type="dcterms:W3CDTF">2016-11-10T06:54:02Z</dcterms:created>
  <dcterms:modified xsi:type="dcterms:W3CDTF">2017-09-18T10:01:58Z</dcterms:modified>
  <cp:category/>
  <cp:version/>
  <cp:contentType/>
  <cp:contentStatus/>
</cp:coreProperties>
</file>