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45" windowWidth="24675" windowHeight="11250" activeTab="0"/>
  </bookViews>
  <sheets>
    <sheet name="Гл.администраторы" sheetId="1" r:id="rId1"/>
    <sheet name="Ведомственная" sheetId="2" r:id="rId2"/>
    <sheet name="Программы" sheetId="3" r:id="rId3"/>
    <sheet name="Раздел, подраздел" sheetId="4" r:id="rId4"/>
    <sheet name="Кап.строительство" sheetId="5" r:id="rId5"/>
    <sheet name="Источники" sheetId="6" r:id="rId6"/>
  </sheets>
  <definedNames>
    <definedName name="_xlnm.Print_Titles" localSheetId="1">'Ведомственная'!$9:$10</definedName>
    <definedName name="_xlnm.Print_Titles" localSheetId="2">'Программы'!$10:$10</definedName>
  </definedNames>
  <calcPr fullCalcOnLoad="1"/>
</workbook>
</file>

<file path=xl/sharedStrings.xml><?xml version="1.0" encoding="utf-8"?>
<sst xmlns="http://schemas.openxmlformats.org/spreadsheetml/2006/main" count="7138" uniqueCount="1212">
  <si>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</si>
  <si>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</si>
  <si>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</si>
  <si>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</si>
  <si>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</si>
  <si>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НА 2017 ГОД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</si>
  <si>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</si>
  <si>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</si>
  <si>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</si>
  <si>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</si>
  <si>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</si>
  <si>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</si>
  <si>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</si>
  <si>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на 2017 год                 (тыс. руб.)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</si>
  <si>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</si>
  <si>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</si>
  <si>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</si>
  <si>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</si>
  <si>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</si>
  <si>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</si>
  <si>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</si>
  <si>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</si>
  <si>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</si>
  <si>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</si>
  <si>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</si>
  <si>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</si>
  <si>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</si>
  <si>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</si>
  <si>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</si>
  <si>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</si>
  <si>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</si>
  <si>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</si>
  <si>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</si>
  <si>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</si>
  <si>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</si>
  <si>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</si>
  <si>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</si>
  <si>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</si>
  <si>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</si>
  <si>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</si>
  <si>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</si>
  <si>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</si>
  <si>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</si>
  <si>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</si>
  <si>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</si>
  <si>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</si>
  <si>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</si>
  <si>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</si>
  <si>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</si>
  <si>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</si>
  <si>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</si>
  <si>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</si>
  <si>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</si>
  <si>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</si>
  <si>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</si>
  <si>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</si>
  <si>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</si>
  <si>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</si>
  <si>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</si>
  <si>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</si>
  <si>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</si>
  <si>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</si>
  <si>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</si>
  <si>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</si>
  <si>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</si>
  <si>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</si>
  <si>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</si>
  <si>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</si>
  <si>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</si>
  <si>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</si>
  <si>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</si>
  <si>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</si>
  <si>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</si>
  <si>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</si>
  <si>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</si>
  <si>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</si>
  <si>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</si>
  <si>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</si>
  <si>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</si>
  <si>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</si>
  <si>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</si>
  <si>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</si>
  <si>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</si>
  <si>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</si>
  <si>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</si>
  <si>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</si>
  <si>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</si>
  <si>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</si>
  <si>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Муниципальная программа "Социальная защита населения Миасского городского округа на 2017-2019 годы"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</si>
  <si>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</si>
  <si>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</si>
  <si>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</si>
  <si>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</si>
  <si>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2017-2019 годы"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</si>
  <si>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</si>
  <si>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</si>
  <si>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</si>
  <si>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</si>
  <si>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</si>
  <si>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</si>
  <si>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</si>
  <si>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</si>
  <si>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</si>
  <si>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</si>
  <si>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</si>
  <si>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</si>
  <si>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</si>
  <si>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</si>
  <si>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</si>
  <si>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</si>
  <si>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</si>
  <si>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</si>
  <si>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</si>
  <si>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</si>
  <si>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</si>
  <si>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</si>
  <si>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</si>
  <si>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</si>
  <si>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</si>
  <si>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</si>
  <si>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</si>
  <si>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</si>
  <si>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</si>
  <si>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</si>
  <si>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</si>
  <si>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</si>
  <si>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</si>
  <si>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Муниципальная программа "Развитие культуры в МГО на 2017-2019 годы"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</si>
  <si>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</si>
  <si>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</si>
  <si>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</si>
  <si>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</si>
  <si>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</si>
  <si>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</si>
  <si>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</si>
  <si>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</si>
  <si>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</si>
  <si>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</si>
  <si>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</si>
  <si>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</si>
  <si>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</si>
  <si>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</si>
  <si>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</si>
  <si>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</si>
  <si>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</si>
  <si>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</si>
  <si>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</si>
  <si>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</si>
  <si>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</si>
  <si>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</si>
  <si>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</si>
  <si>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</si>
  <si>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</si>
  <si>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</si>
  <si>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</si>
  <si>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</si>
  <si>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</si>
  <si>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</si>
  <si>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</si>
  <si>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</si>
  <si>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</si>
  <si>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</si>
  <si>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</si>
  <si>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</si>
  <si>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</si>
  <si>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</si>
  <si>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</si>
  <si>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</si>
  <si>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</si>
  <si>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</si>
  <si>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</si>
  <si>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</si>
  <si>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</si>
  <si>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</si>
  <si>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Субсидии бюджетным и автономным учреждениям на капитальный ремонт зданий и сооружений</t>
  </si>
  <si>
    <t>69 7 21 00000</t>
  </si>
  <si>
    <t>Наименование</t>
  </si>
  <si>
    <t>Целевая статья</t>
  </si>
  <si>
    <t>Группа вида расходов</t>
  </si>
  <si>
    <t>группа вида расходов</t>
  </si>
  <si>
    <t>Распределение бюджетных ассигнований по разделам и подразделам классификации расходов бюджета на 2017 год</t>
  </si>
  <si>
    <t>Раздел</t>
  </si>
  <si>
    <t>Подраздел</t>
  </si>
  <si>
    <t>Сумма,                 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</si>
  <si>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</si>
  <si>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</si>
  <si>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</si>
  <si>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</si>
  <si>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</si>
  <si>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</si>
  <si>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</si>
  <si>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</si>
  <si>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</si>
  <si>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Общеэкономические вопросы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</si>
  <si>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</si>
  <si>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</si>
  <si>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</si>
  <si>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</si>
  <si>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</si>
  <si>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</si>
  <si>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</si>
  <si>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</si>
  <si>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</si>
  <si>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</si>
  <si>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</si>
  <si>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</si>
  <si>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</si>
  <si>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</si>
  <si>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</si>
  <si>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</si>
  <si>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</si>
  <si>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</si>
  <si>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</si>
  <si>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</si>
  <si>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</si>
  <si>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</si>
  <si>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</si>
  <si>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</si>
  <si>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</si>
  <si>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Муниципальная программа "Управление муниципальными финансами и муниципальным долгом в МГО на 2017-2019  годы"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</si>
  <si>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</si>
  <si>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</si>
  <si>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</si>
  <si>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</si>
  <si>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</si>
  <si>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</si>
  <si>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</si>
  <si>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</si>
  <si>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</si>
  <si>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</si>
  <si>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</si>
  <si>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</si>
  <si>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</si>
  <si>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</si>
  <si>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</si>
  <si>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</si>
  <si>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</si>
  <si>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</si>
  <si>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</si>
  <si>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Муниципальная программа "Обеспечение деятельности Администрации МГО на 2017-2019  годы"</t>
  </si>
  <si>
    <t>50 0 00 00000</t>
  </si>
  <si>
    <t>50 0 00 20000</t>
  </si>
  <si>
    <t>Глава муниципального образования</t>
  </si>
  <si>
    <t>50 0 00 20300</t>
  </si>
  <si>
    <t>Государственная программа Челябинской области «Развитие образования в Челябинской области на 2014–2017 годы»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</si>
  <si>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</si>
  <si>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</si>
  <si>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</si>
  <si>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</si>
  <si>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</si>
  <si>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</si>
  <si>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</si>
  <si>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</si>
  <si>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</si>
  <si>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</si>
  <si>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</si>
  <si>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</si>
  <si>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</si>
  <si>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</si>
  <si>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Муниципальная программа "Развитие муниципальной службы в Администрации Миасского городского округа на 2015-2017 годы"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</si>
  <si>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</si>
  <si>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</si>
  <si>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</si>
  <si>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</si>
  <si>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</si>
  <si>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</si>
  <si>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</si>
  <si>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</si>
  <si>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</si>
  <si>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</si>
  <si>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</si>
  <si>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</si>
  <si>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</si>
  <si>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</si>
  <si>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</si>
  <si>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</si>
  <si>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Муниципальная программа "Профилактика  преступлений  и иных правонарушений на территории МГО на 2017-2019 годы"</t>
  </si>
  <si>
    <t>84 0 00 00000</t>
  </si>
  <si>
    <t>Муниципальная программа "Профилактика терроризма в МГО на 2017-2019  годы"</t>
  </si>
  <si>
    <t>86 0 00 00000</t>
  </si>
  <si>
    <t>Муниципальная программа "Обеспечение деятельности муниципального бюджетного учреждения «Миасский окружной архив на 2017-2019 годы"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</si>
  <si>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</si>
  <si>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</si>
  <si>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</si>
  <si>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</si>
  <si>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</si>
  <si>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</si>
  <si>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</si>
  <si>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</si>
  <si>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</si>
  <si>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</si>
  <si>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</si>
  <si>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</si>
  <si>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</si>
  <si>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</si>
  <si>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</si>
  <si>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</si>
  <si>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</si>
  <si>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</si>
  <si>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</si>
  <si>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</si>
  <si>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</si>
  <si>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 на 2017-2019 годы"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</si>
  <si>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</si>
  <si>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</si>
  <si>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</si>
  <si>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</si>
  <si>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</si>
  <si>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</si>
  <si>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</si>
  <si>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</si>
  <si>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</si>
  <si>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</si>
  <si>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</si>
  <si>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</si>
  <si>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</si>
  <si>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Муниципальная программа "Повышение эффективности использования муниципального имущества в МГО на 2017-2019 годы"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</si>
  <si>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</si>
  <si>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</si>
  <si>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"Экономическое развитие МГО на 2017-2019  годы"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</si>
  <si>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</si>
  <si>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</si>
  <si>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</si>
  <si>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</si>
  <si>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</si>
  <si>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</si>
  <si>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</si>
  <si>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</si>
  <si>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</si>
  <si>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</si>
  <si>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</si>
  <si>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</si>
  <si>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</si>
  <si>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</si>
  <si>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</si>
  <si>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</si>
  <si>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</si>
  <si>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</si>
  <si>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реализацию мероприятий по поэтапному внедрению ВФСК «Готов к труду и обороне»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</si>
  <si>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</si>
  <si>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</si>
  <si>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</si>
  <si>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</si>
  <si>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</si>
  <si>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</si>
  <si>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</si>
  <si>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Муниципальная программа "Комплексное развитие транспортной и дорожной инфраструктуры Миасского городского округа на 2017-2019 годы"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</si>
  <si>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</si>
  <si>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</si>
  <si>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</si>
  <si>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</si>
  <si>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</si>
  <si>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</si>
  <si>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Подпрограмма "Организация и осуществление деятельности МКУ "Комитет по строительству" на 2017-2019 годы"</t>
  </si>
  <si>
    <t>Муниципальная программа "Организация функционирования объектов коммунальной инфраструктуры Миасского городского округа на 2017-2019 годы"</t>
  </si>
  <si>
    <t>Мероприятия в области коммунального хозяйства</t>
  </si>
  <si>
    <t>Муниципальная программа "Организация ритуальных услуг и содержание мест захоронений на территории Миасского городского округа на 2017-2019 годы"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</si>
  <si>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</si>
  <si>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</si>
  <si>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</si>
  <si>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</si>
  <si>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Муниципальная программа "Благоустройство Миасского городского округа на 2017-2019 годы"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</si>
  <si>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</si>
  <si>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</si>
  <si>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</si>
  <si>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</si>
  <si>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</si>
  <si>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</si>
  <si>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</si>
  <si>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</si>
  <si>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жизнедеятельности населения Миасского городского округа на 2017-2019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</si>
  <si>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2017-2019 годы"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</si>
  <si>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</si>
  <si>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</si>
  <si>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</si>
  <si>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</si>
  <si>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</si>
  <si>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</si>
  <si>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</si>
  <si>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</si>
  <si>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</si>
  <si>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</si>
  <si>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</si>
  <si>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</si>
  <si>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</si>
  <si>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</si>
  <si>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</si>
  <si>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</si>
  <si>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</si>
  <si>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</si>
  <si>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</si>
  <si>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</si>
  <si>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</si>
  <si>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</si>
  <si>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</si>
  <si>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</si>
  <si>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</si>
  <si>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</si>
  <si>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</si>
  <si>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</si>
  <si>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</si>
  <si>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</si>
  <si>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</si>
  <si>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</si>
  <si>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</si>
  <si>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</si>
  <si>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</si>
  <si>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</si>
  <si>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</si>
  <si>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</si>
  <si>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</si>
  <si>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</si>
  <si>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</si>
  <si>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</si>
  <si>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</si>
  <si>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</si>
  <si>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</si>
  <si>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</si>
  <si>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</si>
  <si>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</si>
  <si>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</si>
  <si>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</si>
  <si>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</si>
  <si>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</si>
  <si>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</si>
  <si>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</si>
  <si>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</si>
  <si>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</si>
  <si>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</si>
  <si>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S1270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</si>
  <si>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</si>
  <si>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</si>
  <si>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</si>
  <si>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</si>
  <si>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</si>
  <si>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</si>
  <si>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</si>
  <si>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</si>
  <si>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</si>
  <si>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</si>
  <si>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Муниципальная программа "Повышение безопасности дорожного движения на территории Миасского городского округа на 2017-2019 годы"</t>
  </si>
  <si>
    <t>Муниципальная программа "Организация ритуальных услуг и содержание мест захоронения на территории Миасского городского округа на 2017-2019 годы"</t>
  </si>
  <si>
    <t>МКУ МГО "Образование"</t>
  </si>
  <si>
    <t>288</t>
  </si>
  <si>
    <t>Муниципальная  программа «Развитие системы образования в Миасском городском округе на 2017-2019 годы»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</si>
  <si>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</si>
  <si>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</si>
  <si>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</si>
  <si>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</si>
  <si>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</si>
  <si>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</si>
  <si>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</si>
  <si>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</si>
  <si>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</si>
  <si>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</si>
  <si>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</si>
  <si>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</si>
  <si>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</si>
  <si>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</si>
  <si>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</si>
  <si>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</si>
  <si>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</si>
  <si>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</si>
  <si>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</si>
  <si>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</si>
  <si>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</si>
  <si>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</si>
  <si>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</si>
  <si>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</si>
  <si>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"Развитие образования в Челябинской области" на 2014-2017 годы (софинансирование)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</si>
  <si>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</si>
  <si>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</si>
  <si>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</si>
  <si>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</si>
  <si>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</si>
  <si>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 (софинансирование)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</si>
  <si>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</si>
  <si>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</si>
  <si>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</si>
  <si>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</si>
  <si>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</si>
  <si>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</si>
  <si>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</si>
  <si>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</si>
  <si>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</si>
  <si>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</si>
  <si>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</si>
  <si>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</si>
  <si>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</si>
  <si>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Муниципальная  программа «Профилактика и противодействие проявлениям экстремизма в МГО на 2017-2019 годы»</t>
  </si>
  <si>
    <t>66 0 07 00000</t>
  </si>
  <si>
    <t>66 0 07 40000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</si>
  <si>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2017-2019 годы»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</si>
  <si>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</si>
  <si>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</si>
  <si>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</si>
  <si>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</si>
  <si>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</si>
  <si>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Организация отдыха детей в каникулярное время в рамках государственной программы "Развитие образования в Челябинской области" на 2014-2017 годы (софинансирование)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</si>
  <si>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</si>
  <si>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</si>
  <si>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</si>
  <si>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</si>
  <si>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</si>
  <si>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</si>
  <si>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</si>
  <si>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</si>
  <si>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</si>
  <si>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</si>
  <si>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</si>
  <si>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</si>
  <si>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</si>
  <si>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</si>
  <si>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</si>
  <si>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</si>
  <si>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</si>
  <si>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</si>
  <si>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</si>
  <si>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Муниципальная программа "Улучшение условий  и охраны труда  в Миасском городском округе на 2017-2019 годы"</t>
  </si>
  <si>
    <t>Муниципальная программа "Улучшение условий и охраны труда  в Миасском городском округе на 2017-2019 годы"</t>
  </si>
  <si>
    <t>79 0 20 00000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</si>
  <si>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</si>
  <si>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</si>
  <si>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</si>
  <si>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Здравоохранение</t>
  </si>
  <si>
    <t>Сумма на 2017 год,                 тыс. рублей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</si>
  <si>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</si>
  <si>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</si>
  <si>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</si>
  <si>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</si>
  <si>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</si>
  <si>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</si>
  <si>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</si>
  <si>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</si>
  <si>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</si>
  <si>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</si>
  <si>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</si>
  <si>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</si>
  <si>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</si>
  <si>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</si>
  <si>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</si>
  <si>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</si>
  <si>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</si>
  <si>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</si>
  <si>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</si>
  <si>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</si>
  <si>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</si>
  <si>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</si>
  <si>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</si>
  <si>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</si>
  <si>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2017-2019 годы</t>
  </si>
  <si>
    <t>42 0 00 00000</t>
  </si>
  <si>
    <t>42 0 02 00000</t>
  </si>
  <si>
    <t>42 0 02 59300</t>
  </si>
  <si>
    <t>Государственная программа Челябинской области "Развитие социальной защиты населения в Челябинской области" на  2017 - 2019 годы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</si>
  <si>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</si>
  <si>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</si>
  <si>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</si>
  <si>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</si>
  <si>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</si>
  <si>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</si>
  <si>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</si>
  <si>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</si>
  <si>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</si>
  <si>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</si>
  <si>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</si>
  <si>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</si>
  <si>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</si>
  <si>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</si>
  <si>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</si>
  <si>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</si>
  <si>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</si>
  <si>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</si>
  <si>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</si>
  <si>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</si>
  <si>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</si>
  <si>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</si>
  <si>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</si>
  <si>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</si>
  <si>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</si>
  <si>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</si>
  <si>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</si>
  <si>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</si>
  <si>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</si>
  <si>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</si>
  <si>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</si>
  <si>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</si>
  <si>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</si>
  <si>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</si>
  <si>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</si>
  <si>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</si>
  <si>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</si>
  <si>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</si>
  <si>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</si>
  <si>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</si>
  <si>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</si>
  <si>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</si>
  <si>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</si>
  <si>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</si>
  <si>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</si>
  <si>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</si>
  <si>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</si>
  <si>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</si>
  <si>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</si>
  <si>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</si>
  <si>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</si>
  <si>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</si>
  <si>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</si>
  <si>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</si>
  <si>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</si>
  <si>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</si>
  <si>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</si>
  <si>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</si>
  <si>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</si>
  <si>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</si>
  <si>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</si>
  <si>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</si>
  <si>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</si>
  <si>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</si>
  <si>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</si>
  <si>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</si>
  <si>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</si>
  <si>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</si>
  <si>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</si>
  <si>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</si>
  <si>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</si>
  <si>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</si>
  <si>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</si>
  <si>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</si>
  <si>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</si>
  <si>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</si>
  <si>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</si>
  <si>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</si>
  <si>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</si>
  <si>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</si>
  <si>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</si>
  <si>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</si>
  <si>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</si>
  <si>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</si>
  <si>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</si>
  <si>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</si>
  <si>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</si>
  <si>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</si>
  <si>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</si>
  <si>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</si>
  <si>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</si>
  <si>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</si>
  <si>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 Южного Урала"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</si>
  <si>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2017 год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</si>
  <si>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</si>
  <si>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81 3 00 80000</t>
  </si>
  <si>
    <t>65 4 02 R0820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</si>
  <si>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</si>
  <si>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</si>
  <si>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</si>
  <si>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</si>
  <si>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</si>
  <si>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</si>
  <si>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</si>
  <si>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</si>
  <si>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</si>
  <si>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</si>
  <si>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</si>
  <si>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</si>
  <si>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</si>
  <si>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</si>
  <si>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</si>
  <si>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</si>
  <si>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</si>
  <si>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>69 7 21 44000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</si>
  <si>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</si>
  <si>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</si>
  <si>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</si>
  <si>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</si>
  <si>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</si>
  <si>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69 7 24 44100</t>
  </si>
  <si>
    <t>Муниципальное казенное учреждение "Управление по физической культуре и спорту" Миасского городского округа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</si>
  <si>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</si>
  <si>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</si>
  <si>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</si>
  <si>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</si>
  <si>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</si>
  <si>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</si>
  <si>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Мероприятия в рамках государственной программы "Развитие физической культуры и спорта в Челябинской области на 2015-2019 годы" (софинансирование)</t>
  </si>
  <si>
    <t>80 2 07 S1000</t>
  </si>
  <si>
    <t>Развитие базовых олимпийских видов спорта для подготовки резерва спортивных команд Челябинской области и России" в рамках государственной программы "Развитие физической культуры и спорта в Челябинской области на 2015-2019 годы" (софинансирование)</t>
  </si>
  <si>
    <t>80 2 07 L0810</t>
  </si>
  <si>
    <t>80 4 21 S1000</t>
  </si>
  <si>
    <t>80 4 24 S1000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</si>
  <si>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</si>
  <si>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</si>
  <si>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</si>
  <si>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</si>
  <si>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</si>
  <si>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</si>
  <si>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</si>
  <si>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</si>
  <si>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</si>
  <si>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</si>
  <si>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</si>
  <si>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</si>
  <si>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</si>
  <si>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</si>
  <si>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</si>
  <si>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</si>
  <si>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</si>
  <si>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</si>
  <si>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2017-2019 годы"</t>
  </si>
  <si>
    <t>88 0 00 00000</t>
  </si>
  <si>
    <t>88 0 07 00000</t>
  </si>
  <si>
    <t>88 0 07 85050</t>
  </si>
  <si>
    <t>88 0 07 85053</t>
  </si>
  <si>
    <t>79 0 20 40000</t>
  </si>
  <si>
    <t>79 0 20 42000</t>
  </si>
  <si>
    <t>Центры помощи детям, оставшимся без попечения родителей</t>
  </si>
  <si>
    <t>81 1 99 85090</t>
  </si>
  <si>
    <t>81 1 99 85091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</si>
  <si>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</si>
  <si>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</si>
  <si>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</si>
  <si>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</si>
  <si>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</si>
  <si>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Областная адресная программа "Переселение в 2013-2017 годах граждан из аварийного жилищного фондав городах и районах Челябинской области"</t>
  </si>
  <si>
    <t>Распределение бюджетных ассигнований на капитальные вложения в объекты муниципальной собственности Миасского городского округа на 2017 год и плановый период 2018-2019гг.</t>
  </si>
  <si>
    <t>(тыс.руб.)</t>
  </si>
  <si>
    <t>Наименование объектов</t>
  </si>
  <si>
    <t>Сумма              на 2017 год</t>
  </si>
  <si>
    <t>Сумма              на 2018 год</t>
  </si>
  <si>
    <t>Сумма              на 2019 год</t>
  </si>
  <si>
    <t>Подпрограмма: переселение граждан из аварийного жилищного фонда МГО на 2017-2019 годы</t>
  </si>
  <si>
    <t>Снос аварийного жилищного фонда</t>
  </si>
  <si>
    <t>Муниципальная программа "Обеспечение доступным и комфортным жильем граждан РФ территории МГО на 2014-2022 годы"</t>
  </si>
  <si>
    <t>Подпрограмма:Модернизация объектов коммунальной инфраструктуры</t>
  </si>
  <si>
    <t>Реконструкция ЛЭП-10 кВ фидера Курортный от ПС Тургояк 110/10 кВ (подключение части существующего фидера от ПС Ильменская 110/10кВ)</t>
  </si>
  <si>
    <t>Очистные сооружения п.Хребет</t>
  </si>
  <si>
    <t>Строительство подводящих сетей к котельной п.Хребет (Электроснабжение котельной п.Хребет)</t>
  </si>
  <si>
    <t>Подпрограмма: Подготовка земельных участков для освоения в целях жилищного строительства</t>
  </si>
  <si>
    <t>Подъездная автодорога от областной автодороги «Миасс-Сыростан-железнодорожная станция Хребет» к объектам горнолыжного центра «Солнечная долина»</t>
  </si>
  <si>
    <t>Очистные сооружения с канализационным коллектором горнолыжного центра «Солнечная долина»</t>
  </si>
  <si>
    <t>Автодорога от ул.Ленина пос.Тургояк до ДОЛ им.Зои Космодемьянской Миасского городского округа "Национальный парк спорта и туризма" (клуб-отель "Золотой пляж")</t>
  </si>
  <si>
    <t>Реконструкция ГТС Миасского городского пруда</t>
  </si>
  <si>
    <t>Электроснабжение п.Тыелга</t>
  </si>
  <si>
    <t>Реконструкция трибун стадиона "Труд" в г. Миассе Челябинской области</t>
  </si>
  <si>
    <t>Подпрограмма:  Развитие инфраструктуры в области физической культуры и спорта, ремонт, реконструкция  спортивных сооружений</t>
  </si>
  <si>
    <t>Реконструкция нижнего поля спортивного комплекса, расположенного в центральном районе г.Миасса на правом берегу р.Миасс</t>
  </si>
  <si>
    <t>Автодорога в мкр.№3 от перекрестка ул. 8 Июля-бульвар Мира</t>
  </si>
  <si>
    <t>Дорога к ГБ№2</t>
  </si>
  <si>
    <t>Ливневка в районе ул. Попова</t>
  </si>
  <si>
    <t>Итого</t>
  </si>
  <si>
    <t>Челябинская обл., г. Миасс, проспект Октября, 25территория МБОУ "СОШ №18". Устройство спортивной площадки с искусственным покрытием</t>
  </si>
  <si>
    <t>Мероприятия в рамках государственной программы "Развитие физической культуры и спорта в Челябинской области на 2015-2019 годы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</si>
  <si>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</si>
  <si>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</si>
  <si>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Газоснабжение ж/д по ул. Центральной, Солнечной, Березовой, Садовой, Гранитной, переулкам Лесному, Сосновому в п. Михеевка Миасского городского округа Челябинской области</t>
  </si>
  <si>
    <t>Газоснабжение индивидуальных жилых домов по ул. Луговая, Болотная. Моховая, Зеленая, Пензенская, Сыростанская, Мотовозная, пер. Новый в г. Миасс Челябинской области</t>
  </si>
  <si>
    <t>87 0 20 00000</t>
  </si>
  <si>
    <t>87 0 22 00000</t>
  </si>
  <si>
    <t>14 0 00 00000</t>
  </si>
  <si>
    <t>14 2 00 00000</t>
  </si>
  <si>
    <t>14 2 01 00000</t>
  </si>
  <si>
    <t>14 2 01 00040</t>
  </si>
  <si>
    <t>Строительство газопроводов и газовых сетей</t>
  </si>
  <si>
    <t>20 4 00 00000</t>
  </si>
  <si>
    <t>20 4 01 00000</t>
  </si>
  <si>
    <t>20 4 01 71000</t>
  </si>
  <si>
    <t>Подпрограмма "Развитие системы подготовки спортивного резерва"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</si>
  <si>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</si>
  <si>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</si>
  <si>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</si>
  <si>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</si>
  <si>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</si>
  <si>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</si>
  <si>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</si>
  <si>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</si>
  <si>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</si>
  <si>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</si>
  <si>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03 0 01 00000</t>
  </si>
  <si>
    <t>03 0 01 05500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</si>
  <si>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</si>
  <si>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Предоставление субсидий бюджетным,автономным учреждениям и иным некоммерческим организациям</t>
  </si>
  <si>
    <t>Приложение 4</t>
  </si>
  <si>
    <t>Приложение   5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</si>
  <si>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</si>
  <si>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Приложение № 1</t>
  </si>
  <si>
    <t>к  решению Собрания депутатов</t>
  </si>
  <si>
    <t>Миасского городского округа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</si>
  <si>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</si>
  <si>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</si>
  <si>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</si>
  <si>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администратора доходов</t>
  </si>
  <si>
    <t>доходов бюджета Миасского городского округа</t>
  </si>
  <si>
    <t>006</t>
  </si>
  <si>
    <t>Министерство дорожного хозяйства и транспорта Челябинской области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</si>
  <si>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</si>
  <si>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 &lt;1&gt;</t>
  </si>
  <si>
    <t>007</t>
  </si>
  <si>
    <t>Контрольно-счетная палата Челябинской области</t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</si>
  <si>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</si>
  <si>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 &lt;1&gt;</t>
  </si>
  <si>
    <t>008</t>
  </si>
  <si>
    <t>Министерство сельского хозяйства Челябинской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</si>
  <si>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</si>
  <si>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 &lt;1,3&gt;</t>
  </si>
  <si>
    <t>009</t>
  </si>
  <si>
    <t>Миинстерство экологии Челябинской области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</si>
  <si>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</si>
  <si>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 &lt;1,3&gt;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</si>
  <si>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</si>
  <si>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 &lt;1,3&gt;</t>
  </si>
  <si>
    <t>1 16 25040 01 0000 140</t>
  </si>
  <si>
    <t>Денежные взыскания (штрафы) за нарушение законодательства об экологической экспертизе &lt;1,3&gt;</t>
  </si>
  <si>
    <t>1 16 25050 01 0000 140</t>
  </si>
  <si>
    <t>Денежные взыскания (штрафы) за нарушение законодательства в области охраны окружающей среды &lt;1&gt;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</si>
  <si>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</si>
  <si>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 &lt;1&gt;</t>
  </si>
  <si>
    <t>011</t>
  </si>
  <si>
    <t>Министерство строительства и  инфраструктуры Челябинской области</t>
  </si>
  <si>
    <t>016</t>
  </si>
  <si>
    <t>Министерство здравоохранения Челябинской области</t>
  </si>
  <si>
    <t>018</t>
  </si>
  <si>
    <t>Государственный комитет по делам архивов Челябинской области</t>
  </si>
  <si>
    <t>019</t>
  </si>
  <si>
    <t xml:space="preserve">Министерство имущества и природных ресурсов Челябинской области </t>
  </si>
  <si>
    <t>1 16 25010 01 0000 140</t>
  </si>
  <si>
    <t>Денежные взыскания (штрафы) за нарушение законодательства Российской Федерации о недрах &lt;1,3&gt;</t>
  </si>
  <si>
    <t>034</t>
  </si>
  <si>
    <t>Главное контрольное управление Челябинской области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</si>
  <si>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</si>
  <si>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&lt;1&gt;</t>
  </si>
  <si>
    <t>048</t>
  </si>
  <si>
    <t>Управление Федеральной службы по надзору в сфере природопользования по Челябинской области</t>
  </si>
  <si>
    <t>1 12 01000 01 0000 120</t>
  </si>
  <si>
    <t>Плата за негативное воздействие на окружающую среду &lt;3&gt;</t>
  </si>
  <si>
    <t>078</t>
  </si>
  <si>
    <t>Главное управление "Государственная жилищная инспекция Челябинской области"</t>
  </si>
  <si>
    <t>096</t>
  </si>
  <si>
    <t>Управление Федеральной службы по надзору в сфере связи, информационных технологий и массовых коммуникаций по Челябинской области</t>
  </si>
  <si>
    <t>Управление Федерального казначейства по Челябинской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</si>
  <si>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</si>
  <si>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</si>
  <si>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</si>
  <si>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</si>
  <si>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</si>
  <si>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</si>
  <si>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</si>
  <si>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</si>
  <si>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106</t>
  </si>
  <si>
    <t>Управление Государственного автодорожного надзора по Челябинской области Федеральной службы по надзору в сфере транспорта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</si>
  <si>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</si>
  <si>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</si>
  <si>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&lt;1,3&gt;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</si>
  <si>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</si>
  <si>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 &lt;2,4&gt;</t>
  </si>
  <si>
    <t>Денежные взыскания (штрафы) за нарушение законодательства в области охраны окружающей среды &lt;1,3&gt;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</si>
  <si>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</si>
  <si>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&lt;1,3&gt;</t>
  </si>
  <si>
    <t>150</t>
  </si>
  <si>
    <t>Главное управление по труду и занятости населения Челябинской области</t>
  </si>
  <si>
    <t>161</t>
  </si>
  <si>
    <t>Управление Федеральной антимонопольной службы по Челябинской области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</si>
  <si>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&lt;1&gt;
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</si>
  <si>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</si>
  <si>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</si>
  <si>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182</t>
  </si>
  <si>
    <t>Управление Федеральной налоговой службы по Челябинской области</t>
  </si>
  <si>
    <t>1 01 02000 01 0000 110</t>
  </si>
  <si>
    <t>Налог на доходы физических лиц &lt;1,3&gt;</t>
  </si>
  <si>
    <t>1 05 01000 00 0000 110</t>
  </si>
  <si>
    <t>Налог, взимаемый в связи с применением упрощенной системы налогообложения &lt;1,3&gt;</t>
  </si>
  <si>
    <t>1 05 02000 02 0000 110</t>
  </si>
  <si>
    <t>Единый налог на вмененный доход для отдельных видов деятельности &lt;1,3&gt;</t>
  </si>
  <si>
    <t>1 05 03000 01 0000 110</t>
  </si>
  <si>
    <t>Единый сельскохозяйственный налог &lt;1,3&gt;</t>
  </si>
  <si>
    <t>1 05 04000 02 0000 110</t>
  </si>
  <si>
    <t>Налог, взимаемый в связи с применением патентной системы налогообложения &lt;1,3&gt;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</si>
  <si>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</si>
  <si>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</si>
  <si>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</si>
  <si>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</si>
  <si>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1 08 03000 01 0000 110</t>
  </si>
  <si>
    <t>Государственная пошлина по делам, рассматриваемым в судах общей юрисдикции, мировыми судьями &lt;1,3&gt;</t>
  </si>
  <si>
    <t>1 09 00000 00 0000 000</t>
  </si>
  <si>
    <t>Задолженность и перерасчеты по отмененным налогам, сборам и иным обязательным платежам &lt;1,3&gt;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</si>
  <si>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</si>
  <si>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&lt;1,3&gt;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</si>
  <si>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</si>
  <si>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&lt;1,3&gt;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</si>
  <si>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</si>
  <si>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&lt;1,3&gt;</t>
  </si>
  <si>
    <t>Главное управление Министерства внутренних дел Российской Федерации по Челябинской области</t>
  </si>
  <si>
    <t>1 08 07100 01 0000 110</t>
  </si>
  <si>
    <t>Государственная пошлина за выдачу и обмен паспорта гражданина Российской Федерации &lt;1,3&gt;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</si>
  <si>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</si>
  <si>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&lt;1,3&gt;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</si>
  <si>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</si>
  <si>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&lt;1,3&gt;</t>
  </si>
  <si>
    <t>1 16 30030 01 0000 140</t>
  </si>
  <si>
    <t>Прочие денежные взыскания (штрафы) за правонарушения в области дорожного движения &lt;1,3&gt;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</si>
  <si>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</si>
  <si>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&lt;1,3&gt;</t>
  </si>
  <si>
    <t>Управление Федеральной миграционной службы по Челябинской области</t>
  </si>
  <si>
    <t>Государственная пошлина за выдачу и обмен паспорта гражданина Российской Федерации &lt;2,4&gt;</t>
  </si>
  <si>
    <t>1 08 07150 01 0000 110</t>
  </si>
  <si>
    <t>Государственная пошлина за выдачу разрешения на установку рекламной конструкции  &lt;1,2&gt;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</si>
  <si>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</si>
  <si>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&lt;1,2&gt;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</si>
  <si>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</si>
  <si>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</si>
  <si>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</si>
  <si>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</si>
  <si>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</si>
  <si>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&lt;2&gt;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</si>
  <si>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</si>
  <si>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&lt;2&gt;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</si>
  <si>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</si>
  <si>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 &lt;2&gt;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</si>
  <si>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</si>
  <si>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&lt;2&gt;</t>
  </si>
  <si>
    <t>1 11 05074 04 0000 120</t>
  </si>
  <si>
    <t>Доходы от сдачи в аренду имущества, составляющего казну городских округов (за исключением земельных участков) &lt;2&gt;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</si>
  <si>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</si>
  <si>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 &lt;2&gt;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</si>
  <si>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</si>
  <si>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</si>
  <si>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</si>
  <si>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 &lt;2&gt;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</si>
  <si>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</si>
  <si>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&lt;2&gt;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</si>
  <si>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</si>
  <si>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</si>
  <si>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</si>
  <si>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</si>
  <si>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</si>
  <si>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&lt;2&gt;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</si>
  <si>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</si>
  <si>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</si>
  <si>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</si>
  <si>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</si>
  <si>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</si>
  <si>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&lt;2&gt;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</si>
  <si>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</si>
  <si>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</si>
  <si>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</si>
  <si>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</si>
  <si>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</si>
  <si>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</si>
  <si>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</si>
  <si>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&lt;2&gt;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</si>
  <si>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</si>
  <si>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</si>
  <si>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</si>
  <si>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&lt;2&gt;</t>
  </si>
  <si>
    <t>1 16 37030 04 0000 140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</si>
  <si>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</si>
  <si>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</si>
  <si>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</si>
  <si>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1 16 51020 02 0000 140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</si>
  <si>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городских округов</t>
  </si>
  <si>
    <t>1 17 05040 04 0000 180</t>
  </si>
  <si>
    <t>Прочие неналоговые доходы бюджетов городских округов &lt;2&gt;</t>
  </si>
  <si>
    <t>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</si>
  <si>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</si>
  <si>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2 02 20051 04 0000 151</t>
  </si>
  <si>
    <t>Субсидии бюджетам городских округов на реализацию федеральных целевых программ</t>
  </si>
  <si>
    <t>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</si>
  <si>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</si>
  <si>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2 02 20298 04 0000 151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</si>
  <si>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</si>
  <si>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</si>
  <si>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</si>
  <si>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2 02 20301 04 0000 151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</si>
  <si>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</si>
  <si>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2 02 20302 04 0000 151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</si>
  <si>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</si>
  <si>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2 02 25027 04 0000 151
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</si>
  <si>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</si>
  <si>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</si>
  <si>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</si>
  <si>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</si>
  <si>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</si>
  <si>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</si>
  <si>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</si>
  <si>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2 02 35485 04 0000 151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</si>
  <si>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</si>
  <si>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 xml:space="preserve">2 02 35930 04 0000 151
</t>
  </si>
  <si>
    <t xml:space="preserve">Субвенции бюджетам городских округов на государственную регистрацию актов гражданского состояния
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</si>
  <si>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</si>
  <si>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</si>
  <si>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</si>
  <si>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</si>
  <si>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</si>
  <si>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2 02 15001 04 0000 151</t>
  </si>
  <si>
    <t>Дотации бюджетам городских округов на выравнивание бюджетной обеспеченности</t>
  </si>
  <si>
    <t>2 02 15002 04 0000 151</t>
  </si>
  <si>
    <t xml:space="preserve">Дотации бюджетам городских округов на поддержку мер по обеспечению сбалансированности бюджетов
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</si>
  <si>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</si>
  <si>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</si>
  <si>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</si>
  <si>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2 02 30013 04 0000 151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</si>
  <si>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</si>
  <si>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</si>
  <si>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</si>
  <si>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</si>
  <si>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</si>
  <si>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</si>
  <si>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</si>
  <si>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2 02 35220 04 0000 151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</si>
  <si>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</si>
  <si>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2 02 35250 04 0000 151</t>
  </si>
  <si>
    <t>Субвенции бюджетам городских округов на оплату жилищно-коммунальных услуг отдельным категориям граждан</t>
  </si>
  <si>
    <t>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</si>
  <si>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</si>
  <si>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</si>
  <si>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</si>
  <si>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</si>
  <si>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</si>
  <si>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2 02 25081 04 0000 151</t>
  </si>
  <si>
    <t>Субсидии бюджетам городских округов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</si>
  <si>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</si>
  <si>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</si>
  <si>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Муниципальное казенное учреждение Миасского городского округа "Образование"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</si>
  <si>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</si>
  <si>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1 13 01994 04 0000 130</t>
  </si>
  <si>
    <t>Прочие доходы от оказания платных услуг (работ) получателями средств бюджетов городских округов &lt;2&gt;</t>
  </si>
  <si>
    <t>2 02 25097 04 0000 151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</si>
  <si>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</si>
  <si>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2 02 30021 04 0000 151</t>
  </si>
  <si>
    <t>Субвенции бюджетам городских округов на ежемесячное денежное вознаграждение за классное руководство</t>
  </si>
  <si>
    <t>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</si>
  <si>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</si>
  <si>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Муниципальное казенное учреждение "Управление культуры" 
Миасского городского округа</t>
  </si>
  <si>
    <t>2 02 45144 04 0000 151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</si>
  <si>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</si>
  <si>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2 02 45146 04 0000 151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</si>
  <si>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</si>
  <si>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2 02 45148 04 0000 151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</si>
  <si>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</si>
  <si>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Собрание депутатов Миасского городского округа</t>
  </si>
  <si>
    <t>Контрольно-счетная палата Миасского городского округа</t>
  </si>
  <si>
    <t>Управление Федеральной службы государственной регистрации, кадастра и картографии по Челябинской области</t>
  </si>
  <si>
    <t>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</si>
  <si>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 &lt;1,3&gt;</t>
  </si>
  <si>
    <t>1 16 25060 01 0000 140</t>
  </si>
  <si>
    <t>Денежные взыскания (штрафы) за нарушение земельного законодательства &lt;1,3&gt;</t>
  </si>
  <si>
    <t>Управление Федеральной службы судебных приставов по Челябинской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</si>
  <si>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&lt;1&gt;</t>
  </si>
  <si>
    <t xml:space="preserve"> Межрегиональное управление № 92 Федерального медико-биологического агентства</t>
  </si>
  <si>
    <t>Прокуратура Челябинской области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</si>
  <si>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</si>
  <si>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1 13 01074 04 0000 130</t>
  </si>
  <si>
    <t>Доходы от оказания информационно-консультационных услуг органами местного самоуправления городских округов, казенными учреждениями городских округов</t>
  </si>
  <si>
    <t>Прочие доходы от оказания платных услуг (работ) получателями средств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</si>
  <si>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</si>
  <si>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</si>
  <si>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</si>
  <si>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</si>
  <si>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</si>
  <si>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</si>
  <si>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</si>
  <si>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</si>
  <si>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</si>
  <si>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</si>
  <si>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</si>
  <si>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</si>
  <si>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</si>
  <si>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</si>
  <si>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</si>
  <si>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</si>
  <si>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</si>
  <si>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</si>
  <si>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</si>
  <si>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</si>
  <si>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</si>
  <si>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</si>
  <si>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</si>
  <si>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</si>
  <si>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</si>
  <si>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</si>
  <si>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</si>
  <si>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</si>
  <si>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</si>
  <si>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1 17 14020 04 0000 180</t>
  </si>
  <si>
    <t>Средства самообложения граждан, зачисляемые в бюджеты городских округов</t>
  </si>
  <si>
    <t>2 02 29999 04 0000 151</t>
  </si>
  <si>
    <t>Прочие субсидии бюджетам городских округов</t>
  </si>
  <si>
    <t xml:space="preserve">2 02 30024 04 0000 151
</t>
  </si>
  <si>
    <t>Субвенции бюджетам городских округов на выполнение передаваемых полномочий субъектов Российской Федерации</t>
  </si>
  <si>
    <t>2 02 39999 04 0000 151</t>
  </si>
  <si>
    <t>Прочие субвенции бюджетам городских округов</t>
  </si>
  <si>
    <t>2 02 49999 04 0000 151</t>
  </si>
  <si>
    <t>Прочие межбюджетные трансферты, передаваемые бюджетам городских округов</t>
  </si>
  <si>
    <t>2 04 04010 04 0000 180</t>
  </si>
  <si>
    <t>Предоставление негосударственными организациями грантов для получателей средств  бюджетов городских округов</t>
  </si>
  <si>
    <t>2 04 04020 04 0000 180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</si>
  <si>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</si>
  <si>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</si>
  <si>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</si>
  <si>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2 07 04010 04 0000 180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</si>
  <si>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</si>
  <si>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2 07 04020 04 0000 180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</si>
  <si>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</si>
  <si>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2 07 04050 04 0000 180</t>
  </si>
  <si>
    <t>Прочие безвозмездные поступления в бюджеты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</si>
  <si>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</si>
  <si>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</si>
  <si>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</si>
  <si>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</si>
  <si>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</si>
  <si>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</si>
  <si>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2 18 60020 04 0000 151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</si>
  <si>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</si>
  <si>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2 19 60010 04 0000 151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</si>
  <si>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</si>
  <si>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</si>
  <si>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rPr>
        <b/>
        <sz val="11"/>
        <rFont val="Times New Roman"/>
        <family val="1"/>
      </rPr>
      <t xml:space="preserve"> &lt;1&gt;</t>
    </r>
    <r>
      <rPr>
        <sz val="11"/>
        <rFont val="Times New Roman"/>
        <family val="1"/>
      </rPr>
      <t xml:space="preserve">  Администрирование данных поступлений осуществляется с применением кодов подвидов доходов, предусмотренных приказом Министерства финансов Российской Федерации от 1 июля 2013 года N65н "Об утверждении Указаний о порядке применения бюджетной классификации Российской Федерации";</t>
    </r>
  </si>
  <si>
    <r>
      <t xml:space="preserve"> &lt;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>&gt;   Администрирование данных поступлений осуществляется с примененим кодов подвидов доходов, предусмотренных приказом Финансового управления Администрации Миасского городского округа от 17.12.2015  года № 71 "Об утверждении перечня кодов подвидов по видам доходов бюджета Миасского городского округа";</t>
    </r>
  </si>
  <si>
    <r>
      <rPr>
        <b/>
        <sz val="11"/>
        <rFont val="Times New Roman"/>
        <family val="1"/>
      </rPr>
      <t xml:space="preserve"> &lt;3&gt;</t>
    </r>
    <r>
      <rPr>
        <sz val="11"/>
        <rFont val="Times New Roman"/>
        <family val="1"/>
      </rPr>
      <t xml:space="preserve"> В части доходов, зачисляемых в бюджет Миасского городского округа.</t>
    </r>
  </si>
  <si>
    <t>Реализация приоритетного проекта "Формирование комфортной городской среды"</t>
  </si>
  <si>
    <t>Приложение 10</t>
  </si>
  <si>
    <t xml:space="preserve">от                     № </t>
  </si>
  <si>
    <t xml:space="preserve">Источники 
внутреннего финансирования дефицита бюджета Миасского  городского округа 
на 2017 год   </t>
  </si>
  <si>
    <t>Код бюджетной классификации РФ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</si>
  <si>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</si>
  <si>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</si>
  <si>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</si>
  <si>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</si>
  <si>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</si>
  <si>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</si>
  <si>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</si>
  <si>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</si>
  <si>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</si>
  <si>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</si>
  <si>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</si>
  <si>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</si>
  <si>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</si>
  <si>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</si>
  <si>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</si>
  <si>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 системы Российской Федерации</t>
  </si>
  <si>
    <t>01  03  01  00  00  0000  000</t>
  </si>
  <si>
    <t>Бюджетные кредиты от других бюджетов бюджетной  системы Российской Федерации в валюте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</si>
  <si>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</si>
  <si>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</si>
  <si>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</si>
  <si>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</si>
  <si>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</si>
  <si>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</si>
  <si>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</si>
  <si>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</si>
  <si>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01  05  00  00  00  0000  000</t>
  </si>
  <si>
    <t>Изменение остатков средств на счетах по учету  средств бюджетов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</si>
  <si>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</si>
  <si>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</si>
  <si>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</si>
  <si>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</si>
  <si>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</si>
  <si>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</si>
  <si>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</si>
  <si>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</si>
  <si>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</si>
  <si>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</si>
  <si>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01  06  10  00  00  0000  000</t>
  </si>
  <si>
    <t>Операции по управлению остатками средств на единых счетах бюджетов</t>
  </si>
  <si>
    <t xml:space="preserve">от                           №   </t>
  </si>
  <si>
    <t>202 20079 04 0000 151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</si>
  <si>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</si>
  <si>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2 02 25064 04 0000 151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</si>
  <si>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</si>
  <si>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</si>
  <si>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</si>
  <si>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202 20051 04 0000 151</t>
  </si>
  <si>
    <t xml:space="preserve">Субсидии бюджетам городских округов на реализацию федеральных целевых программ
</t>
  </si>
  <si>
    <t>Приобретение комплектов искусственных покрытий для футбольных полей</t>
  </si>
  <si>
    <t>20 1 01 R4951</t>
  </si>
  <si>
    <t>Оказание адресной финансовой поддержки спортивных организаций, осуществляющих подготовку спортивного резерва для сборных команд Российской Федерации</t>
  </si>
  <si>
    <t>20 4 01 R0810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</si>
  <si>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</si>
  <si>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</si>
  <si>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</si>
  <si>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</si>
  <si>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</si>
  <si>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</si>
  <si>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</si>
  <si>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</si>
  <si>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Подпрограмма «Оказание молодым семьям государственной поддержки для улучшения жилищных условий»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</si>
  <si>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</si>
  <si>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</si>
  <si>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</si>
  <si>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14 4 01 R0200</t>
  </si>
  <si>
    <t>Оборудование пунктов проведения экзаменов государственной итоговой аттестации по образовательным программа среднего общего образования</t>
  </si>
  <si>
    <t>03 0 01 0АА00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</si>
  <si>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</si>
  <si>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03 0 01 R0970</t>
  </si>
  <si>
    <t>Организация отдыха детей в каникулярное время</t>
  </si>
  <si>
    <t>03 0 01 04400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</si>
  <si>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</si>
  <si>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</si>
  <si>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</si>
  <si>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</si>
  <si>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 xml:space="preserve">от                          №   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</si>
  <si>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</si>
  <si>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 xml:space="preserve">от                        № </t>
  </si>
  <si>
    <t>Приложение  2</t>
  </si>
  <si>
    <t xml:space="preserve">от                          № </t>
  </si>
  <si>
    <t>Приложение 3</t>
  </si>
  <si>
    <t xml:space="preserve">от                           № </t>
  </si>
  <si>
    <t>Приложение   6</t>
  </si>
  <si>
    <t>076</t>
  </si>
  <si>
    <t>Федеральное агенство по рыболовству</t>
  </si>
  <si>
    <t>116 35020 04 0000 140</t>
  </si>
  <si>
    <t>116 90040 04 0000 140</t>
  </si>
  <si>
    <t>Министерство юстиции Российской Федерации</t>
  </si>
  <si>
    <t xml:space="preserve">от                        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</si>
</sst>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172" fontId="4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176" fontId="60" fillId="0" borderId="11" xfId="0" applyNumberFormat="1" applyFont="1" applyFill="1" applyBorder="1" applyAlignment="1">
      <alignment horizontal="center" vertical="center" wrapText="1"/>
    </xf>
    <xf numFmtId="176" fontId="61" fillId="0" borderId="11" xfId="0" applyNumberFormat="1" applyFont="1" applyFill="1" applyBorder="1" applyAlignment="1">
      <alignment horizontal="center" vertical="center" wrapText="1"/>
    </xf>
    <xf numFmtId="176" fontId="6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7" fillId="0" borderId="11" xfId="0" applyNumberFormat="1" applyFont="1" applyBorder="1" applyAlignment="1" applyProtection="1">
      <alignment horizontal="justify" vertical="center" wrapText="1"/>
      <protection/>
    </xf>
    <xf numFmtId="49" fontId="8" fillId="0" borderId="11" xfId="0" applyNumberFormat="1" applyFont="1" applyFill="1" applyBorder="1" applyAlignment="1" applyProtection="1">
      <alignment horizontal="justify" vertical="center" wrapText="1"/>
      <protection/>
    </xf>
    <xf numFmtId="49" fontId="5" fillId="0" borderId="11" xfId="0" applyNumberFormat="1" applyFont="1" applyFill="1" applyBorder="1" applyAlignment="1" applyProtection="1">
      <alignment horizontal="justify" vertical="center" wrapText="1"/>
      <protection/>
    </xf>
    <xf numFmtId="49" fontId="60" fillId="0" borderId="11" xfId="0" applyNumberFormat="1" applyFont="1" applyBorder="1" applyAlignment="1">
      <alignment horizontal="justify" vertical="center" wrapText="1"/>
    </xf>
    <xf numFmtId="172" fontId="60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justify" vertical="center" wrapText="1"/>
    </xf>
    <xf numFmtId="172" fontId="61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172" fontId="62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justify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justify" vertical="center" wrapText="1"/>
    </xf>
    <xf numFmtId="172" fontId="60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justify" vertical="center" wrapText="1"/>
    </xf>
    <xf numFmtId="172" fontId="62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justify" vertical="center" wrapText="1"/>
    </xf>
    <xf numFmtId="172" fontId="63" fillId="33" borderId="11" xfId="0" applyNumberFormat="1" applyFont="1" applyFill="1" applyBorder="1" applyAlignment="1">
      <alignment horizontal="center" vertical="center" wrapText="1"/>
    </xf>
    <xf numFmtId="172" fontId="60" fillId="0" borderId="11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/>
    </xf>
    <xf numFmtId="0" fontId="6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62" fillId="0" borderId="11" xfId="0" applyFont="1" applyBorder="1" applyAlignment="1">
      <alignment horizontal="center" vertical="center" wrapText="1"/>
    </xf>
    <xf numFmtId="49" fontId="64" fillId="0" borderId="11" xfId="52" applyNumberFormat="1" applyFont="1" applyBorder="1" applyAlignment="1">
      <alignment horizontal="justify" vertical="center" wrapText="1"/>
      <protection/>
    </xf>
    <xf numFmtId="49" fontId="64" fillId="0" borderId="11" xfId="52" applyNumberFormat="1" applyFont="1" applyBorder="1" applyAlignment="1">
      <alignment horizontal="center" vertical="center" wrapText="1"/>
      <protection/>
    </xf>
    <xf numFmtId="172" fontId="64" fillId="0" borderId="11" xfId="52" applyNumberFormat="1" applyFont="1" applyBorder="1" applyAlignment="1">
      <alignment horizontal="center" vertical="center"/>
      <protection/>
    </xf>
    <xf numFmtId="172" fontId="65" fillId="0" borderId="11" xfId="52" applyNumberFormat="1" applyFont="1" applyBorder="1" applyAlignment="1">
      <alignment horizontal="center" vertical="center"/>
      <protection/>
    </xf>
    <xf numFmtId="172" fontId="63" fillId="0" borderId="0" xfId="0" applyNumberFormat="1" applyFont="1" applyAlignment="1">
      <alignment/>
    </xf>
    <xf numFmtId="49" fontId="65" fillId="0" borderId="11" xfId="52" applyNumberFormat="1" applyFont="1" applyBorder="1" applyAlignment="1">
      <alignment horizontal="justify" vertical="center" wrapText="1"/>
      <protection/>
    </xf>
    <xf numFmtId="49" fontId="65" fillId="0" borderId="11" xfId="52" applyNumberFormat="1" applyFont="1" applyBorder="1" applyAlignment="1">
      <alignment horizontal="center" vertical="center" wrapText="1"/>
      <protection/>
    </xf>
    <xf numFmtId="0" fontId="60" fillId="0" borderId="11" xfId="0" applyFont="1" applyBorder="1" applyAlignment="1">
      <alignment vertical="center"/>
    </xf>
    <xf numFmtId="172" fontId="66" fillId="0" borderId="11" xfId="0" applyNumberFormat="1" applyFont="1" applyBorder="1" applyAlignment="1">
      <alignment horizontal="center" vertical="center"/>
    </xf>
    <xf numFmtId="172" fontId="63" fillId="0" borderId="11" xfId="0" applyNumberFormat="1" applyFont="1" applyBorder="1" applyAlignment="1">
      <alignment horizontal="center" vertical="center"/>
    </xf>
    <xf numFmtId="0" fontId="6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/>
    </xf>
    <xf numFmtId="0" fontId="62" fillId="0" borderId="11" xfId="0" applyFont="1" applyBorder="1" applyAlignment="1">
      <alignment horizontal="justify" vertical="center" wrapText="1"/>
    </xf>
    <xf numFmtId="0" fontId="62" fillId="0" borderId="0" xfId="0" applyFont="1" applyAlignment="1">
      <alignment vertical="center"/>
    </xf>
    <xf numFmtId="0" fontId="5" fillId="33" borderId="1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justify" vertical="center" wrapText="1"/>
    </xf>
    <xf numFmtId="0" fontId="62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justify" vertical="center" wrapText="1"/>
    </xf>
    <xf numFmtId="0" fontId="63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justify" vertical="center" wrapText="1"/>
    </xf>
    <xf numFmtId="49" fontId="62" fillId="0" borderId="11" xfId="0" applyNumberFormat="1" applyFont="1" applyBorder="1" applyAlignment="1">
      <alignment horizontal="center" vertical="center"/>
    </xf>
    <xf numFmtId="172" fontId="62" fillId="0" borderId="11" xfId="0" applyNumberFormat="1" applyFont="1" applyBorder="1" applyAlignment="1">
      <alignment horizontal="center" vertical="center"/>
    </xf>
    <xf numFmtId="49" fontId="62" fillId="33" borderId="11" xfId="0" applyNumberFormat="1" applyFont="1" applyFill="1" applyBorder="1" applyAlignment="1">
      <alignment horizontal="center" vertical="center"/>
    </xf>
    <xf numFmtId="172" fontId="62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0" fontId="62" fillId="0" borderId="11" xfId="0" applyFont="1" applyFill="1" applyBorder="1" applyAlignment="1">
      <alignment horizontal="justify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/>
    </xf>
    <xf numFmtId="0" fontId="9" fillId="0" borderId="1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5" fillId="33" borderId="11" xfId="0" applyNumberFormat="1" applyFont="1" applyFill="1" applyBorder="1" applyAlignment="1">
      <alignment horizontal="justify" vertical="center" wrapText="1"/>
    </xf>
    <xf numFmtId="0" fontId="5" fillId="33" borderId="0" xfId="0" applyFont="1" applyFill="1" applyAlignment="1">
      <alignment horizontal="justify" wrapText="1"/>
    </xf>
    <xf numFmtId="49" fontId="63" fillId="33" borderId="0" xfId="0" applyNumberFormat="1" applyFont="1" applyFill="1" applyAlignment="1">
      <alignment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horizontal="justify"/>
    </xf>
    <xf numFmtId="0" fontId="63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/>
    </xf>
    <xf numFmtId="0" fontId="62" fillId="33" borderId="0" xfId="0" applyFont="1" applyFill="1" applyAlignment="1">
      <alignment horizontal="justify" vertical="center" wrapText="1"/>
    </xf>
    <xf numFmtId="0" fontId="5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/>
    </xf>
    <xf numFmtId="0" fontId="62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justify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0" fontId="66" fillId="33" borderId="0" xfId="0" applyFont="1" applyFill="1" applyAlignment="1">
      <alignment/>
    </xf>
    <xf numFmtId="0" fontId="9" fillId="33" borderId="11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center" vertical="center"/>
    </xf>
    <xf numFmtId="172" fontId="7" fillId="33" borderId="11" xfId="63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172" fontId="63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justify" vertical="center"/>
    </xf>
    <xf numFmtId="0" fontId="65" fillId="33" borderId="11" xfId="0" applyFont="1" applyFill="1" applyBorder="1" applyAlignment="1">
      <alignment horizontal="center" vertical="center" wrapText="1"/>
    </xf>
    <xf numFmtId="176" fontId="63" fillId="33" borderId="0" xfId="0" applyNumberFormat="1" applyFont="1" applyFill="1" applyAlignment="1">
      <alignment/>
    </xf>
    <xf numFmtId="172" fontId="7" fillId="33" borderId="11" xfId="0" applyNumberFormat="1" applyFont="1" applyFill="1" applyBorder="1" applyAlignment="1">
      <alignment horizontal="center" vertical="center"/>
    </xf>
    <xf numFmtId="0" fontId="62" fillId="33" borderId="11" xfId="0" applyNumberFormat="1" applyFont="1" applyFill="1" applyBorder="1" applyAlignment="1">
      <alignment horizontal="center" vertical="center" wrapText="1"/>
    </xf>
    <xf numFmtId="0" fontId="62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0" fillId="33" borderId="0" xfId="0" applyFont="1" applyFill="1" applyAlignment="1">
      <alignment/>
    </xf>
    <xf numFmtId="0" fontId="60" fillId="33" borderId="11" xfId="0" applyFont="1" applyFill="1" applyBorder="1" applyAlignment="1">
      <alignment horizontal="justify" vertical="center" wrapText="1"/>
    </xf>
    <xf numFmtId="49" fontId="60" fillId="33" borderId="11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172" fontId="60" fillId="33" borderId="11" xfId="0" applyNumberFormat="1" applyFont="1" applyFill="1" applyBorder="1" applyAlignment="1">
      <alignment horizontal="center" vertical="center"/>
    </xf>
    <xf numFmtId="172" fontId="63" fillId="33" borderId="0" xfId="0" applyNumberFormat="1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2" fillId="0" borderId="14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172" fontId="63" fillId="0" borderId="0" xfId="0" applyNumberFormat="1" applyFont="1" applyAlignment="1">
      <alignment horizontal="center" vertical="center"/>
    </xf>
    <xf numFmtId="0" fontId="63" fillId="34" borderId="0" xfId="0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172" fontId="66" fillId="0" borderId="0" xfId="0" applyNumberFormat="1" applyFont="1" applyAlignment="1">
      <alignment horizontal="center" vertical="center"/>
    </xf>
    <xf numFmtId="2" fontId="63" fillId="0" borderId="0" xfId="0" applyNumberFormat="1" applyFont="1" applyAlignment="1">
      <alignment horizontal="center" vertical="center"/>
    </xf>
    <xf numFmtId="172" fontId="63" fillId="34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6" fontId="63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justify" vertical="center" wrapText="1"/>
      <protection/>
    </xf>
    <xf numFmtId="0" fontId="5" fillId="33" borderId="11" xfId="0" applyFont="1" applyFill="1" applyBorder="1" applyAlignment="1">
      <alignment horizontal="justify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justify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justify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12" fillId="0" borderId="0" xfId="56" applyNumberFormat="1" applyFont="1" applyAlignment="1">
      <alignment horizontal="left"/>
      <protection/>
    </xf>
    <xf numFmtId="0" fontId="13" fillId="0" borderId="0" xfId="56" applyFont="1" applyAlignment="1">
      <alignment/>
      <protection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56" applyFont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right"/>
    </xf>
    <xf numFmtId="49" fontId="14" fillId="0" borderId="0" xfId="56" applyNumberFormat="1" applyFont="1" applyFill="1" applyAlignment="1">
      <alignment horizontal="left"/>
      <protection/>
    </xf>
    <xf numFmtId="0" fontId="18" fillId="0" borderId="0" xfId="56" applyFont="1" applyAlignment="1">
      <alignment horizontal="center" vertical="center" wrapText="1"/>
      <protection/>
    </xf>
    <xf numFmtId="49" fontId="16" fillId="0" borderId="11" xfId="56" applyNumberFormat="1" applyFont="1" applyBorder="1" applyAlignment="1">
      <alignment horizontal="left" vertical="center" wrapText="1"/>
      <protection/>
    </xf>
    <xf numFmtId="0" fontId="13" fillId="33" borderId="11" xfId="0" applyFont="1" applyFill="1" applyBorder="1" applyAlignment="1">
      <alignment vertical="center" wrapText="1"/>
    </xf>
    <xf numFmtId="172" fontId="16" fillId="0" borderId="11" xfId="56" applyNumberFormat="1" applyFont="1" applyBorder="1" applyAlignment="1">
      <alignment horizontal="center" vertical="center" wrapText="1"/>
      <protection/>
    </xf>
    <xf numFmtId="172" fontId="16" fillId="0" borderId="11" xfId="56" applyNumberFormat="1" applyFont="1" applyBorder="1" applyAlignment="1">
      <alignment vertical="center" wrapText="1"/>
      <protection/>
    </xf>
    <xf numFmtId="0" fontId="16" fillId="0" borderId="0" xfId="56" applyFont="1">
      <alignment/>
      <protection/>
    </xf>
    <xf numFmtId="0" fontId="20" fillId="33" borderId="11" xfId="55" applyFont="1" applyFill="1" applyBorder="1" applyAlignment="1">
      <alignment horizontal="left" vertical="center" wrapText="1"/>
      <protection/>
    </xf>
    <xf numFmtId="0" fontId="20" fillId="33" borderId="11" xfId="55" applyFont="1" applyFill="1" applyBorder="1" applyAlignment="1">
      <alignment vertical="justify"/>
      <protection/>
    </xf>
    <xf numFmtId="172" fontId="16" fillId="0" borderId="0" xfId="56" applyNumberFormat="1" applyFont="1">
      <alignment/>
      <protection/>
    </xf>
    <xf numFmtId="0" fontId="13" fillId="33" borderId="12" xfId="0" applyFont="1" applyFill="1" applyBorder="1" applyAlignment="1">
      <alignment vertical="center" wrapText="1"/>
    </xf>
    <xf numFmtId="49" fontId="16" fillId="33" borderId="11" xfId="56" applyNumberFormat="1" applyFont="1" applyFill="1" applyBorder="1" applyAlignment="1">
      <alignment horizontal="left" vertical="center" wrapText="1"/>
      <protection/>
    </xf>
    <xf numFmtId="172" fontId="16" fillId="33" borderId="11" xfId="56" applyNumberFormat="1" applyFont="1" applyFill="1" applyBorder="1" applyAlignment="1">
      <alignment horizontal="center" vertical="center" wrapText="1"/>
      <protection/>
    </xf>
    <xf numFmtId="172" fontId="16" fillId="33" borderId="11" xfId="56" applyNumberFormat="1" applyFont="1" applyFill="1" applyBorder="1" applyAlignment="1">
      <alignment vertical="center" wrapText="1"/>
      <protection/>
    </xf>
    <xf numFmtId="0" fontId="13" fillId="33" borderId="12" xfId="0" applyFont="1" applyFill="1" applyBorder="1" applyAlignment="1">
      <alignment horizontal="left" vertical="justify" wrapText="1"/>
    </xf>
    <xf numFmtId="0" fontId="13" fillId="33" borderId="12" xfId="0" applyFont="1" applyFill="1" applyBorder="1" applyAlignment="1">
      <alignment horizontal="left" vertical="justify" wrapText="1" readingOrder="1"/>
    </xf>
    <xf numFmtId="0" fontId="13" fillId="33" borderId="15" xfId="0" applyFont="1" applyFill="1" applyBorder="1" applyAlignment="1">
      <alignment horizontal="left" vertical="justify" wrapText="1"/>
    </xf>
    <xf numFmtId="49" fontId="16" fillId="0" borderId="11" xfId="56" applyNumberFormat="1" applyFont="1" applyBorder="1" applyAlignment="1">
      <alignment horizontal="left" vertical="center"/>
      <protection/>
    </xf>
    <xf numFmtId="49" fontId="13" fillId="33" borderId="11" xfId="0" applyNumberFormat="1" applyFont="1" applyFill="1" applyBorder="1" applyAlignment="1">
      <alignment horizontal="left" vertical="justify"/>
    </xf>
    <xf numFmtId="172" fontId="16" fillId="0" borderId="11" xfId="56" applyNumberFormat="1" applyFont="1" applyBorder="1" applyAlignment="1">
      <alignment vertical="center"/>
      <protection/>
    </xf>
    <xf numFmtId="172" fontId="16" fillId="0" borderId="11" xfId="56" applyNumberFormat="1" applyFont="1" applyBorder="1" applyAlignment="1">
      <alignment horizontal="center" vertical="center"/>
      <protection/>
    </xf>
    <xf numFmtId="0" fontId="13" fillId="33" borderId="11" xfId="56" applyFont="1" applyFill="1" applyBorder="1" applyAlignment="1">
      <alignment wrapText="1"/>
      <protection/>
    </xf>
    <xf numFmtId="0" fontId="16" fillId="0" borderId="11" xfId="56" applyFont="1" applyBorder="1" applyAlignment="1">
      <alignment/>
      <protection/>
    </xf>
    <xf numFmtId="176" fontId="16" fillId="0" borderId="11" xfId="56" applyNumberFormat="1" applyFont="1" applyBorder="1" applyAlignment="1">
      <alignment horizontal="center"/>
      <protection/>
    </xf>
    <xf numFmtId="0" fontId="12" fillId="0" borderId="11" xfId="56" applyFont="1" applyBorder="1" applyAlignment="1">
      <alignment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2" fillId="33" borderId="11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176" fontId="5" fillId="0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justify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172" fontId="7" fillId="33" borderId="17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/>
    </xf>
    <xf numFmtId="0" fontId="62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 wrapText="1"/>
    </xf>
    <xf numFmtId="0" fontId="6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horizontal="right" vertical="center" wrapText="1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right" vertical="center"/>
      <protection/>
    </xf>
    <xf numFmtId="0" fontId="63" fillId="0" borderId="0" xfId="53" applyFont="1" applyFill="1">
      <alignment/>
      <protection/>
    </xf>
    <xf numFmtId="0" fontId="66" fillId="0" borderId="0" xfId="53" applyFont="1" applyFill="1" applyAlignment="1">
      <alignment horizontal="right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left" vertical="top" wrapText="1"/>
      <protection/>
    </xf>
    <xf numFmtId="0" fontId="10" fillId="0" borderId="0" xfId="53" applyFont="1" applyFill="1">
      <alignment/>
      <protection/>
    </xf>
    <xf numFmtId="49" fontId="6" fillId="0" borderId="11" xfId="53" applyNumberFormat="1" applyFont="1" applyFill="1" applyBorder="1" applyAlignment="1">
      <alignment horizontal="left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0" fontId="6" fillId="0" borderId="11" xfId="53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10" xfId="53" applyNumberFormat="1" applyFont="1" applyFill="1" applyBorder="1" applyAlignment="1">
      <alignment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center" wrapText="1"/>
      <protection/>
    </xf>
    <xf numFmtId="0" fontId="63" fillId="0" borderId="11" xfId="53" applyFont="1" applyFill="1" applyBorder="1" applyAlignment="1">
      <alignment horizontal="center" vertical="center" wrapText="1"/>
      <protection/>
    </xf>
    <xf numFmtId="49" fontId="63" fillId="0" borderId="11" xfId="53" applyNumberFormat="1" applyFont="1" applyFill="1" applyBorder="1" applyAlignment="1">
      <alignment horizontal="center" vertical="center" wrapText="1"/>
      <protection/>
    </xf>
    <xf numFmtId="49" fontId="63" fillId="0" borderId="11" xfId="53" applyNumberFormat="1" applyFont="1" applyFill="1" applyBorder="1" applyAlignment="1">
      <alignment horizontal="left" vertical="center" wrapText="1"/>
      <protection/>
    </xf>
    <xf numFmtId="0" fontId="67" fillId="0" borderId="0" xfId="53" applyFont="1" applyFill="1">
      <alignment/>
      <protection/>
    </xf>
    <xf numFmtId="0" fontId="6" fillId="0" borderId="0" xfId="53" applyFont="1" applyFill="1" applyAlignment="1">
      <alignment vertical="center"/>
      <protection/>
    </xf>
    <xf numFmtId="0" fontId="6" fillId="0" borderId="11" xfId="53" applyFont="1" applyFill="1" applyBorder="1" applyAlignment="1">
      <alignment vertical="center"/>
      <protection/>
    </xf>
    <xf numFmtId="49" fontId="10" fillId="0" borderId="11" xfId="53" applyNumberFormat="1" applyFont="1" applyFill="1" applyBorder="1" applyAlignment="1">
      <alignment horizontal="left"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horizontal="left" vertical="center" wrapText="1"/>
      <protection/>
    </xf>
    <xf numFmtId="0" fontId="10" fillId="0" borderId="18" xfId="53" applyFont="1" applyFill="1" applyBorder="1" applyAlignment="1">
      <alignment horizontal="left" vertical="center" wrapText="1"/>
      <protection/>
    </xf>
    <xf numFmtId="0" fontId="10" fillId="0" borderId="12" xfId="53" applyFont="1" applyFill="1" applyBorder="1" applyAlignment="1">
      <alignment horizontal="left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horizontal="left" vertical="center" wrapText="1"/>
      <protection/>
    </xf>
    <xf numFmtId="49" fontId="10" fillId="0" borderId="18" xfId="53" applyNumberFormat="1" applyFont="1" applyFill="1" applyBorder="1" applyAlignment="1">
      <alignment horizontal="left" vertical="center" wrapText="1"/>
      <protection/>
    </xf>
    <xf numFmtId="49" fontId="10" fillId="0" borderId="12" xfId="53" applyNumberFormat="1" applyFont="1" applyFill="1" applyBorder="1" applyAlignment="1">
      <alignment horizontal="left" vertical="center" wrapText="1"/>
      <protection/>
    </xf>
    <xf numFmtId="0" fontId="60" fillId="0" borderId="0" xfId="53" applyFont="1" applyFill="1" applyAlignment="1">
      <alignment horizontal="center" vertical="center" wrapText="1"/>
      <protection/>
    </xf>
    <xf numFmtId="0" fontId="63" fillId="0" borderId="19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5" fillId="33" borderId="11" xfId="0" applyFont="1" applyFill="1" applyBorder="1" applyAlignment="1">
      <alignment horizontal="justify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wrapText="1"/>
    </xf>
    <xf numFmtId="0" fontId="15" fillId="0" borderId="0" xfId="56" applyFont="1" applyAlignment="1">
      <alignment horizontal="center" vertical="justify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21" xfId="56" applyFont="1" applyBorder="1" applyAlignment="1">
      <alignment horizontal="center" vertical="center" wrapText="1"/>
      <protection/>
    </xf>
    <xf numFmtId="0" fontId="16" fillId="0" borderId="17" xfId="56" applyFont="1" applyBorder="1" applyAlignment="1">
      <alignment horizontal="center" vertical="center" wrapText="1"/>
      <protection/>
    </xf>
    <xf numFmtId="49" fontId="17" fillId="0" borderId="11" xfId="56" applyNumberFormat="1" applyFont="1" applyBorder="1" applyAlignment="1">
      <alignment horizontal="center" vertical="center" wrapText="1"/>
      <protection/>
    </xf>
    <xf numFmtId="0" fontId="16" fillId="0" borderId="11" xfId="56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Источники" xfId="55"/>
    <cellStyle name="Обычный_Приложение №1+№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5.8515625" style="220" customWidth="1"/>
    <col min="2" max="2" width="21.140625" style="220" customWidth="1"/>
    <col min="3" max="3" width="80.7109375" style="256" customWidth="1"/>
    <col min="4" max="4" width="21.28125" style="222" customWidth="1"/>
    <col min="5" max="16384" width="9.140625" style="222" customWidth="1"/>
  </cols>
  <sheetData>
    <row r="1" ht="15">
      <c r="C1" s="221" t="s">
        <v>783</v>
      </c>
    </row>
    <row r="2" ht="15">
      <c r="C2" s="221" t="s">
        <v>784</v>
      </c>
    </row>
    <row r="3" ht="15">
      <c r="C3" s="221" t="s">
        <v>785</v>
      </c>
    </row>
    <row r="4" ht="15">
      <c r="C4" s="223" t="s">
        <v>1211</v>
      </c>
    </row>
    <row r="5" spans="1:3" s="224" customFormat="1" ht="49.5" customHeight="1">
      <c r="A5" s="265" t="s">
        <v>786</v>
      </c>
      <c r="B5" s="265"/>
      <c r="C5" s="265"/>
    </row>
    <row r="6" spans="1:3" s="224" customFormat="1" ht="15">
      <c r="A6" s="266"/>
      <c r="B6" s="266"/>
      <c r="C6" s="225"/>
    </row>
    <row r="7" spans="1:3" ht="36.75" customHeight="1">
      <c r="A7" s="260" t="s">
        <v>787</v>
      </c>
      <c r="B7" s="261"/>
      <c r="C7" s="267" t="s">
        <v>788</v>
      </c>
    </row>
    <row r="8" spans="1:3" ht="54" customHeight="1">
      <c r="A8" s="228" t="s">
        <v>789</v>
      </c>
      <c r="B8" s="228" t="s">
        <v>790</v>
      </c>
      <c r="C8" s="268"/>
    </row>
    <row r="9" spans="1:3" ht="24" customHeight="1">
      <c r="A9" s="263" t="s">
        <v>791</v>
      </c>
      <c r="B9" s="264"/>
      <c r="C9" s="230" t="s">
        <v>792</v>
      </c>
    </row>
    <row r="10" spans="1:3" ht="33" customHeight="1">
      <c r="A10" s="231" t="s">
        <v>791</v>
      </c>
      <c r="B10" s="232" t="s">
        <v>793</v>
      </c>
      <c r="C10" s="233" t="s">
        <v>794</v>
      </c>
    </row>
    <row r="11" spans="1:3" ht="24" customHeight="1">
      <c r="A11" s="263" t="s">
        <v>795</v>
      </c>
      <c r="B11" s="264"/>
      <c r="C11" s="230" t="s">
        <v>796</v>
      </c>
    </row>
    <row r="12" spans="1:3" ht="30" customHeight="1">
      <c r="A12" s="231" t="s">
        <v>795</v>
      </c>
      <c r="B12" s="232" t="s">
        <v>797</v>
      </c>
      <c r="C12" s="233" t="s">
        <v>798</v>
      </c>
    </row>
    <row r="13" spans="1:3" ht="24" customHeight="1">
      <c r="A13" s="263" t="s">
        <v>799</v>
      </c>
      <c r="B13" s="264"/>
      <c r="C13" s="230" t="s">
        <v>800</v>
      </c>
    </row>
    <row r="14" spans="1:3" ht="47.25" customHeight="1">
      <c r="A14" s="231" t="s">
        <v>799</v>
      </c>
      <c r="B14" s="234" t="s">
        <v>801</v>
      </c>
      <c r="C14" s="233" t="s">
        <v>802</v>
      </c>
    </row>
    <row r="15" spans="1:3" ht="30.75" customHeight="1">
      <c r="A15" s="231" t="s">
        <v>799</v>
      </c>
      <c r="B15" s="232" t="s">
        <v>793</v>
      </c>
      <c r="C15" s="233" t="s">
        <v>794</v>
      </c>
    </row>
    <row r="16" spans="1:3" ht="29.25" customHeight="1">
      <c r="A16" s="263" t="s">
        <v>803</v>
      </c>
      <c r="B16" s="264"/>
      <c r="C16" s="230" t="s">
        <v>804</v>
      </c>
    </row>
    <row r="17" spans="1:3" ht="29.25" customHeight="1">
      <c r="A17" s="231" t="s">
        <v>803</v>
      </c>
      <c r="B17" s="232" t="s">
        <v>805</v>
      </c>
      <c r="C17" s="234" t="s">
        <v>806</v>
      </c>
    </row>
    <row r="18" spans="1:3" ht="28.5" customHeight="1">
      <c r="A18" s="231" t="s">
        <v>803</v>
      </c>
      <c r="B18" s="232" t="s">
        <v>807</v>
      </c>
      <c r="C18" s="234" t="s">
        <v>808</v>
      </c>
    </row>
    <row r="19" spans="1:3" ht="27" customHeight="1">
      <c r="A19" s="231" t="s">
        <v>803</v>
      </c>
      <c r="B19" s="232" t="s">
        <v>809</v>
      </c>
      <c r="C19" s="234" t="s">
        <v>810</v>
      </c>
    </row>
    <row r="20" spans="1:3" ht="27.75" customHeight="1">
      <c r="A20" s="231" t="s">
        <v>803</v>
      </c>
      <c r="B20" s="232" t="s">
        <v>811</v>
      </c>
      <c r="C20" s="234" t="s">
        <v>812</v>
      </c>
    </row>
    <row r="21" spans="1:3" ht="27.75" customHeight="1">
      <c r="A21" s="231" t="s">
        <v>803</v>
      </c>
      <c r="B21" s="232" t="s">
        <v>813</v>
      </c>
      <c r="C21" s="234" t="s">
        <v>814</v>
      </c>
    </row>
    <row r="22" spans="1:3" ht="29.25" customHeight="1">
      <c r="A22" s="263" t="s">
        <v>815</v>
      </c>
      <c r="B22" s="264"/>
      <c r="C22" s="230" t="s">
        <v>816</v>
      </c>
    </row>
    <row r="23" spans="1:3" ht="29.25" customHeight="1">
      <c r="A23" s="231" t="s">
        <v>815</v>
      </c>
      <c r="B23" s="232" t="s">
        <v>793</v>
      </c>
      <c r="C23" s="233" t="s">
        <v>794</v>
      </c>
    </row>
    <row r="24" spans="1:3" ht="24" customHeight="1">
      <c r="A24" s="263" t="s">
        <v>817</v>
      </c>
      <c r="B24" s="264"/>
      <c r="C24" s="235" t="s">
        <v>818</v>
      </c>
    </row>
    <row r="25" spans="1:3" ht="28.5" customHeight="1">
      <c r="A25" s="231" t="s">
        <v>817</v>
      </c>
      <c r="B25" s="232" t="s">
        <v>793</v>
      </c>
      <c r="C25" s="233" t="s">
        <v>794</v>
      </c>
    </row>
    <row r="26" spans="1:3" ht="30" customHeight="1">
      <c r="A26" s="263" t="s">
        <v>819</v>
      </c>
      <c r="B26" s="264"/>
      <c r="C26" s="230" t="s">
        <v>820</v>
      </c>
    </row>
    <row r="27" spans="1:3" ht="28.5" customHeight="1">
      <c r="A27" s="231" t="s">
        <v>819</v>
      </c>
      <c r="B27" s="232" t="s">
        <v>793</v>
      </c>
      <c r="C27" s="233" t="s">
        <v>794</v>
      </c>
    </row>
    <row r="28" spans="1:3" ht="30" customHeight="1">
      <c r="A28" s="263" t="s">
        <v>821</v>
      </c>
      <c r="B28" s="264"/>
      <c r="C28" s="230" t="s">
        <v>822</v>
      </c>
    </row>
    <row r="29" spans="1:3" ht="28.5" customHeight="1">
      <c r="A29" s="231" t="s">
        <v>821</v>
      </c>
      <c r="B29" s="232" t="s">
        <v>823</v>
      </c>
      <c r="C29" s="234" t="s">
        <v>824</v>
      </c>
    </row>
    <row r="30" spans="1:3" ht="24" customHeight="1">
      <c r="A30" s="263" t="s">
        <v>825</v>
      </c>
      <c r="B30" s="264"/>
      <c r="C30" s="230" t="s">
        <v>826</v>
      </c>
    </row>
    <row r="31" spans="1:3" ht="30" customHeight="1">
      <c r="A31" s="231" t="s">
        <v>825</v>
      </c>
      <c r="B31" s="232" t="s">
        <v>797</v>
      </c>
      <c r="C31" s="233" t="s">
        <v>798</v>
      </c>
    </row>
    <row r="32" spans="1:3" ht="60" customHeight="1">
      <c r="A32" s="231" t="s">
        <v>825</v>
      </c>
      <c r="B32" s="232" t="s">
        <v>827</v>
      </c>
      <c r="C32" s="236" t="s">
        <v>828</v>
      </c>
    </row>
    <row r="33" spans="1:3" s="237" customFormat="1" ht="29.25" customHeight="1">
      <c r="A33" s="263" t="s">
        <v>829</v>
      </c>
      <c r="B33" s="264"/>
      <c r="C33" s="235" t="s">
        <v>830</v>
      </c>
    </row>
    <row r="34" spans="1:3" ht="29.25" customHeight="1">
      <c r="A34" s="232" t="s">
        <v>829</v>
      </c>
      <c r="B34" s="232" t="s">
        <v>831</v>
      </c>
      <c r="C34" s="233" t="s">
        <v>832</v>
      </c>
    </row>
    <row r="35" spans="1:3" ht="29.25" customHeight="1">
      <c r="A35" s="263" t="s">
        <v>1206</v>
      </c>
      <c r="B35" s="264"/>
      <c r="C35" s="235" t="s">
        <v>1207</v>
      </c>
    </row>
    <row r="36" spans="1:3" ht="29.25" customHeight="1">
      <c r="A36" s="232" t="s">
        <v>1206</v>
      </c>
      <c r="B36" s="232" t="s">
        <v>1208</v>
      </c>
      <c r="C36" s="233" t="s">
        <v>814</v>
      </c>
    </row>
    <row r="37" spans="1:3" ht="29.25" customHeight="1">
      <c r="A37" s="232" t="s">
        <v>1206</v>
      </c>
      <c r="B37" s="232" t="s">
        <v>1209</v>
      </c>
      <c r="C37" s="233" t="s">
        <v>794</v>
      </c>
    </row>
    <row r="38" spans="1:3" s="237" customFormat="1" ht="29.25" customHeight="1">
      <c r="A38" s="263" t="s">
        <v>833</v>
      </c>
      <c r="B38" s="264"/>
      <c r="C38" s="235" t="s">
        <v>834</v>
      </c>
    </row>
    <row r="39" spans="1:3" ht="33" customHeight="1">
      <c r="A39" s="231" t="s">
        <v>833</v>
      </c>
      <c r="B39" s="232" t="s">
        <v>793</v>
      </c>
      <c r="C39" s="233" t="s">
        <v>794</v>
      </c>
    </row>
    <row r="40" spans="1:3" s="237" customFormat="1" ht="29.25" customHeight="1">
      <c r="A40" s="263" t="s">
        <v>835</v>
      </c>
      <c r="B40" s="264"/>
      <c r="C40" s="235" t="s">
        <v>836</v>
      </c>
    </row>
    <row r="41" spans="1:3" ht="29.25" customHeight="1">
      <c r="A41" s="231" t="s">
        <v>835</v>
      </c>
      <c r="B41" s="232" t="s">
        <v>793</v>
      </c>
      <c r="C41" s="233" t="s">
        <v>794</v>
      </c>
    </row>
    <row r="42" spans="1:3" s="237" customFormat="1" ht="29.25" customHeight="1">
      <c r="A42" s="263" t="s">
        <v>99</v>
      </c>
      <c r="B42" s="264"/>
      <c r="C42" s="235" t="s">
        <v>837</v>
      </c>
    </row>
    <row r="43" spans="1:3" ht="57.75" customHeight="1">
      <c r="A43" s="232" t="s">
        <v>99</v>
      </c>
      <c r="B43" s="238" t="s">
        <v>838</v>
      </c>
      <c r="C43" s="233" t="s">
        <v>839</v>
      </c>
    </row>
    <row r="44" spans="1:3" ht="78" customHeight="1">
      <c r="A44" s="232" t="s">
        <v>99</v>
      </c>
      <c r="B44" s="238" t="s">
        <v>840</v>
      </c>
      <c r="C44" s="233" t="s">
        <v>841</v>
      </c>
    </row>
    <row r="45" spans="1:3" ht="75.75" customHeight="1">
      <c r="A45" s="232" t="s">
        <v>99</v>
      </c>
      <c r="B45" s="238" t="s">
        <v>842</v>
      </c>
      <c r="C45" s="233" t="s">
        <v>843</v>
      </c>
    </row>
    <row r="46" spans="1:3" ht="71.25" customHeight="1">
      <c r="A46" s="232" t="s">
        <v>99</v>
      </c>
      <c r="B46" s="238" t="s">
        <v>844</v>
      </c>
      <c r="C46" s="233" t="s">
        <v>845</v>
      </c>
    </row>
    <row r="47" spans="1:3" s="237" customFormat="1" ht="38.25" customHeight="1">
      <c r="A47" s="263" t="s">
        <v>846</v>
      </c>
      <c r="B47" s="264"/>
      <c r="C47" s="235" t="s">
        <v>847</v>
      </c>
    </row>
    <row r="48" spans="1:3" s="237" customFormat="1" ht="29.25" customHeight="1">
      <c r="A48" s="232" t="s">
        <v>846</v>
      </c>
      <c r="B48" s="232" t="s">
        <v>793</v>
      </c>
      <c r="C48" s="233" t="s">
        <v>794</v>
      </c>
    </row>
    <row r="49" spans="1:3" s="237" customFormat="1" ht="38.25" customHeight="1">
      <c r="A49" s="263" t="s">
        <v>848</v>
      </c>
      <c r="B49" s="264"/>
      <c r="C49" s="235" t="s">
        <v>849</v>
      </c>
    </row>
    <row r="50" spans="1:3" s="237" customFormat="1" ht="46.5" customHeight="1">
      <c r="A50" s="232" t="s">
        <v>848</v>
      </c>
      <c r="B50" s="232" t="s">
        <v>801</v>
      </c>
      <c r="C50" s="233" t="s">
        <v>850</v>
      </c>
    </row>
    <row r="51" spans="1:3" s="237" customFormat="1" ht="33" customHeight="1">
      <c r="A51" s="232" t="s">
        <v>848</v>
      </c>
      <c r="B51" s="232" t="s">
        <v>851</v>
      </c>
      <c r="C51" s="233" t="s">
        <v>852</v>
      </c>
    </row>
    <row r="52" spans="1:3" s="237" customFormat="1" ht="29.25" customHeight="1">
      <c r="A52" s="232" t="s">
        <v>848</v>
      </c>
      <c r="B52" s="232" t="s">
        <v>811</v>
      </c>
      <c r="C52" s="234" t="s">
        <v>853</v>
      </c>
    </row>
    <row r="53" spans="1:3" s="237" customFormat="1" ht="52.5" customHeight="1">
      <c r="A53" s="232" t="s">
        <v>848</v>
      </c>
      <c r="B53" s="232" t="s">
        <v>854</v>
      </c>
      <c r="C53" s="233" t="s">
        <v>855</v>
      </c>
    </row>
    <row r="54" spans="1:3" s="237" customFormat="1" ht="29.25" customHeight="1">
      <c r="A54" s="232" t="s">
        <v>848</v>
      </c>
      <c r="B54" s="232" t="s">
        <v>793</v>
      </c>
      <c r="C54" s="233" t="s">
        <v>794</v>
      </c>
    </row>
    <row r="55" spans="1:3" s="237" customFormat="1" ht="27" customHeight="1">
      <c r="A55" s="263" t="s">
        <v>856</v>
      </c>
      <c r="B55" s="264"/>
      <c r="C55" s="235" t="s">
        <v>857</v>
      </c>
    </row>
    <row r="56" spans="1:3" s="237" customFormat="1" ht="29.25" customHeight="1">
      <c r="A56" s="232" t="s">
        <v>856</v>
      </c>
      <c r="B56" s="232" t="s">
        <v>793</v>
      </c>
      <c r="C56" s="233" t="s">
        <v>794</v>
      </c>
    </row>
    <row r="57" spans="1:3" s="237" customFormat="1" ht="27" customHeight="1">
      <c r="A57" s="263" t="s">
        <v>858</v>
      </c>
      <c r="B57" s="264"/>
      <c r="C57" s="235" t="s">
        <v>859</v>
      </c>
    </row>
    <row r="58" spans="1:3" s="237" customFormat="1" ht="65.25" customHeight="1">
      <c r="A58" s="232" t="s">
        <v>858</v>
      </c>
      <c r="B58" s="232" t="s">
        <v>827</v>
      </c>
      <c r="C58" s="236" t="s">
        <v>860</v>
      </c>
    </row>
    <row r="59" spans="1:3" s="237" customFormat="1" ht="45" customHeight="1">
      <c r="A59" s="263" t="s">
        <v>861</v>
      </c>
      <c r="B59" s="264"/>
      <c r="C59" s="235" t="s">
        <v>862</v>
      </c>
    </row>
    <row r="60" spans="1:3" s="237" customFormat="1" ht="29.25" customHeight="1">
      <c r="A60" s="232" t="s">
        <v>861</v>
      </c>
      <c r="B60" s="232" t="s">
        <v>793</v>
      </c>
      <c r="C60" s="233" t="s">
        <v>794</v>
      </c>
    </row>
    <row r="61" spans="1:3" s="237" customFormat="1" ht="23.25" customHeight="1">
      <c r="A61" s="263" t="s">
        <v>863</v>
      </c>
      <c r="B61" s="264"/>
      <c r="C61" s="235" t="s">
        <v>864</v>
      </c>
    </row>
    <row r="62" spans="1:3" s="237" customFormat="1" ht="29.25" customHeight="1">
      <c r="A62" s="232" t="s">
        <v>863</v>
      </c>
      <c r="B62" s="232" t="s">
        <v>865</v>
      </c>
      <c r="C62" s="233" t="s">
        <v>866</v>
      </c>
    </row>
    <row r="63" spans="1:3" s="237" customFormat="1" ht="29.25" customHeight="1">
      <c r="A63" s="232" t="s">
        <v>863</v>
      </c>
      <c r="B63" s="232" t="s">
        <v>867</v>
      </c>
      <c r="C63" s="233" t="s">
        <v>868</v>
      </c>
    </row>
    <row r="64" spans="1:3" s="237" customFormat="1" ht="29.25" customHeight="1">
      <c r="A64" s="232" t="s">
        <v>863</v>
      </c>
      <c r="B64" s="232" t="s">
        <v>869</v>
      </c>
      <c r="C64" s="233" t="s">
        <v>870</v>
      </c>
    </row>
    <row r="65" spans="1:3" s="237" customFormat="1" ht="29.25" customHeight="1">
      <c r="A65" s="232" t="s">
        <v>863</v>
      </c>
      <c r="B65" s="232" t="s">
        <v>871</v>
      </c>
      <c r="C65" s="233" t="s">
        <v>872</v>
      </c>
    </row>
    <row r="66" spans="1:3" s="237" customFormat="1" ht="29.25" customHeight="1">
      <c r="A66" s="232" t="s">
        <v>863</v>
      </c>
      <c r="B66" s="232" t="s">
        <v>873</v>
      </c>
      <c r="C66" s="233" t="s">
        <v>874</v>
      </c>
    </row>
    <row r="67" spans="1:3" s="237" customFormat="1" ht="29.25" customHeight="1">
      <c r="A67" s="232" t="s">
        <v>863</v>
      </c>
      <c r="B67" s="232" t="s">
        <v>875</v>
      </c>
      <c r="C67" s="233" t="s">
        <v>876</v>
      </c>
    </row>
    <row r="68" spans="1:3" s="237" customFormat="1" ht="29.25" customHeight="1">
      <c r="A68" s="232" t="s">
        <v>863</v>
      </c>
      <c r="B68" s="232" t="s">
        <v>877</v>
      </c>
      <c r="C68" s="233" t="s">
        <v>878</v>
      </c>
    </row>
    <row r="69" spans="1:3" s="237" customFormat="1" ht="29.25" customHeight="1">
      <c r="A69" s="232" t="s">
        <v>863</v>
      </c>
      <c r="B69" s="232" t="s">
        <v>879</v>
      </c>
      <c r="C69" s="233" t="s">
        <v>880</v>
      </c>
    </row>
    <row r="70" spans="1:3" s="237" customFormat="1" ht="39.75" customHeight="1">
      <c r="A70" s="232" t="s">
        <v>863</v>
      </c>
      <c r="B70" s="232" t="s">
        <v>881</v>
      </c>
      <c r="C70" s="233" t="s">
        <v>882</v>
      </c>
    </row>
    <row r="71" spans="1:3" s="237" customFormat="1" ht="59.25" customHeight="1">
      <c r="A71" s="232" t="s">
        <v>863</v>
      </c>
      <c r="B71" s="232" t="s">
        <v>883</v>
      </c>
      <c r="C71" s="233" t="s">
        <v>884</v>
      </c>
    </row>
    <row r="72" spans="1:3" s="237" customFormat="1" ht="51.75" customHeight="1">
      <c r="A72" s="232" t="s">
        <v>863</v>
      </c>
      <c r="B72" s="232" t="s">
        <v>885</v>
      </c>
      <c r="C72" s="233" t="s">
        <v>886</v>
      </c>
    </row>
    <row r="73" spans="1:3" s="237" customFormat="1" ht="57" customHeight="1">
      <c r="A73" s="232" t="s">
        <v>863</v>
      </c>
      <c r="B73" s="232" t="s">
        <v>887</v>
      </c>
      <c r="C73" s="233" t="s">
        <v>888</v>
      </c>
    </row>
    <row r="74" spans="1:3" s="237" customFormat="1" ht="36" customHeight="1">
      <c r="A74" s="258">
        <v>188</v>
      </c>
      <c r="B74" s="259"/>
      <c r="C74" s="235" t="s">
        <v>889</v>
      </c>
    </row>
    <row r="75" spans="1:3" ht="29.25" customHeight="1">
      <c r="A75" s="228">
        <v>188</v>
      </c>
      <c r="B75" s="239" t="s">
        <v>890</v>
      </c>
      <c r="C75" s="233" t="s">
        <v>891</v>
      </c>
    </row>
    <row r="76" spans="1:3" ht="45" customHeight="1">
      <c r="A76" s="228">
        <v>188</v>
      </c>
      <c r="B76" s="234" t="s">
        <v>801</v>
      </c>
      <c r="C76" s="233" t="s">
        <v>850</v>
      </c>
    </row>
    <row r="77" spans="1:3" ht="45" customHeight="1">
      <c r="A77" s="228">
        <v>188</v>
      </c>
      <c r="B77" s="234" t="s">
        <v>892</v>
      </c>
      <c r="C77" s="234" t="s">
        <v>893</v>
      </c>
    </row>
    <row r="78" spans="1:3" ht="37.5" customHeight="1">
      <c r="A78" s="228">
        <v>188</v>
      </c>
      <c r="B78" s="232" t="s">
        <v>811</v>
      </c>
      <c r="C78" s="234" t="s">
        <v>853</v>
      </c>
    </row>
    <row r="79" spans="1:3" ht="45.75" customHeight="1">
      <c r="A79" s="228">
        <v>188</v>
      </c>
      <c r="B79" s="232" t="s">
        <v>894</v>
      </c>
      <c r="C79" s="233" t="s">
        <v>895</v>
      </c>
    </row>
    <row r="80" spans="1:3" ht="29.25" customHeight="1">
      <c r="A80" s="228">
        <v>188</v>
      </c>
      <c r="B80" s="234" t="s">
        <v>896</v>
      </c>
      <c r="C80" s="233" t="s">
        <v>897</v>
      </c>
    </row>
    <row r="81" spans="1:3" ht="66.75" customHeight="1">
      <c r="A81" s="228">
        <v>188</v>
      </c>
      <c r="B81" s="232" t="s">
        <v>898</v>
      </c>
      <c r="C81" s="233" t="s">
        <v>899</v>
      </c>
    </row>
    <row r="82" spans="1:3" ht="29.25" customHeight="1">
      <c r="A82" s="228">
        <v>188</v>
      </c>
      <c r="B82" s="232" t="s">
        <v>793</v>
      </c>
      <c r="C82" s="233" t="s">
        <v>794</v>
      </c>
    </row>
    <row r="83" spans="1:3" ht="29.25" customHeight="1" hidden="1">
      <c r="A83" s="258">
        <v>192</v>
      </c>
      <c r="B83" s="259"/>
      <c r="C83" s="235" t="s">
        <v>900</v>
      </c>
    </row>
    <row r="84" spans="1:3" ht="29.25" customHeight="1" hidden="1">
      <c r="A84" s="228">
        <v>192</v>
      </c>
      <c r="B84" s="239" t="s">
        <v>890</v>
      </c>
      <c r="C84" s="233" t="s">
        <v>901</v>
      </c>
    </row>
    <row r="85" spans="1:3" s="237" customFormat="1" ht="24" customHeight="1">
      <c r="A85" s="258">
        <v>283</v>
      </c>
      <c r="B85" s="259"/>
      <c r="C85" s="235" t="s">
        <v>238</v>
      </c>
    </row>
    <row r="86" spans="1:3" ht="34.5" customHeight="1">
      <c r="A86" s="228">
        <v>283</v>
      </c>
      <c r="B86" s="232" t="s">
        <v>902</v>
      </c>
      <c r="C86" s="233" t="s">
        <v>903</v>
      </c>
    </row>
    <row r="87" spans="1:3" ht="66" customHeight="1">
      <c r="A87" s="228">
        <v>283</v>
      </c>
      <c r="B87" s="232" t="s">
        <v>904</v>
      </c>
      <c r="C87" s="233" t="s">
        <v>905</v>
      </c>
    </row>
    <row r="88" spans="1:3" ht="49.5" customHeight="1">
      <c r="A88" s="228">
        <v>283</v>
      </c>
      <c r="B88" s="232" t="s">
        <v>906</v>
      </c>
      <c r="C88" s="233" t="s">
        <v>907</v>
      </c>
    </row>
    <row r="89" spans="1:3" ht="36" customHeight="1">
      <c r="A89" s="228">
        <v>283</v>
      </c>
      <c r="B89" s="232" t="s">
        <v>908</v>
      </c>
      <c r="C89" s="233" t="s">
        <v>909</v>
      </c>
    </row>
    <row r="90" spans="1:3" ht="66.75" customHeight="1">
      <c r="A90" s="228">
        <v>283</v>
      </c>
      <c r="B90" s="232" t="s">
        <v>910</v>
      </c>
      <c r="C90" s="240" t="s">
        <v>911</v>
      </c>
    </row>
    <row r="91" spans="1:3" ht="64.5" customHeight="1">
      <c r="A91" s="228">
        <v>283</v>
      </c>
      <c r="B91" s="232" t="s">
        <v>912</v>
      </c>
      <c r="C91" s="240" t="s">
        <v>913</v>
      </c>
    </row>
    <row r="92" spans="1:3" ht="49.5" customHeight="1">
      <c r="A92" s="228">
        <v>283</v>
      </c>
      <c r="B92" s="232" t="s">
        <v>914</v>
      </c>
      <c r="C92" s="238" t="s">
        <v>915</v>
      </c>
    </row>
    <row r="93" spans="1:3" ht="54" customHeight="1">
      <c r="A93" s="227">
        <v>283</v>
      </c>
      <c r="B93" s="241" t="s">
        <v>916</v>
      </c>
      <c r="C93" s="242" t="s">
        <v>917</v>
      </c>
    </row>
    <row r="94" spans="1:3" ht="37.5" customHeight="1">
      <c r="A94" s="227">
        <v>283</v>
      </c>
      <c r="B94" s="241" t="s">
        <v>918</v>
      </c>
      <c r="C94" s="243" t="s">
        <v>919</v>
      </c>
    </row>
    <row r="95" spans="1:3" ht="60" customHeight="1">
      <c r="A95" s="228">
        <v>283</v>
      </c>
      <c r="B95" s="232" t="s">
        <v>920</v>
      </c>
      <c r="C95" s="240" t="s">
        <v>921</v>
      </c>
    </row>
    <row r="96" spans="1:3" ht="79.5" customHeight="1">
      <c r="A96" s="228">
        <v>283</v>
      </c>
      <c r="B96" s="232" t="s">
        <v>922</v>
      </c>
      <c r="C96" s="240" t="s">
        <v>923</v>
      </c>
    </row>
    <row r="97" spans="1:3" ht="70.5" customHeight="1">
      <c r="A97" s="228">
        <v>283</v>
      </c>
      <c r="B97" s="232" t="s">
        <v>924</v>
      </c>
      <c r="C97" s="240" t="s">
        <v>925</v>
      </c>
    </row>
    <row r="98" spans="1:3" ht="54.75" customHeight="1">
      <c r="A98" s="228">
        <v>283</v>
      </c>
      <c r="B98" s="232" t="s">
        <v>926</v>
      </c>
      <c r="C98" s="233" t="s">
        <v>927</v>
      </c>
    </row>
    <row r="99" spans="1:3" ht="66.75" customHeight="1">
      <c r="A99" s="229">
        <v>283</v>
      </c>
      <c r="B99" s="244" t="s">
        <v>928</v>
      </c>
      <c r="C99" s="245" t="s">
        <v>929</v>
      </c>
    </row>
    <row r="100" spans="1:3" ht="40.5" customHeight="1">
      <c r="A100" s="228">
        <v>283</v>
      </c>
      <c r="B100" s="232" t="s">
        <v>930</v>
      </c>
      <c r="C100" s="233" t="s">
        <v>931</v>
      </c>
    </row>
    <row r="101" spans="1:3" ht="61.5" customHeight="1">
      <c r="A101" s="228">
        <v>283</v>
      </c>
      <c r="B101" s="232" t="s">
        <v>932</v>
      </c>
      <c r="C101" s="233" t="s">
        <v>933</v>
      </c>
    </row>
    <row r="102" spans="1:3" ht="45">
      <c r="A102" s="228">
        <v>283</v>
      </c>
      <c r="B102" s="232" t="s">
        <v>934</v>
      </c>
      <c r="C102" s="238" t="s">
        <v>935</v>
      </c>
    </row>
    <row r="103" spans="1:3" ht="27.75" customHeight="1">
      <c r="A103" s="228">
        <v>283</v>
      </c>
      <c r="B103" s="232" t="s">
        <v>936</v>
      </c>
      <c r="C103" s="233" t="s">
        <v>937</v>
      </c>
    </row>
    <row r="104" spans="1:3" ht="60.75" customHeight="1">
      <c r="A104" s="228">
        <v>283</v>
      </c>
      <c r="B104" s="232" t="s">
        <v>938</v>
      </c>
      <c r="C104" s="240" t="s">
        <v>939</v>
      </c>
    </row>
    <row r="105" spans="1:3" ht="66" customHeight="1">
      <c r="A105" s="228">
        <v>283</v>
      </c>
      <c r="B105" s="232" t="s">
        <v>940</v>
      </c>
      <c r="C105" s="240" t="s">
        <v>941</v>
      </c>
    </row>
    <row r="106" spans="1:3" ht="36" customHeight="1">
      <c r="A106" s="228">
        <v>283</v>
      </c>
      <c r="B106" s="232" t="s">
        <v>942</v>
      </c>
      <c r="C106" s="233" t="s">
        <v>943</v>
      </c>
    </row>
    <row r="107" spans="1:3" ht="35.25" customHeight="1">
      <c r="A107" s="228">
        <v>283</v>
      </c>
      <c r="B107" s="232" t="s">
        <v>944</v>
      </c>
      <c r="C107" s="233" t="s">
        <v>945</v>
      </c>
    </row>
    <row r="108" spans="1:3" ht="51.75" customHeight="1">
      <c r="A108" s="228">
        <v>283</v>
      </c>
      <c r="B108" s="232" t="s">
        <v>946</v>
      </c>
      <c r="C108" s="233" t="s">
        <v>947</v>
      </c>
    </row>
    <row r="109" spans="1:3" ht="69" customHeight="1">
      <c r="A109" s="228">
        <v>283</v>
      </c>
      <c r="B109" s="232" t="s">
        <v>948</v>
      </c>
      <c r="C109" s="233" t="s">
        <v>949</v>
      </c>
    </row>
    <row r="110" spans="1:3" ht="54.75" customHeight="1">
      <c r="A110" s="228">
        <v>283</v>
      </c>
      <c r="B110" s="232" t="s">
        <v>950</v>
      </c>
      <c r="C110" s="233" t="s">
        <v>951</v>
      </c>
    </row>
    <row r="111" spans="1:3" ht="60">
      <c r="A111" s="228">
        <v>283</v>
      </c>
      <c r="B111" s="232" t="s">
        <v>952</v>
      </c>
      <c r="C111" s="233" t="s">
        <v>953</v>
      </c>
    </row>
    <row r="112" spans="1:3" ht="65.25" customHeight="1">
      <c r="A112" s="228">
        <v>283</v>
      </c>
      <c r="B112" s="232" t="s">
        <v>954</v>
      </c>
      <c r="C112" s="233" t="s">
        <v>955</v>
      </c>
    </row>
    <row r="113" spans="1:3" ht="49.5" customHeight="1">
      <c r="A113" s="228">
        <v>283</v>
      </c>
      <c r="B113" s="232" t="s">
        <v>956</v>
      </c>
      <c r="C113" s="233" t="s">
        <v>957</v>
      </c>
    </row>
    <row r="114" spans="1:3" ht="30" customHeight="1">
      <c r="A114" s="228">
        <v>283</v>
      </c>
      <c r="B114" s="232" t="s">
        <v>958</v>
      </c>
      <c r="C114" s="233" t="s">
        <v>959</v>
      </c>
    </row>
    <row r="115" spans="1:3" ht="50.25" customHeight="1">
      <c r="A115" s="228">
        <v>283</v>
      </c>
      <c r="B115" s="232" t="s">
        <v>960</v>
      </c>
      <c r="C115" s="233" t="s">
        <v>961</v>
      </c>
    </row>
    <row r="116" spans="1:3" ht="29.25" customHeight="1">
      <c r="A116" s="228">
        <v>283</v>
      </c>
      <c r="B116" s="232" t="s">
        <v>962</v>
      </c>
      <c r="C116" s="238" t="s">
        <v>963</v>
      </c>
    </row>
    <row r="117" spans="1:3" ht="31.5" customHeight="1">
      <c r="A117" s="227">
        <v>283</v>
      </c>
      <c r="B117" s="203" t="s">
        <v>964</v>
      </c>
      <c r="C117" s="204" t="s">
        <v>965</v>
      </c>
    </row>
    <row r="118" spans="1:3" ht="51.75" customHeight="1">
      <c r="A118" s="227">
        <v>283</v>
      </c>
      <c r="B118" s="203" t="s">
        <v>1163</v>
      </c>
      <c r="C118" s="204" t="s">
        <v>1164</v>
      </c>
    </row>
    <row r="119" spans="1:3" ht="61.5" customHeight="1">
      <c r="A119" s="228">
        <v>283</v>
      </c>
      <c r="B119" s="232" t="s">
        <v>966</v>
      </c>
      <c r="C119" s="233" t="s">
        <v>967</v>
      </c>
    </row>
    <row r="120" spans="1:4" ht="81" customHeight="1">
      <c r="A120" s="246">
        <v>283</v>
      </c>
      <c r="B120" s="205" t="s">
        <v>968</v>
      </c>
      <c r="C120" s="206" t="s">
        <v>969</v>
      </c>
      <c r="D120" s="247"/>
    </row>
    <row r="121" spans="1:3" ht="30" customHeight="1">
      <c r="A121" s="246">
        <v>283</v>
      </c>
      <c r="B121" s="205" t="s">
        <v>970</v>
      </c>
      <c r="C121" s="206" t="s">
        <v>971</v>
      </c>
    </row>
    <row r="122" spans="1:3" ht="62.25" customHeight="1">
      <c r="A122" s="246">
        <v>283</v>
      </c>
      <c r="B122" s="205" t="s">
        <v>972</v>
      </c>
      <c r="C122" s="206" t="s">
        <v>973</v>
      </c>
    </row>
    <row r="123" spans="1:3" ht="47.25" customHeight="1">
      <c r="A123" s="228">
        <v>283</v>
      </c>
      <c r="B123" s="232" t="s">
        <v>974</v>
      </c>
      <c r="C123" s="233" t="s">
        <v>975</v>
      </c>
    </row>
    <row r="124" spans="1:3" ht="30.75" customHeight="1">
      <c r="A124" s="228">
        <v>283</v>
      </c>
      <c r="B124" s="232" t="s">
        <v>1165</v>
      </c>
      <c r="C124" s="238" t="s">
        <v>1166</v>
      </c>
    </row>
    <row r="125" spans="1:3" ht="59.25" customHeight="1">
      <c r="A125" s="228">
        <v>283</v>
      </c>
      <c r="B125" s="232" t="s">
        <v>1167</v>
      </c>
      <c r="C125" s="238" t="s">
        <v>1168</v>
      </c>
    </row>
    <row r="126" spans="1:3" ht="48.75" customHeight="1">
      <c r="A126" s="228">
        <v>283</v>
      </c>
      <c r="B126" s="232" t="s">
        <v>976</v>
      </c>
      <c r="C126" s="238" t="s">
        <v>977</v>
      </c>
    </row>
    <row r="127" spans="1:3" ht="52.5" customHeight="1">
      <c r="A127" s="228">
        <v>283</v>
      </c>
      <c r="B127" s="232" t="s">
        <v>978</v>
      </c>
      <c r="C127" s="233" t="s">
        <v>979</v>
      </c>
    </row>
    <row r="128" spans="1:3" ht="49.5" customHeight="1">
      <c r="A128" s="228">
        <v>283</v>
      </c>
      <c r="B128" s="232" t="s">
        <v>980</v>
      </c>
      <c r="C128" s="233" t="s">
        <v>981</v>
      </c>
    </row>
    <row r="129" spans="1:3" ht="30" customHeight="1">
      <c r="A129" s="228">
        <v>283</v>
      </c>
      <c r="B129" s="232" t="s">
        <v>982</v>
      </c>
      <c r="C129" s="233" t="s">
        <v>983</v>
      </c>
    </row>
    <row r="130" spans="1:3" ht="35.25" customHeight="1">
      <c r="A130" s="228">
        <v>283</v>
      </c>
      <c r="B130" s="232" t="s">
        <v>984</v>
      </c>
      <c r="C130" s="233" t="s">
        <v>985</v>
      </c>
    </row>
    <row r="131" spans="1:3" s="237" customFormat="1" ht="42" customHeight="1">
      <c r="A131" s="258">
        <v>284</v>
      </c>
      <c r="B131" s="259"/>
      <c r="C131" s="230" t="s">
        <v>986</v>
      </c>
    </row>
    <row r="132" spans="1:3" ht="46.5" customHeight="1">
      <c r="A132" s="228">
        <v>284</v>
      </c>
      <c r="B132" s="232" t="s">
        <v>987</v>
      </c>
      <c r="C132" s="233" t="s">
        <v>988</v>
      </c>
    </row>
    <row r="133" spans="1:3" ht="37.5" customHeight="1">
      <c r="A133" s="228">
        <v>284</v>
      </c>
      <c r="B133" s="232" t="s">
        <v>989</v>
      </c>
      <c r="C133" s="233" t="s">
        <v>990</v>
      </c>
    </row>
    <row r="134" spans="1:3" ht="33" customHeight="1">
      <c r="A134" s="228">
        <v>284</v>
      </c>
      <c r="B134" s="232" t="s">
        <v>991</v>
      </c>
      <c r="C134" s="234" t="s">
        <v>992</v>
      </c>
    </row>
    <row r="135" spans="1:3" ht="30" customHeight="1">
      <c r="A135" s="228">
        <v>284</v>
      </c>
      <c r="B135" s="232" t="s">
        <v>993</v>
      </c>
      <c r="C135" s="233" t="s">
        <v>994</v>
      </c>
    </row>
    <row r="136" spans="1:3" ht="78" customHeight="1">
      <c r="A136" s="228">
        <v>284</v>
      </c>
      <c r="B136" s="232" t="s">
        <v>995</v>
      </c>
      <c r="C136" s="233" t="s">
        <v>996</v>
      </c>
    </row>
    <row r="137" spans="1:3" s="237" customFormat="1" ht="30.75" customHeight="1">
      <c r="A137" s="263" t="s">
        <v>15</v>
      </c>
      <c r="B137" s="264"/>
      <c r="C137" s="230" t="s">
        <v>997</v>
      </c>
    </row>
    <row r="138" spans="1:3" ht="50.25" customHeight="1">
      <c r="A138" s="228">
        <v>285</v>
      </c>
      <c r="B138" s="232" t="s">
        <v>998</v>
      </c>
      <c r="C138" s="233" t="s">
        <v>999</v>
      </c>
    </row>
    <row r="139" spans="1:3" ht="30.75" customHeight="1">
      <c r="A139" s="228">
        <v>285</v>
      </c>
      <c r="B139" s="232" t="s">
        <v>1000</v>
      </c>
      <c r="C139" s="233" t="s">
        <v>1001</v>
      </c>
    </row>
    <row r="140" spans="1:3" ht="32.25" customHeight="1">
      <c r="A140" s="228">
        <v>285</v>
      </c>
      <c r="B140" s="232" t="s">
        <v>1002</v>
      </c>
      <c r="C140" s="233" t="s">
        <v>1003</v>
      </c>
    </row>
    <row r="141" spans="1:3" ht="49.5" customHeight="1">
      <c r="A141" s="228">
        <v>285</v>
      </c>
      <c r="B141" s="239" t="s">
        <v>1004</v>
      </c>
      <c r="C141" s="233" t="s">
        <v>1005</v>
      </c>
    </row>
    <row r="142" spans="1:3" ht="45.75" customHeight="1">
      <c r="A142" s="228">
        <v>285</v>
      </c>
      <c r="B142" s="232" t="s">
        <v>1006</v>
      </c>
      <c r="C142" s="233" t="s">
        <v>1007</v>
      </c>
    </row>
    <row r="143" spans="1:3" ht="39.75" customHeight="1">
      <c r="A143" s="228">
        <v>285</v>
      </c>
      <c r="B143" s="232" t="s">
        <v>1008</v>
      </c>
      <c r="C143" s="233" t="s">
        <v>1009</v>
      </c>
    </row>
    <row r="144" spans="1:3" ht="45" customHeight="1">
      <c r="A144" s="228">
        <v>285</v>
      </c>
      <c r="B144" s="232" t="s">
        <v>1010</v>
      </c>
      <c r="C144" s="233" t="s">
        <v>1011</v>
      </c>
    </row>
    <row r="145" spans="1:3" ht="78" customHeight="1">
      <c r="A145" s="228">
        <v>285</v>
      </c>
      <c r="B145" s="232" t="s">
        <v>1012</v>
      </c>
      <c r="C145" s="240" t="s">
        <v>1013</v>
      </c>
    </row>
    <row r="146" spans="1:3" ht="49.5" customHeight="1">
      <c r="A146" s="228">
        <v>285</v>
      </c>
      <c r="B146" s="239" t="s">
        <v>1014</v>
      </c>
      <c r="C146" s="233" t="s">
        <v>1015</v>
      </c>
    </row>
    <row r="147" spans="1:3" ht="35.25" customHeight="1">
      <c r="A147" s="258">
        <v>287</v>
      </c>
      <c r="B147" s="259"/>
      <c r="C147" s="235" t="s">
        <v>676</v>
      </c>
    </row>
    <row r="148" spans="1:3" ht="35.25" customHeight="1">
      <c r="A148" s="228">
        <v>287</v>
      </c>
      <c r="B148" s="232" t="s">
        <v>1169</v>
      </c>
      <c r="C148" s="248" t="s">
        <v>1170</v>
      </c>
    </row>
    <row r="149" spans="1:3" ht="52.5" customHeight="1">
      <c r="A149" s="228">
        <v>287</v>
      </c>
      <c r="B149" s="232" t="s">
        <v>1016</v>
      </c>
      <c r="C149" s="233" t="s">
        <v>1017</v>
      </c>
    </row>
    <row r="150" spans="1:3" ht="52.5" customHeight="1">
      <c r="A150" s="228">
        <v>287</v>
      </c>
      <c r="B150" s="232" t="s">
        <v>1018</v>
      </c>
      <c r="C150" s="233" t="s">
        <v>1019</v>
      </c>
    </row>
    <row r="151" spans="1:3" s="237" customFormat="1" ht="31.5" customHeight="1">
      <c r="A151" s="258">
        <v>288</v>
      </c>
      <c r="B151" s="259"/>
      <c r="C151" s="235" t="s">
        <v>1020</v>
      </c>
    </row>
    <row r="152" spans="1:3" s="252" customFormat="1" ht="52.5" customHeight="1">
      <c r="A152" s="249">
        <v>288</v>
      </c>
      <c r="B152" s="250" t="s">
        <v>916</v>
      </c>
      <c r="C152" s="251" t="s">
        <v>1021</v>
      </c>
    </row>
    <row r="153" spans="1:3" ht="35.25" customHeight="1">
      <c r="A153" s="228">
        <v>288</v>
      </c>
      <c r="B153" s="232" t="s">
        <v>1022</v>
      </c>
      <c r="C153" s="238" t="s">
        <v>1023</v>
      </c>
    </row>
    <row r="154" spans="1:3" s="237" customFormat="1" ht="48.75" customHeight="1">
      <c r="A154" s="228">
        <v>288</v>
      </c>
      <c r="B154" s="232" t="s">
        <v>1024</v>
      </c>
      <c r="C154" s="233" t="s">
        <v>1025</v>
      </c>
    </row>
    <row r="155" spans="1:3" ht="37.5" customHeight="1">
      <c r="A155" s="228">
        <v>288</v>
      </c>
      <c r="B155" s="232" t="s">
        <v>1026</v>
      </c>
      <c r="C155" s="233" t="s">
        <v>1027</v>
      </c>
    </row>
    <row r="156" spans="1:3" ht="63" customHeight="1">
      <c r="A156" s="228">
        <v>288</v>
      </c>
      <c r="B156" s="232" t="s">
        <v>1028</v>
      </c>
      <c r="C156" s="233" t="s">
        <v>1029</v>
      </c>
    </row>
    <row r="157" spans="1:3" s="237" customFormat="1" ht="33" customHeight="1">
      <c r="A157" s="258">
        <v>289</v>
      </c>
      <c r="B157" s="259"/>
      <c r="C157" s="235" t="s">
        <v>1030</v>
      </c>
    </row>
    <row r="158" spans="1:3" ht="34.5" customHeight="1">
      <c r="A158" s="228">
        <v>289</v>
      </c>
      <c r="B158" s="253" t="s">
        <v>1031</v>
      </c>
      <c r="C158" s="233" t="s">
        <v>1032</v>
      </c>
    </row>
    <row r="159" spans="1:3" ht="62.25" customHeight="1">
      <c r="A159" s="228">
        <v>289</v>
      </c>
      <c r="B159" s="254" t="s">
        <v>1033</v>
      </c>
      <c r="C159" s="233" t="s">
        <v>1034</v>
      </c>
    </row>
    <row r="160" spans="1:3" ht="53.25" customHeight="1">
      <c r="A160" s="228">
        <v>289</v>
      </c>
      <c r="B160" s="254" t="s">
        <v>1035</v>
      </c>
      <c r="C160" s="233" t="s">
        <v>1036</v>
      </c>
    </row>
    <row r="161" spans="1:3" s="237" customFormat="1" ht="26.25" customHeight="1">
      <c r="A161" s="258">
        <v>291</v>
      </c>
      <c r="B161" s="259"/>
      <c r="C161" s="235" t="s">
        <v>1037</v>
      </c>
    </row>
    <row r="162" spans="1:3" s="237" customFormat="1" ht="27.75" customHeight="1">
      <c r="A162" s="258">
        <v>292</v>
      </c>
      <c r="B162" s="259"/>
      <c r="C162" s="230" t="s">
        <v>1038</v>
      </c>
    </row>
    <row r="163" spans="1:3" s="237" customFormat="1" ht="27.75" customHeight="1">
      <c r="A163" s="258">
        <v>318</v>
      </c>
      <c r="B163" s="259"/>
      <c r="C163" s="230" t="s">
        <v>1210</v>
      </c>
    </row>
    <row r="164" spans="1:3" s="237" customFormat="1" ht="32.25" customHeight="1">
      <c r="A164" s="228">
        <v>318</v>
      </c>
      <c r="B164" s="232" t="s">
        <v>793</v>
      </c>
      <c r="C164" s="233" t="s">
        <v>794</v>
      </c>
    </row>
    <row r="165" spans="1:3" s="237" customFormat="1" ht="32.25" customHeight="1">
      <c r="A165" s="258">
        <v>321</v>
      </c>
      <c r="B165" s="259"/>
      <c r="C165" s="230" t="s">
        <v>1039</v>
      </c>
    </row>
    <row r="166" spans="1:3" s="237" customFormat="1" ht="32.25" customHeight="1">
      <c r="A166" s="228">
        <v>321</v>
      </c>
      <c r="B166" s="234" t="s">
        <v>1040</v>
      </c>
      <c r="C166" s="234" t="s">
        <v>1041</v>
      </c>
    </row>
    <row r="167" spans="1:3" s="237" customFormat="1" ht="27.75" customHeight="1">
      <c r="A167" s="226">
        <v>321</v>
      </c>
      <c r="B167" s="232" t="s">
        <v>1042</v>
      </c>
      <c r="C167" s="234" t="s">
        <v>1043</v>
      </c>
    </row>
    <row r="168" spans="1:3" s="237" customFormat="1" ht="65.25" customHeight="1">
      <c r="A168" s="226">
        <v>321</v>
      </c>
      <c r="B168" s="232" t="s">
        <v>898</v>
      </c>
      <c r="C168" s="233" t="s">
        <v>899</v>
      </c>
    </row>
    <row r="169" spans="1:3" s="237" customFormat="1" ht="32.25" customHeight="1">
      <c r="A169" s="258">
        <v>322</v>
      </c>
      <c r="B169" s="259"/>
      <c r="C169" s="230" t="s">
        <v>1044</v>
      </c>
    </row>
    <row r="170" spans="1:3" ht="48.75" customHeight="1">
      <c r="A170" s="226">
        <v>322</v>
      </c>
      <c r="B170" s="234" t="s">
        <v>892</v>
      </c>
      <c r="C170" s="234" t="s">
        <v>1045</v>
      </c>
    </row>
    <row r="171" spans="1:3" s="237" customFormat="1" ht="35.25" customHeight="1">
      <c r="A171" s="258">
        <v>388</v>
      </c>
      <c r="B171" s="259"/>
      <c r="C171" s="230" t="s">
        <v>1046</v>
      </c>
    </row>
    <row r="172" spans="1:3" ht="51" customHeight="1">
      <c r="A172" s="226">
        <v>388</v>
      </c>
      <c r="B172" s="234" t="s">
        <v>854</v>
      </c>
      <c r="C172" s="234" t="s">
        <v>855</v>
      </c>
    </row>
    <row r="173" spans="1:3" s="237" customFormat="1" ht="24" customHeight="1">
      <c r="A173" s="258">
        <v>415</v>
      </c>
      <c r="B173" s="259"/>
      <c r="C173" s="230" t="s">
        <v>1047</v>
      </c>
    </row>
    <row r="174" spans="1:3" ht="36" customHeight="1">
      <c r="A174" s="226">
        <v>415</v>
      </c>
      <c r="B174" s="232" t="s">
        <v>793</v>
      </c>
      <c r="C174" s="233" t="s">
        <v>794</v>
      </c>
    </row>
    <row r="175" spans="1:3" ht="57">
      <c r="A175" s="260"/>
      <c r="B175" s="261"/>
      <c r="C175" s="255" t="s">
        <v>1048</v>
      </c>
    </row>
    <row r="176" spans="1:3" ht="43.5" customHeight="1">
      <c r="A176" s="226"/>
      <c r="B176" s="232" t="s">
        <v>1049</v>
      </c>
      <c r="C176" s="238" t="s">
        <v>1050</v>
      </c>
    </row>
    <row r="177" spans="1:3" ht="30" customHeight="1">
      <c r="A177" s="226"/>
      <c r="B177" s="232" t="s">
        <v>1022</v>
      </c>
      <c r="C177" s="238" t="s">
        <v>1051</v>
      </c>
    </row>
    <row r="178" spans="1:3" ht="30">
      <c r="A178" s="226"/>
      <c r="B178" s="232" t="s">
        <v>1052</v>
      </c>
      <c r="C178" s="238" t="s">
        <v>1053</v>
      </c>
    </row>
    <row r="179" spans="1:3" ht="28.5" customHeight="1">
      <c r="A179" s="226"/>
      <c r="B179" s="232" t="s">
        <v>1054</v>
      </c>
      <c r="C179" s="233" t="s">
        <v>1055</v>
      </c>
    </row>
    <row r="180" spans="1:3" ht="60" customHeight="1">
      <c r="A180" s="226"/>
      <c r="B180" s="232" t="s">
        <v>1056</v>
      </c>
      <c r="C180" s="240" t="s">
        <v>1057</v>
      </c>
    </row>
    <row r="181" spans="1:3" ht="63" customHeight="1">
      <c r="A181" s="226"/>
      <c r="B181" s="232" t="s">
        <v>1058</v>
      </c>
      <c r="C181" s="240" t="s">
        <v>1059</v>
      </c>
    </row>
    <row r="182" spans="1:3" ht="48" customHeight="1">
      <c r="A182" s="226"/>
      <c r="B182" s="232" t="s">
        <v>1060</v>
      </c>
      <c r="C182" s="240" t="s">
        <v>1061</v>
      </c>
    </row>
    <row r="183" spans="1:3" ht="57" customHeight="1">
      <c r="A183" s="228"/>
      <c r="B183" s="232" t="s">
        <v>1062</v>
      </c>
      <c r="C183" s="233" t="s">
        <v>1063</v>
      </c>
    </row>
    <row r="184" spans="1:3" ht="51.75" customHeight="1">
      <c r="A184" s="228"/>
      <c r="B184" s="232" t="s">
        <v>1064</v>
      </c>
      <c r="C184" s="233" t="s">
        <v>1065</v>
      </c>
    </row>
    <row r="185" spans="1:3" ht="35.25" customHeight="1">
      <c r="A185" s="228"/>
      <c r="B185" s="232" t="s">
        <v>1066</v>
      </c>
      <c r="C185" s="233" t="s">
        <v>1067</v>
      </c>
    </row>
    <row r="186" spans="1:3" ht="40.5" customHeight="1">
      <c r="A186" s="226"/>
      <c r="B186" s="232" t="s">
        <v>797</v>
      </c>
      <c r="C186" s="233" t="s">
        <v>1068</v>
      </c>
    </row>
    <row r="187" spans="1:3" ht="51" customHeight="1">
      <c r="A187" s="226"/>
      <c r="B187" s="232" t="s">
        <v>892</v>
      </c>
      <c r="C187" s="233" t="s">
        <v>1069</v>
      </c>
    </row>
    <row r="188" spans="1:3" ht="65.25" customHeight="1">
      <c r="A188" s="226"/>
      <c r="B188" s="232" t="s">
        <v>1070</v>
      </c>
      <c r="C188" s="233" t="s">
        <v>1071</v>
      </c>
    </row>
    <row r="189" spans="1:3" ht="45">
      <c r="A189" s="226"/>
      <c r="B189" s="232" t="s">
        <v>1072</v>
      </c>
      <c r="C189" s="233" t="s">
        <v>1073</v>
      </c>
    </row>
    <row r="190" spans="1:3" ht="45" customHeight="1">
      <c r="A190" s="226"/>
      <c r="B190" s="232" t="s">
        <v>1074</v>
      </c>
      <c r="C190" s="233" t="s">
        <v>1075</v>
      </c>
    </row>
    <row r="191" spans="1:3" ht="48" customHeight="1">
      <c r="A191" s="226"/>
      <c r="B191" s="232" t="s">
        <v>827</v>
      </c>
      <c r="C191" s="233" t="s">
        <v>1076</v>
      </c>
    </row>
    <row r="192" spans="1:3" ht="30">
      <c r="A192" s="226"/>
      <c r="B192" s="232" t="s">
        <v>793</v>
      </c>
      <c r="C192" s="233" t="s">
        <v>1077</v>
      </c>
    </row>
    <row r="193" spans="1:3" ht="23.25" customHeight="1">
      <c r="A193" s="226"/>
      <c r="B193" s="232" t="s">
        <v>1078</v>
      </c>
      <c r="C193" s="233" t="s">
        <v>1079</v>
      </c>
    </row>
    <row r="194" spans="1:3" ht="23.25" customHeight="1">
      <c r="A194" s="226"/>
      <c r="B194" s="232" t="s">
        <v>958</v>
      </c>
      <c r="C194" s="233" t="s">
        <v>1080</v>
      </c>
    </row>
    <row r="195" spans="1:3" ht="23.25" customHeight="1">
      <c r="A195" s="226"/>
      <c r="B195" s="232" t="s">
        <v>1081</v>
      </c>
      <c r="C195" s="233" t="s">
        <v>1082</v>
      </c>
    </row>
    <row r="196" spans="1:3" ht="33.75" customHeight="1">
      <c r="A196" s="226"/>
      <c r="B196" s="232" t="s">
        <v>962</v>
      </c>
      <c r="C196" s="238" t="s">
        <v>963</v>
      </c>
    </row>
    <row r="197" spans="1:3" s="237" customFormat="1" ht="30.75" customHeight="1">
      <c r="A197" s="228"/>
      <c r="B197" s="232" t="s">
        <v>964</v>
      </c>
      <c r="C197" s="238" t="s">
        <v>965</v>
      </c>
    </row>
    <row r="198" spans="1:3" ht="28.5" customHeight="1">
      <c r="A198" s="226"/>
      <c r="B198" s="232" t="s">
        <v>1083</v>
      </c>
      <c r="C198" s="233" t="s">
        <v>1084</v>
      </c>
    </row>
    <row r="199" spans="1:3" ht="31.5" customHeight="1">
      <c r="A199" s="226"/>
      <c r="B199" s="232" t="s">
        <v>1085</v>
      </c>
      <c r="C199" s="233" t="s">
        <v>1086</v>
      </c>
    </row>
    <row r="200" spans="1:3" ht="30.75" customHeight="1">
      <c r="A200" s="226"/>
      <c r="B200" s="232" t="s">
        <v>1087</v>
      </c>
      <c r="C200" s="233" t="s">
        <v>1088</v>
      </c>
    </row>
    <row r="201" spans="1:3" ht="30.75" customHeight="1">
      <c r="A201" s="226"/>
      <c r="B201" s="232" t="s">
        <v>1089</v>
      </c>
      <c r="C201" s="233" t="s">
        <v>1090</v>
      </c>
    </row>
    <row r="202" spans="1:3" ht="30.75" customHeight="1">
      <c r="A202" s="226"/>
      <c r="B202" s="232" t="s">
        <v>1091</v>
      </c>
      <c r="C202" s="233" t="s">
        <v>1092</v>
      </c>
    </row>
    <row r="203" spans="1:3" ht="30.75" customHeight="1">
      <c r="A203" s="226"/>
      <c r="B203" s="232" t="s">
        <v>1093</v>
      </c>
      <c r="C203" s="233" t="s">
        <v>1094</v>
      </c>
    </row>
    <row r="204" spans="1:3" ht="30" customHeight="1">
      <c r="A204" s="226"/>
      <c r="B204" s="232" t="s">
        <v>1095</v>
      </c>
      <c r="C204" s="233" t="s">
        <v>1096</v>
      </c>
    </row>
    <row r="205" spans="1:3" ht="66" customHeight="1">
      <c r="A205" s="226"/>
      <c r="B205" s="232" t="s">
        <v>1097</v>
      </c>
      <c r="C205" s="233" t="s">
        <v>1098</v>
      </c>
    </row>
    <row r="206" spans="1:3" ht="39.75" customHeight="1">
      <c r="A206" s="226"/>
      <c r="B206" s="232" t="s">
        <v>1099</v>
      </c>
      <c r="C206" s="233" t="s">
        <v>1100</v>
      </c>
    </row>
    <row r="207" spans="1:3" ht="26.25" customHeight="1">
      <c r="A207" s="226"/>
      <c r="B207" s="232" t="s">
        <v>1101</v>
      </c>
      <c r="C207" s="233" t="s">
        <v>1102</v>
      </c>
    </row>
    <row r="208" spans="1:3" ht="33.75" customHeight="1">
      <c r="A208" s="226"/>
      <c r="B208" s="232" t="s">
        <v>1103</v>
      </c>
      <c r="C208" s="233" t="s">
        <v>1104</v>
      </c>
    </row>
    <row r="209" spans="1:3" ht="33.75" customHeight="1">
      <c r="A209" s="226"/>
      <c r="B209" s="232" t="s">
        <v>1105</v>
      </c>
      <c r="C209" s="233" t="s">
        <v>1106</v>
      </c>
    </row>
    <row r="210" spans="1:3" ht="33.75" customHeight="1">
      <c r="A210" s="226"/>
      <c r="B210" s="232" t="s">
        <v>1107</v>
      </c>
      <c r="C210" s="233" t="s">
        <v>1108</v>
      </c>
    </row>
    <row r="211" spans="1:3" ht="48.75" customHeight="1">
      <c r="A211" s="226"/>
      <c r="B211" s="232" t="s">
        <v>1109</v>
      </c>
      <c r="C211" s="233" t="s">
        <v>1110</v>
      </c>
    </row>
    <row r="212" spans="1:3" ht="33.75" customHeight="1">
      <c r="A212" s="226"/>
      <c r="B212" s="232" t="s">
        <v>1111</v>
      </c>
      <c r="C212" s="233" t="s">
        <v>1112</v>
      </c>
    </row>
    <row r="213" spans="1:3" ht="20.25" customHeight="1">
      <c r="A213" s="269" t="s">
        <v>1113</v>
      </c>
      <c r="B213" s="269"/>
      <c r="C213" s="269"/>
    </row>
    <row r="214" spans="1:3" ht="5.25" customHeight="1">
      <c r="A214" s="262"/>
      <c r="B214" s="262"/>
      <c r="C214" s="262"/>
    </row>
    <row r="215" spans="1:3" ht="50.25" customHeight="1">
      <c r="A215" s="257" t="s">
        <v>1114</v>
      </c>
      <c r="B215" s="257"/>
      <c r="C215" s="257"/>
    </row>
    <row r="216" spans="1:3" ht="52.5" customHeight="1">
      <c r="A216" s="257" t="s">
        <v>1115</v>
      </c>
      <c r="B216" s="257"/>
      <c r="C216" s="257"/>
    </row>
    <row r="217" ht="1.5" customHeight="1" hidden="1"/>
    <row r="218" spans="1:3" ht="25.5" customHeight="1">
      <c r="A218" s="257" t="s">
        <v>1116</v>
      </c>
      <c r="B218" s="257"/>
      <c r="C218" s="257"/>
    </row>
  </sheetData>
  <sheetProtection/>
  <mergeCells count="45">
    <mergeCell ref="A163:B163"/>
    <mergeCell ref="A5:C5"/>
    <mergeCell ref="A6:B6"/>
    <mergeCell ref="A7:B7"/>
    <mergeCell ref="C7:C8"/>
    <mergeCell ref="A9:B9"/>
    <mergeCell ref="A11:B11"/>
    <mergeCell ref="A13:B13"/>
    <mergeCell ref="A16:B16"/>
    <mergeCell ref="A22:B22"/>
    <mergeCell ref="A24:B24"/>
    <mergeCell ref="A26:B26"/>
    <mergeCell ref="A28:B28"/>
    <mergeCell ref="A47:B47"/>
    <mergeCell ref="A49:B49"/>
    <mergeCell ref="A55:B55"/>
    <mergeCell ref="A57:B57"/>
    <mergeCell ref="A30:B30"/>
    <mergeCell ref="A33:B33"/>
    <mergeCell ref="A35:B35"/>
    <mergeCell ref="A38:B38"/>
    <mergeCell ref="A40:B40"/>
    <mergeCell ref="A42:B42"/>
    <mergeCell ref="A59:B59"/>
    <mergeCell ref="A61:B61"/>
    <mergeCell ref="A74:B74"/>
    <mergeCell ref="A83:B83"/>
    <mergeCell ref="A85:B85"/>
    <mergeCell ref="A131:B131"/>
    <mergeCell ref="A137:B137"/>
    <mergeCell ref="A147:B147"/>
    <mergeCell ref="A151:B151"/>
    <mergeCell ref="A157:B157"/>
    <mergeCell ref="A161:B161"/>
    <mergeCell ref="A162:B162"/>
    <mergeCell ref="A215:C215"/>
    <mergeCell ref="A216:C216"/>
    <mergeCell ref="A218:C218"/>
    <mergeCell ref="A165:B165"/>
    <mergeCell ref="A169:B169"/>
    <mergeCell ref="A171:B171"/>
    <mergeCell ref="A173:B173"/>
    <mergeCell ref="A175:B175"/>
    <mergeCell ref="A214:C214"/>
    <mergeCell ref="A213:C213"/>
  </mergeCells>
  <printOptions/>
  <pageMargins left="1.1023622047244095" right="0.5118110236220472" top="0.5511811023622047" bottom="0.15748031496062992" header="0.11811023622047245" footer="0.11811023622047245"/>
  <pageSetup fitToHeight="6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81.7109375" style="109" customWidth="1"/>
    <col min="2" max="2" width="9.140625" style="106" customWidth="1"/>
    <col min="3" max="3" width="9.00390625" style="107" customWidth="1"/>
    <col min="4" max="4" width="8.421875" style="107" customWidth="1"/>
    <col min="5" max="5" width="19.140625" style="107" customWidth="1"/>
    <col min="6" max="6" width="12.00390625" style="107" customWidth="1"/>
    <col min="7" max="7" width="20.7109375" style="147" customWidth="1"/>
    <col min="8" max="8" width="28.140625" style="107" customWidth="1"/>
    <col min="9" max="13" width="9.140625" style="107" customWidth="1"/>
    <col min="14" max="14" width="14.421875" style="107" customWidth="1"/>
    <col min="15" max="15" width="6.421875" style="107" customWidth="1"/>
    <col min="16" max="16" width="5.421875" style="107" customWidth="1"/>
    <col min="17" max="17" width="5.8515625" style="107" customWidth="1"/>
    <col min="18" max="18" width="6.140625" style="107" customWidth="1"/>
    <col min="19" max="16384" width="9.140625" style="107" customWidth="1"/>
  </cols>
  <sheetData>
    <row r="1" spans="1:7" ht="15.75">
      <c r="A1" s="105"/>
      <c r="G1" s="46" t="s">
        <v>1203</v>
      </c>
    </row>
    <row r="2" spans="1:7" ht="15.75">
      <c r="A2" s="108"/>
      <c r="G2" s="47" t="s">
        <v>0</v>
      </c>
    </row>
    <row r="3" ht="15.75">
      <c r="G3" s="47" t="s">
        <v>1</v>
      </c>
    </row>
    <row r="4" spans="6:7" ht="15.75">
      <c r="F4" s="110"/>
      <c r="G4" s="47" t="s">
        <v>2</v>
      </c>
    </row>
    <row r="5" spans="1:7" ht="15.75">
      <c r="A5" s="111"/>
      <c r="B5" s="112" t="s">
        <v>3</v>
      </c>
      <c r="C5" s="113"/>
      <c r="D5" s="113"/>
      <c r="E5" s="113"/>
      <c r="F5" s="114"/>
      <c r="G5" s="148" t="s">
        <v>1198</v>
      </c>
    </row>
    <row r="6" spans="1:7" ht="15.75">
      <c r="A6" s="111"/>
      <c r="B6" s="112" t="s">
        <v>4</v>
      </c>
      <c r="C6" s="113"/>
      <c r="D6" s="113"/>
      <c r="E6" s="113"/>
      <c r="F6" s="113"/>
      <c r="G6" s="113"/>
    </row>
    <row r="7" spans="1:7" ht="15.75">
      <c r="A7" s="111"/>
      <c r="B7" s="112" t="s">
        <v>5</v>
      </c>
      <c r="C7" s="113"/>
      <c r="D7" s="113"/>
      <c r="E7" s="113"/>
      <c r="F7" s="113"/>
      <c r="G7" s="113"/>
    </row>
    <row r="8" spans="1:7" ht="15.75">
      <c r="A8" s="111"/>
      <c r="B8" s="115"/>
      <c r="C8" s="116"/>
      <c r="D8" s="116"/>
      <c r="E8" s="116"/>
      <c r="F8" s="116"/>
      <c r="G8" s="113"/>
    </row>
    <row r="9" spans="1:7" ht="15.75">
      <c r="A9" s="270" t="s">
        <v>6</v>
      </c>
      <c r="B9" s="271" t="s">
        <v>7</v>
      </c>
      <c r="C9" s="271"/>
      <c r="D9" s="271"/>
      <c r="E9" s="271"/>
      <c r="F9" s="271"/>
      <c r="G9" s="52" t="s">
        <v>8</v>
      </c>
    </row>
    <row r="10" spans="1:7" ht="47.25">
      <c r="A10" s="270"/>
      <c r="B10" s="80" t="s">
        <v>9</v>
      </c>
      <c r="C10" s="86" t="s">
        <v>10</v>
      </c>
      <c r="D10" s="86" t="s">
        <v>11</v>
      </c>
      <c r="E10" s="86" t="s">
        <v>12</v>
      </c>
      <c r="F10" s="86" t="s">
        <v>179</v>
      </c>
      <c r="G10" s="86" t="s">
        <v>13</v>
      </c>
    </row>
    <row r="11" spans="1:7" s="122" customFormat="1" ht="15.75">
      <c r="A11" s="119" t="s">
        <v>95</v>
      </c>
      <c r="B11" s="96" t="s">
        <v>96</v>
      </c>
      <c r="C11" s="120"/>
      <c r="D11" s="120"/>
      <c r="E11" s="120"/>
      <c r="F11" s="120"/>
      <c r="G11" s="121">
        <f>SUM(G12)</f>
        <v>22416.7</v>
      </c>
    </row>
    <row r="12" spans="1:7" ht="15.75">
      <c r="A12" s="51" t="s">
        <v>97</v>
      </c>
      <c r="B12" s="80"/>
      <c r="C12" s="80" t="s">
        <v>38</v>
      </c>
      <c r="D12" s="80"/>
      <c r="E12" s="80"/>
      <c r="F12" s="80"/>
      <c r="G12" s="64">
        <f>SUM(G13+G21)</f>
        <v>22416.7</v>
      </c>
    </row>
    <row r="13" spans="1:7" ht="31.5">
      <c r="A13" s="51" t="s">
        <v>98</v>
      </c>
      <c r="B13" s="80"/>
      <c r="C13" s="80" t="s">
        <v>38</v>
      </c>
      <c r="D13" s="80" t="s">
        <v>58</v>
      </c>
      <c r="E13" s="80"/>
      <c r="F13" s="80"/>
      <c r="G13" s="64">
        <f>SUM(G15)</f>
        <v>16347.1</v>
      </c>
    </row>
    <row r="14" spans="1:7" ht="15.75">
      <c r="A14" s="123" t="s">
        <v>216</v>
      </c>
      <c r="B14" s="80"/>
      <c r="C14" s="80" t="s">
        <v>38</v>
      </c>
      <c r="D14" s="80" t="s">
        <v>58</v>
      </c>
      <c r="E14" s="80" t="s">
        <v>217</v>
      </c>
      <c r="F14" s="80"/>
      <c r="G14" s="64">
        <f>SUM(G15)</f>
        <v>16347.1</v>
      </c>
    </row>
    <row r="15" spans="1:7" ht="31.5">
      <c r="A15" s="51" t="s">
        <v>84</v>
      </c>
      <c r="B15" s="80"/>
      <c r="C15" s="80" t="s">
        <v>38</v>
      </c>
      <c r="D15" s="80" t="s">
        <v>58</v>
      </c>
      <c r="E15" s="80" t="s">
        <v>114</v>
      </c>
      <c r="F15" s="80"/>
      <c r="G15" s="64">
        <f>SUM(G16+G19)</f>
        <v>16347.1</v>
      </c>
    </row>
    <row r="16" spans="1:7" ht="15.75">
      <c r="A16" s="51" t="s">
        <v>86</v>
      </c>
      <c r="B16" s="80"/>
      <c r="C16" s="80" t="s">
        <v>38</v>
      </c>
      <c r="D16" s="80" t="s">
        <v>58</v>
      </c>
      <c r="E16" s="80" t="s">
        <v>115</v>
      </c>
      <c r="F16" s="80"/>
      <c r="G16" s="64">
        <f>SUM(G17+G18)</f>
        <v>14775.2</v>
      </c>
    </row>
    <row r="17" spans="1:7" ht="47.25">
      <c r="A17" s="70" t="s">
        <v>55</v>
      </c>
      <c r="B17" s="80"/>
      <c r="C17" s="80" t="s">
        <v>38</v>
      </c>
      <c r="D17" s="80" t="s">
        <v>58</v>
      </c>
      <c r="E17" s="80" t="s">
        <v>115</v>
      </c>
      <c r="F17" s="80" t="s">
        <v>99</v>
      </c>
      <c r="G17" s="64">
        <f>12301+1560+904.2</f>
        <v>14765.2</v>
      </c>
    </row>
    <row r="18" spans="1:7" ht="31.5">
      <c r="A18" s="51" t="s">
        <v>56</v>
      </c>
      <c r="B18" s="80"/>
      <c r="C18" s="80" t="s">
        <v>38</v>
      </c>
      <c r="D18" s="80" t="s">
        <v>58</v>
      </c>
      <c r="E18" s="80" t="s">
        <v>115</v>
      </c>
      <c r="F18" s="80" t="s">
        <v>101</v>
      </c>
      <c r="G18" s="54">
        <v>10</v>
      </c>
    </row>
    <row r="19" spans="1:7" ht="15.75">
      <c r="A19" s="51" t="s">
        <v>102</v>
      </c>
      <c r="B19" s="80"/>
      <c r="C19" s="80" t="s">
        <v>38</v>
      </c>
      <c r="D19" s="80" t="s">
        <v>58</v>
      </c>
      <c r="E19" s="80" t="s">
        <v>116</v>
      </c>
      <c r="F19" s="80"/>
      <c r="G19" s="64">
        <f>SUM(G20)</f>
        <v>1571.9</v>
      </c>
    </row>
    <row r="20" spans="1:7" ht="47.25">
      <c r="A20" s="70" t="s">
        <v>55</v>
      </c>
      <c r="B20" s="80"/>
      <c r="C20" s="80" t="s">
        <v>38</v>
      </c>
      <c r="D20" s="80" t="s">
        <v>58</v>
      </c>
      <c r="E20" s="80" t="s">
        <v>116</v>
      </c>
      <c r="F20" s="80" t="s">
        <v>99</v>
      </c>
      <c r="G20" s="64">
        <f>1429+142.9</f>
        <v>1571.9</v>
      </c>
    </row>
    <row r="21" spans="1:7" ht="15.75">
      <c r="A21" s="51" t="s">
        <v>103</v>
      </c>
      <c r="B21" s="80"/>
      <c r="C21" s="80" t="s">
        <v>38</v>
      </c>
      <c r="D21" s="80" t="s">
        <v>104</v>
      </c>
      <c r="E21" s="80"/>
      <c r="F21" s="80"/>
      <c r="G21" s="64">
        <f>SUM(G22)</f>
        <v>6069.6</v>
      </c>
    </row>
    <row r="22" spans="1:7" ht="31.5">
      <c r="A22" s="51" t="s">
        <v>84</v>
      </c>
      <c r="B22" s="80"/>
      <c r="C22" s="80" t="s">
        <v>38</v>
      </c>
      <c r="D22" s="80" t="s">
        <v>104</v>
      </c>
      <c r="E22" s="80" t="s">
        <v>114</v>
      </c>
      <c r="F22" s="80"/>
      <c r="G22" s="64">
        <f>SUM(G23+G26+G28)</f>
        <v>6069.6</v>
      </c>
    </row>
    <row r="23" spans="1:7" ht="15.75">
      <c r="A23" s="51" t="s">
        <v>105</v>
      </c>
      <c r="B23" s="80"/>
      <c r="C23" s="80" t="s">
        <v>38</v>
      </c>
      <c r="D23" s="80" t="s">
        <v>104</v>
      </c>
      <c r="E23" s="80" t="s">
        <v>117</v>
      </c>
      <c r="F23" s="80"/>
      <c r="G23" s="54">
        <f>SUM(G24:G25)</f>
        <v>565.4</v>
      </c>
    </row>
    <row r="24" spans="1:7" ht="31.5">
      <c r="A24" s="51" t="s">
        <v>56</v>
      </c>
      <c r="B24" s="80"/>
      <c r="C24" s="80" t="s">
        <v>38</v>
      </c>
      <c r="D24" s="80" t="s">
        <v>104</v>
      </c>
      <c r="E24" s="80" t="s">
        <v>117</v>
      </c>
      <c r="F24" s="80" t="s">
        <v>101</v>
      </c>
      <c r="G24" s="54">
        <f>571.2-27.6-22.2</f>
        <v>521.4</v>
      </c>
    </row>
    <row r="25" spans="1:7" ht="15.75">
      <c r="A25" s="51" t="s">
        <v>26</v>
      </c>
      <c r="B25" s="80"/>
      <c r="C25" s="80" t="s">
        <v>38</v>
      </c>
      <c r="D25" s="80" t="s">
        <v>104</v>
      </c>
      <c r="E25" s="80" t="s">
        <v>117</v>
      </c>
      <c r="F25" s="80" t="s">
        <v>106</v>
      </c>
      <c r="G25" s="54">
        <v>44</v>
      </c>
    </row>
    <row r="26" spans="1:7" ht="31.5">
      <c r="A26" s="51" t="s">
        <v>107</v>
      </c>
      <c r="B26" s="80"/>
      <c r="C26" s="80" t="s">
        <v>38</v>
      </c>
      <c r="D26" s="80" t="s">
        <v>104</v>
      </c>
      <c r="E26" s="80" t="s">
        <v>118</v>
      </c>
      <c r="F26" s="80"/>
      <c r="G26" s="54">
        <f>SUM(G27)</f>
        <v>410</v>
      </c>
    </row>
    <row r="27" spans="1:7" ht="31.5">
      <c r="A27" s="51" t="s">
        <v>56</v>
      </c>
      <c r="B27" s="80"/>
      <c r="C27" s="80" t="s">
        <v>38</v>
      </c>
      <c r="D27" s="80" t="s">
        <v>104</v>
      </c>
      <c r="E27" s="80" t="s">
        <v>118</v>
      </c>
      <c r="F27" s="80" t="s">
        <v>101</v>
      </c>
      <c r="G27" s="54">
        <v>410</v>
      </c>
    </row>
    <row r="28" spans="1:7" ht="31.5">
      <c r="A28" s="123" t="s">
        <v>108</v>
      </c>
      <c r="B28" s="80"/>
      <c r="C28" s="80" t="s">
        <v>38</v>
      </c>
      <c r="D28" s="80" t="s">
        <v>104</v>
      </c>
      <c r="E28" s="80" t="s">
        <v>119</v>
      </c>
      <c r="F28" s="80"/>
      <c r="G28" s="64">
        <f>SUM(G29:G31)</f>
        <v>5094.200000000001</v>
      </c>
    </row>
    <row r="29" spans="1:7" ht="31.5">
      <c r="A29" s="51" t="s">
        <v>56</v>
      </c>
      <c r="B29" s="80"/>
      <c r="C29" s="80" t="s">
        <v>38</v>
      </c>
      <c r="D29" s="80" t="s">
        <v>104</v>
      </c>
      <c r="E29" s="80" t="s">
        <v>119</v>
      </c>
      <c r="F29" s="80" t="s">
        <v>101</v>
      </c>
      <c r="G29" s="64">
        <f>5935.8-1560+27.6+22.2</f>
        <v>4425.6</v>
      </c>
    </row>
    <row r="30" spans="1:7" ht="15.75">
      <c r="A30" s="51" t="s">
        <v>46</v>
      </c>
      <c r="B30" s="80"/>
      <c r="C30" s="80" t="s">
        <v>38</v>
      </c>
      <c r="D30" s="80" t="s">
        <v>104</v>
      </c>
      <c r="E30" s="80" t="s">
        <v>119</v>
      </c>
      <c r="F30" s="80" t="s">
        <v>109</v>
      </c>
      <c r="G30" s="64">
        <v>667</v>
      </c>
    </row>
    <row r="31" spans="1:7" ht="15.75">
      <c r="A31" s="51" t="s">
        <v>26</v>
      </c>
      <c r="B31" s="80"/>
      <c r="C31" s="80" t="s">
        <v>38</v>
      </c>
      <c r="D31" s="80" t="s">
        <v>104</v>
      </c>
      <c r="E31" s="80" t="s">
        <v>119</v>
      </c>
      <c r="F31" s="80" t="s">
        <v>106</v>
      </c>
      <c r="G31" s="64">
        <v>1.6</v>
      </c>
    </row>
    <row r="32" spans="1:7" s="122" customFormat="1" ht="15.75">
      <c r="A32" s="119" t="s">
        <v>110</v>
      </c>
      <c r="B32" s="96" t="s">
        <v>111</v>
      </c>
      <c r="C32" s="96"/>
      <c r="D32" s="96"/>
      <c r="E32" s="96"/>
      <c r="F32" s="96"/>
      <c r="G32" s="121">
        <f>SUM(G33)</f>
        <v>7472.2</v>
      </c>
    </row>
    <row r="33" spans="1:7" ht="15.75">
      <c r="A33" s="51" t="s">
        <v>97</v>
      </c>
      <c r="B33" s="80"/>
      <c r="C33" s="80" t="s">
        <v>38</v>
      </c>
      <c r="D33" s="80"/>
      <c r="E33" s="80"/>
      <c r="F33" s="80"/>
      <c r="G33" s="64">
        <f>SUM(G34)+G42</f>
        <v>7472.2</v>
      </c>
    </row>
    <row r="34" spans="1:7" ht="31.5">
      <c r="A34" s="123" t="s">
        <v>112</v>
      </c>
      <c r="B34" s="80"/>
      <c r="C34" s="80" t="s">
        <v>38</v>
      </c>
      <c r="D34" s="80" t="s">
        <v>82</v>
      </c>
      <c r="E34" s="80"/>
      <c r="F34" s="80"/>
      <c r="G34" s="64">
        <f>SUM(G36)</f>
        <v>6472.7</v>
      </c>
    </row>
    <row r="35" spans="1:7" ht="15.75">
      <c r="A35" s="123" t="s">
        <v>216</v>
      </c>
      <c r="B35" s="80"/>
      <c r="C35" s="80" t="s">
        <v>38</v>
      </c>
      <c r="D35" s="80" t="s">
        <v>82</v>
      </c>
      <c r="E35" s="80" t="s">
        <v>217</v>
      </c>
      <c r="F35" s="80"/>
      <c r="G35" s="64">
        <f>SUM(G36)</f>
        <v>6472.7</v>
      </c>
    </row>
    <row r="36" spans="1:7" ht="31.5">
      <c r="A36" s="51" t="s">
        <v>84</v>
      </c>
      <c r="B36" s="80"/>
      <c r="C36" s="80" t="s">
        <v>38</v>
      </c>
      <c r="D36" s="80" t="s">
        <v>82</v>
      </c>
      <c r="E36" s="80" t="s">
        <v>114</v>
      </c>
      <c r="F36" s="80"/>
      <c r="G36" s="64">
        <f>SUM(G37+G40)</f>
        <v>6472.7</v>
      </c>
    </row>
    <row r="37" spans="1:7" ht="31.5">
      <c r="A37" s="51" t="s">
        <v>218</v>
      </c>
      <c r="B37" s="80"/>
      <c r="C37" s="80" t="s">
        <v>38</v>
      </c>
      <c r="D37" s="80" t="s">
        <v>82</v>
      </c>
      <c r="E37" s="80" t="s">
        <v>120</v>
      </c>
      <c r="F37" s="80"/>
      <c r="G37" s="64">
        <f>SUM(G38:G39)</f>
        <v>4512.5</v>
      </c>
    </row>
    <row r="38" spans="1:7" ht="47.25">
      <c r="A38" s="70" t="s">
        <v>55</v>
      </c>
      <c r="B38" s="80"/>
      <c r="C38" s="80" t="s">
        <v>38</v>
      </c>
      <c r="D38" s="80" t="s">
        <v>82</v>
      </c>
      <c r="E38" s="80" t="s">
        <v>120</v>
      </c>
      <c r="F38" s="80" t="s">
        <v>99</v>
      </c>
      <c r="G38" s="64">
        <f>4131+376.5</f>
        <v>4507.5</v>
      </c>
    </row>
    <row r="39" spans="1:7" ht="31.5">
      <c r="A39" s="51" t="s">
        <v>56</v>
      </c>
      <c r="B39" s="80"/>
      <c r="C39" s="80" t="s">
        <v>38</v>
      </c>
      <c r="D39" s="80" t="s">
        <v>82</v>
      </c>
      <c r="E39" s="80" t="s">
        <v>120</v>
      </c>
      <c r="F39" s="80" t="s">
        <v>101</v>
      </c>
      <c r="G39" s="54">
        <v>5</v>
      </c>
    </row>
    <row r="40" spans="1:7" ht="31.5">
      <c r="A40" s="51" t="s">
        <v>113</v>
      </c>
      <c r="B40" s="80"/>
      <c r="C40" s="80" t="s">
        <v>38</v>
      </c>
      <c r="D40" s="80" t="s">
        <v>82</v>
      </c>
      <c r="E40" s="80" t="s">
        <v>121</v>
      </c>
      <c r="F40" s="80"/>
      <c r="G40" s="64">
        <f>SUM(G41)</f>
        <v>1960.2</v>
      </c>
    </row>
    <row r="41" spans="1:7" ht="47.25">
      <c r="A41" s="70" t="s">
        <v>55</v>
      </c>
      <c r="B41" s="80"/>
      <c r="C41" s="80" t="s">
        <v>38</v>
      </c>
      <c r="D41" s="80" t="s">
        <v>82</v>
      </c>
      <c r="E41" s="80" t="s">
        <v>121</v>
      </c>
      <c r="F41" s="80" t="s">
        <v>99</v>
      </c>
      <c r="G41" s="64">
        <f>1782+178.2</f>
        <v>1960.2</v>
      </c>
    </row>
    <row r="42" spans="1:7" ht="15.75">
      <c r="A42" s="51" t="s">
        <v>103</v>
      </c>
      <c r="B42" s="80"/>
      <c r="C42" s="80" t="s">
        <v>38</v>
      </c>
      <c r="D42" s="80" t="s">
        <v>104</v>
      </c>
      <c r="E42" s="80"/>
      <c r="F42" s="80"/>
      <c r="G42" s="64">
        <f>SUM(G43)</f>
        <v>999.5</v>
      </c>
    </row>
    <row r="43" spans="1:7" ht="31.5">
      <c r="A43" s="51" t="s">
        <v>84</v>
      </c>
      <c r="B43" s="80"/>
      <c r="C43" s="80" t="s">
        <v>38</v>
      </c>
      <c r="D43" s="80" t="s">
        <v>104</v>
      </c>
      <c r="E43" s="80" t="s">
        <v>114</v>
      </c>
      <c r="F43" s="80"/>
      <c r="G43" s="54">
        <f>SUM(G44+G47+G49)</f>
        <v>999.5</v>
      </c>
    </row>
    <row r="44" spans="1:7" ht="15.75">
      <c r="A44" s="51" t="s">
        <v>105</v>
      </c>
      <c r="B44" s="80"/>
      <c r="C44" s="80" t="s">
        <v>38</v>
      </c>
      <c r="D44" s="80" t="s">
        <v>104</v>
      </c>
      <c r="E44" s="80" t="s">
        <v>117</v>
      </c>
      <c r="F44" s="80"/>
      <c r="G44" s="54">
        <f>SUM(G45:G46)</f>
        <v>192.39999999999998</v>
      </c>
    </row>
    <row r="45" spans="1:7" ht="31.5">
      <c r="A45" s="51" t="s">
        <v>56</v>
      </c>
      <c r="B45" s="80"/>
      <c r="C45" s="80" t="s">
        <v>38</v>
      </c>
      <c r="D45" s="80" t="s">
        <v>104</v>
      </c>
      <c r="E45" s="80" t="s">
        <v>117</v>
      </c>
      <c r="F45" s="80" t="s">
        <v>101</v>
      </c>
      <c r="G45" s="54">
        <v>189.7</v>
      </c>
    </row>
    <row r="46" spans="1:7" ht="15.75">
      <c r="A46" s="51" t="s">
        <v>26</v>
      </c>
      <c r="B46" s="80"/>
      <c r="C46" s="80" t="s">
        <v>38</v>
      </c>
      <c r="D46" s="80" t="s">
        <v>104</v>
      </c>
      <c r="E46" s="80" t="s">
        <v>117</v>
      </c>
      <c r="F46" s="80" t="s">
        <v>106</v>
      </c>
      <c r="G46" s="54">
        <v>2.7</v>
      </c>
    </row>
    <row r="47" spans="1:7" ht="31.5">
      <c r="A47" s="51" t="s">
        <v>107</v>
      </c>
      <c r="B47" s="80"/>
      <c r="C47" s="80" t="s">
        <v>38</v>
      </c>
      <c r="D47" s="80" t="s">
        <v>104</v>
      </c>
      <c r="E47" s="80" t="s">
        <v>118</v>
      </c>
      <c r="F47" s="80"/>
      <c r="G47" s="54">
        <f>SUM(G48)</f>
        <v>379.9</v>
      </c>
    </row>
    <row r="48" spans="1:7" ht="31.5">
      <c r="A48" s="51" t="s">
        <v>56</v>
      </c>
      <c r="B48" s="80"/>
      <c r="C48" s="80" t="s">
        <v>38</v>
      </c>
      <c r="D48" s="80" t="s">
        <v>104</v>
      </c>
      <c r="E48" s="80" t="s">
        <v>118</v>
      </c>
      <c r="F48" s="80" t="s">
        <v>101</v>
      </c>
      <c r="G48" s="64">
        <v>379.9</v>
      </c>
    </row>
    <row r="49" spans="1:7" ht="31.5">
      <c r="A49" s="123" t="s">
        <v>108</v>
      </c>
      <c r="B49" s="80"/>
      <c r="C49" s="80" t="s">
        <v>38</v>
      </c>
      <c r="D49" s="80" t="s">
        <v>104</v>
      </c>
      <c r="E49" s="80" t="s">
        <v>119</v>
      </c>
      <c r="F49" s="80"/>
      <c r="G49" s="64">
        <f>SUM(G50:G51)</f>
        <v>427.2</v>
      </c>
    </row>
    <row r="50" spans="1:7" ht="31.5">
      <c r="A50" s="51" t="s">
        <v>56</v>
      </c>
      <c r="B50" s="80"/>
      <c r="C50" s="80" t="s">
        <v>38</v>
      </c>
      <c r="D50" s="80" t="s">
        <v>104</v>
      </c>
      <c r="E50" s="80" t="s">
        <v>119</v>
      </c>
      <c r="F50" s="80" t="s">
        <v>101</v>
      </c>
      <c r="G50" s="64">
        <f>914-19-500</f>
        <v>395</v>
      </c>
    </row>
    <row r="51" spans="1:7" ht="15.75">
      <c r="A51" s="51" t="s">
        <v>26</v>
      </c>
      <c r="B51" s="80"/>
      <c r="C51" s="80" t="s">
        <v>38</v>
      </c>
      <c r="D51" s="80" t="s">
        <v>104</v>
      </c>
      <c r="E51" s="80" t="s">
        <v>119</v>
      </c>
      <c r="F51" s="80" t="s">
        <v>106</v>
      </c>
      <c r="G51" s="64">
        <f>13.2+19</f>
        <v>32.2</v>
      </c>
    </row>
    <row r="52" spans="1:7" s="122" customFormat="1" ht="15.75">
      <c r="A52" s="119" t="s">
        <v>238</v>
      </c>
      <c r="B52" s="120">
        <v>283</v>
      </c>
      <c r="C52" s="124"/>
      <c r="D52" s="124"/>
      <c r="E52" s="124"/>
      <c r="F52" s="124"/>
      <c r="G52" s="125">
        <f>SUM(G53+G137+G168+G297+G334)+G216+G317+G379</f>
        <v>782102.2</v>
      </c>
    </row>
    <row r="53" spans="1:7" ht="15.75">
      <c r="A53" s="51" t="s">
        <v>97</v>
      </c>
      <c r="B53" s="86"/>
      <c r="C53" s="53" t="s">
        <v>38</v>
      </c>
      <c r="D53" s="53"/>
      <c r="E53" s="53"/>
      <c r="F53" s="52"/>
      <c r="G53" s="54">
        <f>SUM(G54+G59)+G85+G90</f>
        <v>151931.9</v>
      </c>
    </row>
    <row r="54" spans="1:7" ht="31.5">
      <c r="A54" s="51" t="s">
        <v>184</v>
      </c>
      <c r="B54" s="86"/>
      <c r="C54" s="53" t="s">
        <v>38</v>
      </c>
      <c r="D54" s="53" t="s">
        <v>48</v>
      </c>
      <c r="E54" s="53"/>
      <c r="F54" s="52"/>
      <c r="G54" s="54">
        <f>SUM(G55)</f>
        <v>1618.2</v>
      </c>
    </row>
    <row r="55" spans="1:8" ht="31.5">
      <c r="A55" s="55" t="s">
        <v>239</v>
      </c>
      <c r="B55" s="126"/>
      <c r="C55" s="53" t="s">
        <v>38</v>
      </c>
      <c r="D55" s="53" t="s">
        <v>48</v>
      </c>
      <c r="E55" s="52" t="s">
        <v>240</v>
      </c>
      <c r="F55" s="52"/>
      <c r="G55" s="54">
        <f>SUM(G56)</f>
        <v>1618.2</v>
      </c>
      <c r="H55" s="127"/>
    </row>
    <row r="56" spans="1:7" ht="31.5">
      <c r="A56" s="51" t="s">
        <v>84</v>
      </c>
      <c r="B56" s="86"/>
      <c r="C56" s="53" t="s">
        <v>38</v>
      </c>
      <c r="D56" s="53" t="s">
        <v>48</v>
      </c>
      <c r="E56" s="53" t="s">
        <v>241</v>
      </c>
      <c r="F56" s="53"/>
      <c r="G56" s="54">
        <f>SUM(G57)</f>
        <v>1618.2</v>
      </c>
    </row>
    <row r="57" spans="1:7" ht="15.75">
      <c r="A57" s="51" t="s">
        <v>242</v>
      </c>
      <c r="B57" s="86"/>
      <c r="C57" s="53" t="s">
        <v>38</v>
      </c>
      <c r="D57" s="53" t="s">
        <v>48</v>
      </c>
      <c r="E57" s="53" t="s">
        <v>243</v>
      </c>
      <c r="F57" s="53"/>
      <c r="G57" s="54">
        <f>SUM(G58)</f>
        <v>1618.2</v>
      </c>
    </row>
    <row r="58" spans="1:7" ht="47.25">
      <c r="A58" s="70" t="s">
        <v>55</v>
      </c>
      <c r="B58" s="86"/>
      <c r="C58" s="53" t="s">
        <v>38</v>
      </c>
      <c r="D58" s="53" t="s">
        <v>48</v>
      </c>
      <c r="E58" s="53" t="s">
        <v>243</v>
      </c>
      <c r="F58" s="53" t="s">
        <v>99</v>
      </c>
      <c r="G58" s="54">
        <v>1618.2</v>
      </c>
    </row>
    <row r="59" spans="1:8" ht="31.5">
      <c r="A59" s="51" t="s">
        <v>318</v>
      </c>
      <c r="B59" s="86"/>
      <c r="C59" s="53" t="s">
        <v>38</v>
      </c>
      <c r="D59" s="53" t="s">
        <v>17</v>
      </c>
      <c r="E59" s="52"/>
      <c r="F59" s="52"/>
      <c r="G59" s="54">
        <f>SUM(G71)+G60+G66+G77</f>
        <v>99863.1</v>
      </c>
      <c r="H59" s="127"/>
    </row>
    <row r="60" spans="1:7" ht="31.5">
      <c r="A60" s="51" t="s">
        <v>244</v>
      </c>
      <c r="B60" s="86"/>
      <c r="C60" s="53" t="s">
        <v>38</v>
      </c>
      <c r="D60" s="53" t="s">
        <v>17</v>
      </c>
      <c r="E60" s="52" t="s">
        <v>245</v>
      </c>
      <c r="F60" s="52"/>
      <c r="G60" s="54">
        <f>SUM(G61)</f>
        <v>1358.3</v>
      </c>
    </row>
    <row r="61" spans="1:7" ht="78.75">
      <c r="A61" s="55" t="s">
        <v>246</v>
      </c>
      <c r="B61" s="126"/>
      <c r="C61" s="53" t="s">
        <v>38</v>
      </c>
      <c r="D61" s="53" t="s">
        <v>17</v>
      </c>
      <c r="E61" s="53" t="s">
        <v>247</v>
      </c>
      <c r="F61" s="52"/>
      <c r="G61" s="54">
        <f>SUM(G62)</f>
        <v>1358.3</v>
      </c>
    </row>
    <row r="62" spans="1:7" ht="31.5">
      <c r="A62" s="51" t="s">
        <v>84</v>
      </c>
      <c r="B62" s="86"/>
      <c r="C62" s="53" t="s">
        <v>38</v>
      </c>
      <c r="D62" s="53" t="s">
        <v>17</v>
      </c>
      <c r="E62" s="53" t="s">
        <v>248</v>
      </c>
      <c r="F62" s="52"/>
      <c r="G62" s="54">
        <f>SUM(G63)</f>
        <v>1358.3</v>
      </c>
    </row>
    <row r="63" spans="1:7" ht="31.5">
      <c r="A63" s="51" t="s">
        <v>249</v>
      </c>
      <c r="B63" s="86"/>
      <c r="C63" s="53" t="s">
        <v>38</v>
      </c>
      <c r="D63" s="53" t="s">
        <v>17</v>
      </c>
      <c r="E63" s="53" t="s">
        <v>250</v>
      </c>
      <c r="F63" s="52"/>
      <c r="G63" s="54">
        <f>SUM(G64:G65)</f>
        <v>1358.3</v>
      </c>
    </row>
    <row r="64" spans="1:7" ht="47.25">
      <c r="A64" s="70" t="s">
        <v>55</v>
      </c>
      <c r="B64" s="86"/>
      <c r="C64" s="53" t="s">
        <v>38</v>
      </c>
      <c r="D64" s="53" t="s">
        <v>17</v>
      </c>
      <c r="E64" s="53" t="s">
        <v>250</v>
      </c>
      <c r="F64" s="53" t="s">
        <v>99</v>
      </c>
      <c r="G64" s="54">
        <v>1334.7</v>
      </c>
    </row>
    <row r="65" spans="1:7" ht="31.5">
      <c r="A65" s="51" t="s">
        <v>56</v>
      </c>
      <c r="B65" s="86"/>
      <c r="C65" s="53" t="s">
        <v>38</v>
      </c>
      <c r="D65" s="53" t="s">
        <v>17</v>
      </c>
      <c r="E65" s="53" t="s">
        <v>250</v>
      </c>
      <c r="F65" s="53" t="s">
        <v>101</v>
      </c>
      <c r="G65" s="54">
        <v>23.6</v>
      </c>
    </row>
    <row r="66" spans="1:9" ht="31.5">
      <c r="A66" s="51" t="s">
        <v>518</v>
      </c>
      <c r="B66" s="89"/>
      <c r="C66" s="53" t="s">
        <v>38</v>
      </c>
      <c r="D66" s="53" t="s">
        <v>17</v>
      </c>
      <c r="E66" s="53" t="s">
        <v>258</v>
      </c>
      <c r="F66" s="52"/>
      <c r="G66" s="54">
        <f>SUM(G67)</f>
        <v>357.70000000000005</v>
      </c>
      <c r="H66" s="1"/>
      <c r="I66" s="1"/>
    </row>
    <row r="67" spans="1:9" ht="78.75">
      <c r="A67" s="55" t="s">
        <v>246</v>
      </c>
      <c r="B67" s="89"/>
      <c r="C67" s="53" t="s">
        <v>38</v>
      </c>
      <c r="D67" s="53" t="s">
        <v>17</v>
      </c>
      <c r="E67" s="52" t="s">
        <v>530</v>
      </c>
      <c r="F67" s="52"/>
      <c r="G67" s="54">
        <f>SUM(G68)</f>
        <v>357.70000000000005</v>
      </c>
      <c r="H67" s="2"/>
      <c r="I67" s="2"/>
    </row>
    <row r="68" spans="1:9" ht="15.75">
      <c r="A68" s="51" t="s">
        <v>255</v>
      </c>
      <c r="B68" s="89"/>
      <c r="C68" s="53" t="s">
        <v>38</v>
      </c>
      <c r="D68" s="53" t="s">
        <v>17</v>
      </c>
      <c r="E68" s="52" t="s">
        <v>531</v>
      </c>
      <c r="F68" s="52"/>
      <c r="G68" s="54">
        <f>SUM(G69:G70)</f>
        <v>357.70000000000005</v>
      </c>
      <c r="H68" s="2"/>
      <c r="I68" s="2"/>
    </row>
    <row r="69" spans="1:9" ht="47.25">
      <c r="A69" s="70" t="s">
        <v>55</v>
      </c>
      <c r="B69" s="89"/>
      <c r="C69" s="53" t="s">
        <v>38</v>
      </c>
      <c r="D69" s="53" t="s">
        <v>17</v>
      </c>
      <c r="E69" s="52" t="s">
        <v>531</v>
      </c>
      <c r="F69" s="52">
        <v>100</v>
      </c>
      <c r="G69" s="54">
        <v>288.8</v>
      </c>
      <c r="H69" s="2"/>
      <c r="I69" s="2"/>
    </row>
    <row r="70" spans="1:9" ht="31.5">
      <c r="A70" s="51" t="s">
        <v>56</v>
      </c>
      <c r="B70" s="89"/>
      <c r="C70" s="53" t="s">
        <v>38</v>
      </c>
      <c r="D70" s="53" t="s">
        <v>17</v>
      </c>
      <c r="E70" s="52" t="s">
        <v>531</v>
      </c>
      <c r="F70" s="53" t="s">
        <v>101</v>
      </c>
      <c r="G70" s="54">
        <v>68.9</v>
      </c>
      <c r="H70" s="2"/>
      <c r="I70" s="2"/>
    </row>
    <row r="71" spans="1:7" ht="31.5">
      <c r="A71" s="55" t="s">
        <v>239</v>
      </c>
      <c r="B71" s="126"/>
      <c r="C71" s="53" t="s">
        <v>38</v>
      </c>
      <c r="D71" s="53" t="s">
        <v>17</v>
      </c>
      <c r="E71" s="52" t="s">
        <v>240</v>
      </c>
      <c r="F71" s="52"/>
      <c r="G71" s="54">
        <f>SUM(G72)</f>
        <v>97941</v>
      </c>
    </row>
    <row r="72" spans="1:7" ht="31.5">
      <c r="A72" s="51" t="s">
        <v>84</v>
      </c>
      <c r="B72" s="86"/>
      <c r="C72" s="53" t="s">
        <v>38</v>
      </c>
      <c r="D72" s="53" t="s">
        <v>17</v>
      </c>
      <c r="E72" s="53" t="s">
        <v>241</v>
      </c>
      <c r="F72" s="53"/>
      <c r="G72" s="54">
        <f>SUM(G73)</f>
        <v>97941</v>
      </c>
    </row>
    <row r="73" spans="1:7" ht="15.75">
      <c r="A73" s="51" t="s">
        <v>86</v>
      </c>
      <c r="B73" s="86"/>
      <c r="C73" s="53" t="s">
        <v>38</v>
      </c>
      <c r="D73" s="53" t="s">
        <v>17</v>
      </c>
      <c r="E73" s="53" t="s">
        <v>251</v>
      </c>
      <c r="F73" s="53"/>
      <c r="G73" s="54">
        <f>SUM(G74:G76)</f>
        <v>97941</v>
      </c>
    </row>
    <row r="74" spans="1:7" ht="47.25">
      <c r="A74" s="70" t="s">
        <v>55</v>
      </c>
      <c r="B74" s="86"/>
      <c r="C74" s="53" t="s">
        <v>38</v>
      </c>
      <c r="D74" s="53" t="s">
        <v>17</v>
      </c>
      <c r="E74" s="53" t="s">
        <v>251</v>
      </c>
      <c r="F74" s="53" t="s">
        <v>99</v>
      </c>
      <c r="G74" s="54">
        <v>97911</v>
      </c>
    </row>
    <row r="75" spans="1:7" ht="29.25" customHeight="1">
      <c r="A75" s="51" t="s">
        <v>56</v>
      </c>
      <c r="B75" s="86"/>
      <c r="C75" s="53" t="s">
        <v>38</v>
      </c>
      <c r="D75" s="53" t="s">
        <v>17</v>
      </c>
      <c r="E75" s="53" t="s">
        <v>251</v>
      </c>
      <c r="F75" s="53" t="s">
        <v>101</v>
      </c>
      <c r="G75" s="54">
        <v>30</v>
      </c>
    </row>
    <row r="76" spans="1:7" ht="15.75" hidden="1">
      <c r="A76" s="51" t="s">
        <v>46</v>
      </c>
      <c r="B76" s="86"/>
      <c r="C76" s="53" t="s">
        <v>38</v>
      </c>
      <c r="D76" s="53" t="s">
        <v>17</v>
      </c>
      <c r="E76" s="53" t="s">
        <v>251</v>
      </c>
      <c r="F76" s="53" t="s">
        <v>109</v>
      </c>
      <c r="G76" s="54">
        <v>0</v>
      </c>
    </row>
    <row r="77" spans="1:7" ht="15.75">
      <c r="A77" s="51" t="s">
        <v>216</v>
      </c>
      <c r="B77" s="86"/>
      <c r="C77" s="53" t="s">
        <v>38</v>
      </c>
      <c r="D77" s="53" t="s">
        <v>17</v>
      </c>
      <c r="E77" s="53" t="s">
        <v>217</v>
      </c>
      <c r="F77" s="53"/>
      <c r="G77" s="54">
        <f>SUM(G78)</f>
        <v>206.1</v>
      </c>
    </row>
    <row r="78" spans="1:7" ht="78.75">
      <c r="A78" s="55" t="s">
        <v>246</v>
      </c>
      <c r="B78" s="126"/>
      <c r="C78" s="53" t="s">
        <v>38</v>
      </c>
      <c r="D78" s="53" t="s">
        <v>17</v>
      </c>
      <c r="E78" s="53" t="s">
        <v>252</v>
      </c>
      <c r="F78" s="53"/>
      <c r="G78" s="54">
        <f>SUM(G79+G82)</f>
        <v>206.1</v>
      </c>
    </row>
    <row r="79" spans="1:7" ht="47.25">
      <c r="A79" s="51" t="s">
        <v>253</v>
      </c>
      <c r="B79" s="86"/>
      <c r="C79" s="53" t="s">
        <v>38</v>
      </c>
      <c r="D79" s="53" t="s">
        <v>17</v>
      </c>
      <c r="E79" s="53" t="s">
        <v>254</v>
      </c>
      <c r="F79" s="52"/>
      <c r="G79" s="54">
        <f>SUM(G80:G81)</f>
        <v>93.8</v>
      </c>
    </row>
    <row r="80" spans="1:7" ht="47.25">
      <c r="A80" s="70" t="s">
        <v>55</v>
      </c>
      <c r="B80" s="86"/>
      <c r="C80" s="53" t="s">
        <v>38</v>
      </c>
      <c r="D80" s="53" t="s">
        <v>17</v>
      </c>
      <c r="E80" s="53" t="s">
        <v>254</v>
      </c>
      <c r="F80" s="53" t="s">
        <v>99</v>
      </c>
      <c r="G80" s="54">
        <v>72.3</v>
      </c>
    </row>
    <row r="81" spans="1:7" ht="31.5">
      <c r="A81" s="51" t="s">
        <v>56</v>
      </c>
      <c r="B81" s="86"/>
      <c r="C81" s="53" t="s">
        <v>38</v>
      </c>
      <c r="D81" s="53" t="s">
        <v>17</v>
      </c>
      <c r="E81" s="53" t="s">
        <v>254</v>
      </c>
      <c r="F81" s="53" t="s">
        <v>101</v>
      </c>
      <c r="G81" s="54">
        <v>21.5</v>
      </c>
    </row>
    <row r="82" spans="1:9" ht="47.25">
      <c r="A82" s="51" t="s">
        <v>532</v>
      </c>
      <c r="B82" s="73"/>
      <c r="C82" s="53" t="s">
        <v>38</v>
      </c>
      <c r="D82" s="53" t="s">
        <v>17</v>
      </c>
      <c r="E82" s="53" t="s">
        <v>533</v>
      </c>
      <c r="F82" s="52"/>
      <c r="G82" s="54">
        <f>SUM(G83:G84)</f>
        <v>112.3</v>
      </c>
      <c r="H82" s="2"/>
      <c r="I82" s="3"/>
    </row>
    <row r="83" spans="1:9" ht="47.25">
      <c r="A83" s="70" t="s">
        <v>55</v>
      </c>
      <c r="B83" s="73"/>
      <c r="C83" s="53" t="s">
        <v>38</v>
      </c>
      <c r="D83" s="53" t="s">
        <v>17</v>
      </c>
      <c r="E83" s="53" t="s">
        <v>533</v>
      </c>
      <c r="F83" s="53" t="s">
        <v>99</v>
      </c>
      <c r="G83" s="54">
        <v>103.5</v>
      </c>
      <c r="H83" s="2"/>
      <c r="I83" s="2"/>
    </row>
    <row r="84" spans="1:9" ht="31.5">
      <c r="A84" s="51" t="s">
        <v>56</v>
      </c>
      <c r="B84" s="73"/>
      <c r="C84" s="53" t="s">
        <v>38</v>
      </c>
      <c r="D84" s="53" t="s">
        <v>17</v>
      </c>
      <c r="E84" s="53" t="s">
        <v>533</v>
      </c>
      <c r="F84" s="53" t="s">
        <v>101</v>
      </c>
      <c r="G84" s="54">
        <v>8.8</v>
      </c>
      <c r="H84" s="2"/>
      <c r="I84" s="2"/>
    </row>
    <row r="85" spans="1:7" ht="15.75" hidden="1">
      <c r="A85" s="51" t="s">
        <v>187</v>
      </c>
      <c r="B85" s="86"/>
      <c r="C85" s="53" t="s">
        <v>38</v>
      </c>
      <c r="D85" s="53" t="s">
        <v>188</v>
      </c>
      <c r="E85" s="53"/>
      <c r="F85" s="53"/>
      <c r="G85" s="54">
        <f>SUM(G86)</f>
        <v>0</v>
      </c>
    </row>
    <row r="86" spans="1:7" ht="15.75" hidden="1">
      <c r="A86" s="51" t="s">
        <v>223</v>
      </c>
      <c r="B86" s="86"/>
      <c r="C86" s="53" t="s">
        <v>38</v>
      </c>
      <c r="D86" s="53" t="s">
        <v>188</v>
      </c>
      <c r="E86" s="53" t="s">
        <v>217</v>
      </c>
      <c r="F86" s="53"/>
      <c r="G86" s="54">
        <f>SUM(G87)</f>
        <v>0</v>
      </c>
    </row>
    <row r="87" spans="1:7" ht="78.75" hidden="1">
      <c r="A87" s="55" t="s">
        <v>246</v>
      </c>
      <c r="B87" s="126"/>
      <c r="C87" s="53" t="s">
        <v>38</v>
      </c>
      <c r="D87" s="53" t="s">
        <v>188</v>
      </c>
      <c r="E87" s="53" t="s">
        <v>252</v>
      </c>
      <c r="F87" s="53"/>
      <c r="G87" s="54">
        <f>SUM(G88)</f>
        <v>0</v>
      </c>
    </row>
    <row r="88" spans="1:7" ht="47.25" hidden="1">
      <c r="A88" s="51" t="s">
        <v>256</v>
      </c>
      <c r="B88" s="86"/>
      <c r="C88" s="53" t="s">
        <v>38</v>
      </c>
      <c r="D88" s="53" t="s">
        <v>188</v>
      </c>
      <c r="E88" s="53" t="s">
        <v>257</v>
      </c>
      <c r="F88" s="53"/>
      <c r="G88" s="54">
        <f>SUM(G89)</f>
        <v>0</v>
      </c>
    </row>
    <row r="89" spans="1:7" ht="15.75" hidden="1">
      <c r="A89" s="51" t="s">
        <v>100</v>
      </c>
      <c r="B89" s="86"/>
      <c r="C89" s="53" t="s">
        <v>38</v>
      </c>
      <c r="D89" s="53" t="s">
        <v>188</v>
      </c>
      <c r="E89" s="53" t="s">
        <v>257</v>
      </c>
      <c r="F89" s="53" t="s">
        <v>101</v>
      </c>
      <c r="G89" s="54"/>
    </row>
    <row r="90" spans="1:7" ht="15.75">
      <c r="A90" s="51" t="s">
        <v>103</v>
      </c>
      <c r="B90" s="86"/>
      <c r="C90" s="53" t="s">
        <v>38</v>
      </c>
      <c r="D90" s="53" t="s">
        <v>104</v>
      </c>
      <c r="E90" s="53"/>
      <c r="F90" s="52"/>
      <c r="G90" s="54">
        <f>SUM(G91+G93+G96+G106+G117+G119+G123+G125+G134)</f>
        <v>50450.6</v>
      </c>
    </row>
    <row r="91" spans="1:7" ht="31.5" hidden="1">
      <c r="A91" s="51" t="s">
        <v>519</v>
      </c>
      <c r="B91" s="86"/>
      <c r="C91" s="53" t="s">
        <v>38</v>
      </c>
      <c r="D91" s="53" t="s">
        <v>104</v>
      </c>
      <c r="E91" s="53" t="s">
        <v>258</v>
      </c>
      <c r="F91" s="52"/>
      <c r="G91" s="54">
        <f>SUM(G92)</f>
        <v>0</v>
      </c>
    </row>
    <row r="92" spans="1:7" ht="15.75" hidden="1">
      <c r="A92" s="51" t="s">
        <v>100</v>
      </c>
      <c r="B92" s="86"/>
      <c r="C92" s="53" t="s">
        <v>38</v>
      </c>
      <c r="D92" s="53" t="s">
        <v>104</v>
      </c>
      <c r="E92" s="52" t="s">
        <v>258</v>
      </c>
      <c r="F92" s="52">
        <v>200</v>
      </c>
      <c r="G92" s="54"/>
    </row>
    <row r="93" spans="1:7" ht="31.5">
      <c r="A93" s="51" t="s">
        <v>259</v>
      </c>
      <c r="B93" s="86"/>
      <c r="C93" s="53" t="s">
        <v>38</v>
      </c>
      <c r="D93" s="53" t="s">
        <v>104</v>
      </c>
      <c r="E93" s="53" t="s">
        <v>260</v>
      </c>
      <c r="F93" s="52"/>
      <c r="G93" s="54">
        <f>SUM(G94:G95)</f>
        <v>100</v>
      </c>
    </row>
    <row r="94" spans="1:7" ht="31.5">
      <c r="A94" s="51" t="s">
        <v>56</v>
      </c>
      <c r="B94" s="86"/>
      <c r="C94" s="53" t="s">
        <v>38</v>
      </c>
      <c r="D94" s="53" t="s">
        <v>104</v>
      </c>
      <c r="E94" s="52" t="s">
        <v>260</v>
      </c>
      <c r="F94" s="52">
        <v>200</v>
      </c>
      <c r="G94" s="54">
        <v>100</v>
      </c>
    </row>
    <row r="95" spans="1:7" ht="15.75" hidden="1">
      <c r="A95" s="51" t="s">
        <v>26</v>
      </c>
      <c r="B95" s="86"/>
      <c r="C95" s="53" t="s">
        <v>38</v>
      </c>
      <c r="D95" s="53" t="s">
        <v>104</v>
      </c>
      <c r="E95" s="52" t="s">
        <v>260</v>
      </c>
      <c r="F95" s="52">
        <v>800</v>
      </c>
      <c r="G95" s="54"/>
    </row>
    <row r="96" spans="1:7" ht="31.5">
      <c r="A96" s="55" t="s">
        <v>239</v>
      </c>
      <c r="B96" s="126"/>
      <c r="C96" s="53" t="s">
        <v>38</v>
      </c>
      <c r="D96" s="53" t="s">
        <v>104</v>
      </c>
      <c r="E96" s="52" t="s">
        <v>240</v>
      </c>
      <c r="F96" s="52"/>
      <c r="G96" s="54">
        <f>SUM(G97)</f>
        <v>28876.7</v>
      </c>
    </row>
    <row r="97" spans="1:7" ht="31.5">
      <c r="A97" s="51" t="s">
        <v>84</v>
      </c>
      <c r="B97" s="86"/>
      <c r="C97" s="53" t="s">
        <v>38</v>
      </c>
      <c r="D97" s="53" t="s">
        <v>104</v>
      </c>
      <c r="E97" s="53" t="s">
        <v>241</v>
      </c>
      <c r="F97" s="52"/>
      <c r="G97" s="54">
        <f>SUM(G98+G101+G103)</f>
        <v>28876.7</v>
      </c>
    </row>
    <row r="98" spans="1:7" ht="15.75">
      <c r="A98" s="51" t="s">
        <v>105</v>
      </c>
      <c r="B98" s="86"/>
      <c r="C98" s="53" t="s">
        <v>38</v>
      </c>
      <c r="D98" s="53" t="s">
        <v>104</v>
      </c>
      <c r="E98" s="52" t="s">
        <v>261</v>
      </c>
      <c r="F98" s="52"/>
      <c r="G98" s="54">
        <f>SUM(G99:G100)</f>
        <v>3792.6</v>
      </c>
    </row>
    <row r="99" spans="1:7" ht="31.5">
      <c r="A99" s="51" t="s">
        <v>56</v>
      </c>
      <c r="B99" s="86"/>
      <c r="C99" s="53" t="s">
        <v>38</v>
      </c>
      <c r="D99" s="53" t="s">
        <v>104</v>
      </c>
      <c r="E99" s="52" t="s">
        <v>261</v>
      </c>
      <c r="F99" s="52">
        <v>200</v>
      </c>
      <c r="G99" s="54">
        <v>3723</v>
      </c>
    </row>
    <row r="100" spans="1:7" ht="15.75">
      <c r="A100" s="51" t="s">
        <v>26</v>
      </c>
      <c r="B100" s="86"/>
      <c r="C100" s="53" t="s">
        <v>38</v>
      </c>
      <c r="D100" s="53" t="s">
        <v>104</v>
      </c>
      <c r="E100" s="52" t="s">
        <v>261</v>
      </c>
      <c r="F100" s="52">
        <v>800</v>
      </c>
      <c r="G100" s="54">
        <v>69.6</v>
      </c>
    </row>
    <row r="101" spans="1:7" ht="31.5">
      <c r="A101" s="51" t="s">
        <v>107</v>
      </c>
      <c r="B101" s="86"/>
      <c r="C101" s="53" t="s">
        <v>38</v>
      </c>
      <c r="D101" s="53" t="s">
        <v>104</v>
      </c>
      <c r="E101" s="52" t="s">
        <v>262</v>
      </c>
      <c r="F101" s="52"/>
      <c r="G101" s="54">
        <f>SUM(G102)</f>
        <v>9482.800000000001</v>
      </c>
    </row>
    <row r="102" spans="1:7" ht="31.5">
      <c r="A102" s="51" t="s">
        <v>56</v>
      </c>
      <c r="B102" s="86"/>
      <c r="C102" s="53" t="s">
        <v>38</v>
      </c>
      <c r="D102" s="53" t="s">
        <v>104</v>
      </c>
      <c r="E102" s="52" t="s">
        <v>262</v>
      </c>
      <c r="F102" s="52">
        <v>200</v>
      </c>
      <c r="G102" s="54">
        <f>10187.5-364.9-189.5-97.3-53</f>
        <v>9482.800000000001</v>
      </c>
    </row>
    <row r="103" spans="1:7" ht="31.5">
      <c r="A103" s="51" t="s">
        <v>108</v>
      </c>
      <c r="B103" s="86"/>
      <c r="C103" s="53" t="s">
        <v>38</v>
      </c>
      <c r="D103" s="53" t="s">
        <v>104</v>
      </c>
      <c r="E103" s="52" t="s">
        <v>263</v>
      </c>
      <c r="F103" s="52"/>
      <c r="G103" s="54">
        <f>SUM(G104:G105)</f>
        <v>15601.3</v>
      </c>
    </row>
    <row r="104" spans="1:7" ht="31.5">
      <c r="A104" s="51" t="s">
        <v>56</v>
      </c>
      <c r="B104" s="86"/>
      <c r="C104" s="53" t="s">
        <v>38</v>
      </c>
      <c r="D104" s="53" t="s">
        <v>104</v>
      </c>
      <c r="E104" s="52" t="s">
        <v>263</v>
      </c>
      <c r="F104" s="52">
        <v>200</v>
      </c>
      <c r="G104" s="54">
        <f>12555.3+364.9-64.4</f>
        <v>12855.8</v>
      </c>
    </row>
    <row r="105" spans="1:7" ht="15.75">
      <c r="A105" s="51" t="s">
        <v>26</v>
      </c>
      <c r="B105" s="86"/>
      <c r="C105" s="53" t="s">
        <v>38</v>
      </c>
      <c r="D105" s="53" t="s">
        <v>104</v>
      </c>
      <c r="E105" s="52" t="s">
        <v>263</v>
      </c>
      <c r="F105" s="52">
        <v>800</v>
      </c>
      <c r="G105" s="54">
        <f>2830.5-85</f>
        <v>2745.5</v>
      </c>
    </row>
    <row r="106" spans="1:7" ht="31.5">
      <c r="A106" s="51" t="s">
        <v>316</v>
      </c>
      <c r="B106" s="86"/>
      <c r="C106" s="53" t="s">
        <v>38</v>
      </c>
      <c r="D106" s="53" t="s">
        <v>104</v>
      </c>
      <c r="E106" s="52" t="s">
        <v>264</v>
      </c>
      <c r="F106" s="52"/>
      <c r="G106" s="54">
        <f>SUM(G107)+G112</f>
        <v>8275.9</v>
      </c>
    </row>
    <row r="107" spans="1:7" ht="31.5">
      <c r="A107" s="51" t="s">
        <v>265</v>
      </c>
      <c r="B107" s="86"/>
      <c r="C107" s="53" t="s">
        <v>38</v>
      </c>
      <c r="D107" s="53" t="s">
        <v>104</v>
      </c>
      <c r="E107" s="52" t="s">
        <v>266</v>
      </c>
      <c r="F107" s="52"/>
      <c r="G107" s="54">
        <f>SUM(G108)</f>
        <v>8175.9</v>
      </c>
    </row>
    <row r="108" spans="1:7" ht="31.5">
      <c r="A108" s="51" t="s">
        <v>84</v>
      </c>
      <c r="B108" s="86"/>
      <c r="C108" s="53" t="s">
        <v>38</v>
      </c>
      <c r="D108" s="53" t="s">
        <v>104</v>
      </c>
      <c r="E108" s="52" t="s">
        <v>267</v>
      </c>
      <c r="F108" s="52"/>
      <c r="G108" s="54">
        <f>SUM(G109)</f>
        <v>8175.9</v>
      </c>
    </row>
    <row r="109" spans="1:7" ht="31.5">
      <c r="A109" s="51" t="s">
        <v>268</v>
      </c>
      <c r="B109" s="86"/>
      <c r="C109" s="53" t="s">
        <v>38</v>
      </c>
      <c r="D109" s="53" t="s">
        <v>104</v>
      </c>
      <c r="E109" s="52" t="s">
        <v>269</v>
      </c>
      <c r="F109" s="52"/>
      <c r="G109" s="54">
        <f>SUM(G110:G111)</f>
        <v>8175.9</v>
      </c>
    </row>
    <row r="110" spans="1:7" ht="31.5">
      <c r="A110" s="51" t="s">
        <v>56</v>
      </c>
      <c r="B110" s="86"/>
      <c r="C110" s="53" t="s">
        <v>38</v>
      </c>
      <c r="D110" s="53" t="s">
        <v>104</v>
      </c>
      <c r="E110" s="52" t="s">
        <v>269</v>
      </c>
      <c r="F110" s="52">
        <v>200</v>
      </c>
      <c r="G110" s="54">
        <v>8090.9</v>
      </c>
    </row>
    <row r="111" spans="1:7" ht="15.75">
      <c r="A111" s="51" t="s">
        <v>26</v>
      </c>
      <c r="B111" s="86"/>
      <c r="C111" s="53" t="s">
        <v>38</v>
      </c>
      <c r="D111" s="53" t="s">
        <v>104</v>
      </c>
      <c r="E111" s="52" t="s">
        <v>269</v>
      </c>
      <c r="F111" s="52">
        <v>800</v>
      </c>
      <c r="G111" s="54">
        <v>85</v>
      </c>
    </row>
    <row r="112" spans="1:7" ht="31.5">
      <c r="A112" s="51" t="s">
        <v>270</v>
      </c>
      <c r="B112" s="86"/>
      <c r="C112" s="53" t="s">
        <v>38</v>
      </c>
      <c r="D112" s="53" t="s">
        <v>104</v>
      </c>
      <c r="E112" s="52" t="s">
        <v>271</v>
      </c>
      <c r="F112" s="52"/>
      <c r="G112" s="54">
        <f>SUM(G113)</f>
        <v>100</v>
      </c>
    </row>
    <row r="113" spans="1:7" ht="31.5">
      <c r="A113" s="51" t="s">
        <v>84</v>
      </c>
      <c r="B113" s="86"/>
      <c r="C113" s="53" t="s">
        <v>38</v>
      </c>
      <c r="D113" s="53" t="s">
        <v>104</v>
      </c>
      <c r="E113" s="52" t="s">
        <v>272</v>
      </c>
      <c r="F113" s="52"/>
      <c r="G113" s="54">
        <f>SUM(G114)</f>
        <v>100</v>
      </c>
    </row>
    <row r="114" spans="1:7" ht="31.5">
      <c r="A114" s="51" t="s">
        <v>268</v>
      </c>
      <c r="B114" s="86"/>
      <c r="C114" s="53" t="s">
        <v>38</v>
      </c>
      <c r="D114" s="53" t="s">
        <v>104</v>
      </c>
      <c r="E114" s="52" t="s">
        <v>273</v>
      </c>
      <c r="F114" s="52"/>
      <c r="G114" s="54">
        <f>SUM(G115:G116)</f>
        <v>100</v>
      </c>
    </row>
    <row r="115" spans="1:7" ht="28.5" customHeight="1">
      <c r="A115" s="51" t="s">
        <v>56</v>
      </c>
      <c r="B115" s="86"/>
      <c r="C115" s="53" t="s">
        <v>38</v>
      </c>
      <c r="D115" s="53" t="s">
        <v>104</v>
      </c>
      <c r="E115" s="52" t="s">
        <v>273</v>
      </c>
      <c r="F115" s="52">
        <v>200</v>
      </c>
      <c r="G115" s="54">
        <v>100</v>
      </c>
    </row>
    <row r="116" spans="1:7" ht="15.75" hidden="1">
      <c r="A116" s="51" t="s">
        <v>26</v>
      </c>
      <c r="B116" s="86"/>
      <c r="C116" s="53" t="s">
        <v>38</v>
      </c>
      <c r="D116" s="53" t="s">
        <v>104</v>
      </c>
      <c r="E116" s="52" t="s">
        <v>273</v>
      </c>
      <c r="F116" s="52">
        <v>800</v>
      </c>
      <c r="G116" s="54"/>
    </row>
    <row r="117" spans="1:7" ht="31.5" hidden="1">
      <c r="A117" s="51" t="s">
        <v>274</v>
      </c>
      <c r="B117" s="86"/>
      <c r="C117" s="53" t="s">
        <v>38</v>
      </c>
      <c r="D117" s="53" t="s">
        <v>104</v>
      </c>
      <c r="E117" s="52" t="s">
        <v>275</v>
      </c>
      <c r="F117" s="52"/>
      <c r="G117" s="54">
        <f>SUM(G118)</f>
        <v>0</v>
      </c>
    </row>
    <row r="118" spans="1:7" ht="15.75" hidden="1">
      <c r="A118" s="51" t="s">
        <v>100</v>
      </c>
      <c r="B118" s="86"/>
      <c r="C118" s="53" t="s">
        <v>38</v>
      </c>
      <c r="D118" s="53" t="s">
        <v>104</v>
      </c>
      <c r="E118" s="52" t="s">
        <v>275</v>
      </c>
      <c r="F118" s="52">
        <v>200</v>
      </c>
      <c r="G118" s="54"/>
    </row>
    <row r="119" spans="1:7" ht="31.5">
      <c r="A119" s="51" t="s">
        <v>276</v>
      </c>
      <c r="B119" s="86"/>
      <c r="C119" s="53" t="s">
        <v>38</v>
      </c>
      <c r="D119" s="53" t="s">
        <v>104</v>
      </c>
      <c r="E119" s="52" t="s">
        <v>277</v>
      </c>
      <c r="F119" s="52"/>
      <c r="G119" s="54">
        <f>SUM(G120:G122)</f>
        <v>632.4</v>
      </c>
    </row>
    <row r="120" spans="1:7" ht="47.25">
      <c r="A120" s="70" t="s">
        <v>55</v>
      </c>
      <c r="B120" s="86"/>
      <c r="C120" s="167" t="s">
        <v>38</v>
      </c>
      <c r="D120" s="167" t="s">
        <v>104</v>
      </c>
      <c r="E120" s="52" t="s">
        <v>277</v>
      </c>
      <c r="F120" s="52">
        <v>100</v>
      </c>
      <c r="G120" s="54">
        <v>13.3</v>
      </c>
    </row>
    <row r="121" spans="1:7" ht="31.5">
      <c r="A121" s="51" t="s">
        <v>56</v>
      </c>
      <c r="B121" s="86"/>
      <c r="C121" s="53" t="s">
        <v>38</v>
      </c>
      <c r="D121" s="53" t="s">
        <v>104</v>
      </c>
      <c r="E121" s="52" t="s">
        <v>277</v>
      </c>
      <c r="F121" s="52">
        <v>200</v>
      </c>
      <c r="G121" s="54">
        <f>482.4-13.3</f>
        <v>469.09999999999997</v>
      </c>
    </row>
    <row r="122" spans="1:7" ht="15.75">
      <c r="A122" s="51" t="s">
        <v>46</v>
      </c>
      <c r="B122" s="86"/>
      <c r="C122" s="53" t="s">
        <v>38</v>
      </c>
      <c r="D122" s="53" t="s">
        <v>104</v>
      </c>
      <c r="E122" s="52" t="s">
        <v>277</v>
      </c>
      <c r="F122" s="52">
        <v>300</v>
      </c>
      <c r="G122" s="54">
        <v>150</v>
      </c>
    </row>
    <row r="123" spans="1:7" ht="31.5">
      <c r="A123" s="51" t="s">
        <v>278</v>
      </c>
      <c r="B123" s="86"/>
      <c r="C123" s="53" t="s">
        <v>38</v>
      </c>
      <c r="D123" s="53" t="s">
        <v>104</v>
      </c>
      <c r="E123" s="52" t="s">
        <v>279</v>
      </c>
      <c r="F123" s="52"/>
      <c r="G123" s="54">
        <f>SUM(G124)</f>
        <v>133</v>
      </c>
    </row>
    <row r="124" spans="1:7" ht="31.5">
      <c r="A124" s="51" t="s">
        <v>56</v>
      </c>
      <c r="B124" s="86"/>
      <c r="C124" s="53" t="s">
        <v>38</v>
      </c>
      <c r="D124" s="53" t="s">
        <v>104</v>
      </c>
      <c r="E124" s="52" t="s">
        <v>279</v>
      </c>
      <c r="F124" s="52">
        <v>200</v>
      </c>
      <c r="G124" s="54">
        <v>133</v>
      </c>
    </row>
    <row r="125" spans="1:7" ht="31.5">
      <c r="A125" s="51" t="s">
        <v>280</v>
      </c>
      <c r="B125" s="86"/>
      <c r="C125" s="53" t="s">
        <v>38</v>
      </c>
      <c r="D125" s="53" t="s">
        <v>104</v>
      </c>
      <c r="E125" s="52" t="s">
        <v>281</v>
      </c>
      <c r="F125" s="52"/>
      <c r="G125" s="54">
        <f>SUM(G126+G129)+G131</f>
        <v>3072.2000000000003</v>
      </c>
    </row>
    <row r="126" spans="1:8" ht="78.75">
      <c r="A126" s="55" t="s">
        <v>246</v>
      </c>
      <c r="B126" s="86"/>
      <c r="C126" s="53" t="s">
        <v>38</v>
      </c>
      <c r="D126" s="53" t="s">
        <v>104</v>
      </c>
      <c r="E126" s="52" t="s">
        <v>535</v>
      </c>
      <c r="F126" s="52"/>
      <c r="G126" s="54">
        <f>SUM(G127)</f>
        <v>87.4</v>
      </c>
      <c r="H126" s="2"/>
    </row>
    <row r="127" spans="1:8" ht="31.5">
      <c r="A127" s="51" t="s">
        <v>534</v>
      </c>
      <c r="B127" s="86"/>
      <c r="C127" s="53" t="s">
        <v>38</v>
      </c>
      <c r="D127" s="53" t="s">
        <v>104</v>
      </c>
      <c r="E127" s="52" t="s">
        <v>536</v>
      </c>
      <c r="F127" s="52"/>
      <c r="G127" s="54">
        <f>SUM(G128)</f>
        <v>87.4</v>
      </c>
      <c r="H127" s="2"/>
    </row>
    <row r="128" spans="1:8" ht="31.5">
      <c r="A128" s="51" t="s">
        <v>283</v>
      </c>
      <c r="B128" s="86"/>
      <c r="C128" s="53" t="s">
        <v>38</v>
      </c>
      <c r="D128" s="53" t="s">
        <v>104</v>
      </c>
      <c r="E128" s="52" t="s">
        <v>536</v>
      </c>
      <c r="F128" s="52">
        <v>600</v>
      </c>
      <c r="G128" s="54">
        <v>87.4</v>
      </c>
      <c r="H128" s="2"/>
    </row>
    <row r="129" spans="1:8" ht="47.25">
      <c r="A129" s="51" t="s">
        <v>30</v>
      </c>
      <c r="B129" s="86"/>
      <c r="C129" s="53" t="s">
        <v>38</v>
      </c>
      <c r="D129" s="53" t="s">
        <v>104</v>
      </c>
      <c r="E129" s="52" t="s">
        <v>282</v>
      </c>
      <c r="F129" s="52"/>
      <c r="G129" s="54">
        <f>SUM(G130)</f>
        <v>2712.3</v>
      </c>
      <c r="H129" s="2"/>
    </row>
    <row r="130" spans="1:8" ht="31.5">
      <c r="A130" s="51" t="s">
        <v>283</v>
      </c>
      <c r="B130" s="86"/>
      <c r="C130" s="53" t="s">
        <v>38</v>
      </c>
      <c r="D130" s="53" t="s">
        <v>104</v>
      </c>
      <c r="E130" s="52" t="s">
        <v>282</v>
      </c>
      <c r="F130" s="52">
        <v>600</v>
      </c>
      <c r="G130" s="58">
        <f>2712.3</f>
        <v>2712.3</v>
      </c>
      <c r="H130" s="2"/>
    </row>
    <row r="131" spans="1:8" ht="15.75">
      <c r="A131" s="117" t="s">
        <v>166</v>
      </c>
      <c r="B131" s="86"/>
      <c r="C131" s="118" t="s">
        <v>38</v>
      </c>
      <c r="D131" s="118" t="s">
        <v>104</v>
      </c>
      <c r="E131" s="52" t="s">
        <v>755</v>
      </c>
      <c r="F131" s="52"/>
      <c r="G131" s="58">
        <f>SUM(G132)</f>
        <v>272.5</v>
      </c>
      <c r="H131" s="2"/>
    </row>
    <row r="132" spans="1:8" ht="15.75">
      <c r="A132" s="77" t="s">
        <v>670</v>
      </c>
      <c r="B132" s="86"/>
      <c r="C132" s="118" t="s">
        <v>38</v>
      </c>
      <c r="D132" s="118" t="s">
        <v>104</v>
      </c>
      <c r="E132" s="52" t="s">
        <v>756</v>
      </c>
      <c r="F132" s="52"/>
      <c r="G132" s="58">
        <f>SUM(G133)</f>
        <v>272.5</v>
      </c>
      <c r="H132" s="2"/>
    </row>
    <row r="133" spans="1:8" ht="31.5">
      <c r="A133" s="117" t="s">
        <v>283</v>
      </c>
      <c r="B133" s="86"/>
      <c r="C133" s="118" t="s">
        <v>38</v>
      </c>
      <c r="D133" s="118" t="s">
        <v>104</v>
      </c>
      <c r="E133" s="52" t="s">
        <v>756</v>
      </c>
      <c r="F133" s="52">
        <v>600</v>
      </c>
      <c r="G133" s="58">
        <v>272.5</v>
      </c>
      <c r="H133" s="2"/>
    </row>
    <row r="134" spans="1:8" ht="15.75">
      <c r="A134" s="123" t="s">
        <v>216</v>
      </c>
      <c r="B134" s="86"/>
      <c r="C134" s="53" t="s">
        <v>38</v>
      </c>
      <c r="D134" s="53" t="s">
        <v>104</v>
      </c>
      <c r="E134" s="52" t="s">
        <v>217</v>
      </c>
      <c r="F134" s="52"/>
      <c r="G134" s="54">
        <f>G135</f>
        <v>9360.4</v>
      </c>
      <c r="H134" s="2"/>
    </row>
    <row r="135" spans="1:8" ht="31.5">
      <c r="A135" s="123" t="s">
        <v>108</v>
      </c>
      <c r="B135" s="86"/>
      <c r="C135" s="53" t="s">
        <v>38</v>
      </c>
      <c r="D135" s="53" t="s">
        <v>104</v>
      </c>
      <c r="E135" s="52" t="s">
        <v>119</v>
      </c>
      <c r="F135" s="52"/>
      <c r="G135" s="54">
        <f>G136</f>
        <v>9360.4</v>
      </c>
      <c r="H135" s="2"/>
    </row>
    <row r="136" spans="1:8" ht="15.75">
      <c r="A136" s="51" t="s">
        <v>26</v>
      </c>
      <c r="B136" s="86"/>
      <c r="C136" s="53" t="s">
        <v>38</v>
      </c>
      <c r="D136" s="53" t="s">
        <v>104</v>
      </c>
      <c r="E136" s="52" t="s">
        <v>119</v>
      </c>
      <c r="F136" s="52">
        <v>800</v>
      </c>
      <c r="G136" s="54">
        <v>9360.4</v>
      </c>
      <c r="H136" s="2"/>
    </row>
    <row r="137" spans="1:7" ht="15.75">
      <c r="A137" s="51" t="s">
        <v>284</v>
      </c>
      <c r="B137" s="86"/>
      <c r="C137" s="53" t="s">
        <v>58</v>
      </c>
      <c r="D137" s="53"/>
      <c r="E137" s="53"/>
      <c r="F137" s="53"/>
      <c r="G137" s="54">
        <f>SUM(G138)+G145</f>
        <v>24966.200000000004</v>
      </c>
    </row>
    <row r="138" spans="1:7" ht="15.75">
      <c r="A138" s="128" t="s">
        <v>190</v>
      </c>
      <c r="B138" s="52"/>
      <c r="C138" s="53" t="s">
        <v>58</v>
      </c>
      <c r="D138" s="53" t="s">
        <v>17</v>
      </c>
      <c r="E138" s="53"/>
      <c r="F138" s="53"/>
      <c r="G138" s="54">
        <f>SUM(G139)</f>
        <v>5937.7</v>
      </c>
    </row>
    <row r="139" spans="1:7" ht="47.25">
      <c r="A139" s="51" t="s">
        <v>550</v>
      </c>
      <c r="B139" s="86"/>
      <c r="C139" s="53" t="s">
        <v>58</v>
      </c>
      <c r="D139" s="53" t="s">
        <v>17</v>
      </c>
      <c r="E139" s="53" t="s">
        <v>551</v>
      </c>
      <c r="F139" s="53"/>
      <c r="G139" s="54">
        <f>SUM(G140)</f>
        <v>5937.7</v>
      </c>
    </row>
    <row r="140" spans="1:7" ht="78.75">
      <c r="A140" s="55" t="s">
        <v>246</v>
      </c>
      <c r="B140" s="126"/>
      <c r="C140" s="53" t="s">
        <v>58</v>
      </c>
      <c r="D140" s="53" t="s">
        <v>17</v>
      </c>
      <c r="E140" s="53" t="s">
        <v>552</v>
      </c>
      <c r="F140" s="53"/>
      <c r="G140" s="54">
        <f>SUM(G141)</f>
        <v>5937.7</v>
      </c>
    </row>
    <row r="141" spans="1:7" ht="31.5">
      <c r="A141" s="51" t="s">
        <v>285</v>
      </c>
      <c r="B141" s="86"/>
      <c r="C141" s="53" t="s">
        <v>58</v>
      </c>
      <c r="D141" s="53" t="s">
        <v>17</v>
      </c>
      <c r="E141" s="53" t="s">
        <v>553</v>
      </c>
      <c r="F141" s="53"/>
      <c r="G141" s="54">
        <f>SUM(G142:G144)</f>
        <v>5937.7</v>
      </c>
    </row>
    <row r="142" spans="1:7" ht="47.25">
      <c r="A142" s="70" t="s">
        <v>55</v>
      </c>
      <c r="B142" s="86"/>
      <c r="C142" s="53" t="s">
        <v>58</v>
      </c>
      <c r="D142" s="53" t="s">
        <v>17</v>
      </c>
      <c r="E142" s="53" t="s">
        <v>553</v>
      </c>
      <c r="F142" s="53" t="s">
        <v>99</v>
      </c>
      <c r="G142" s="54">
        <v>3615.5</v>
      </c>
    </row>
    <row r="143" spans="1:7" ht="31.5">
      <c r="A143" s="51" t="s">
        <v>56</v>
      </c>
      <c r="B143" s="86"/>
      <c r="C143" s="53" t="s">
        <v>58</v>
      </c>
      <c r="D143" s="53" t="s">
        <v>17</v>
      </c>
      <c r="E143" s="53" t="s">
        <v>553</v>
      </c>
      <c r="F143" s="53" t="s">
        <v>101</v>
      </c>
      <c r="G143" s="54">
        <v>2224.2</v>
      </c>
    </row>
    <row r="144" spans="1:7" ht="15.75">
      <c r="A144" s="51" t="s">
        <v>26</v>
      </c>
      <c r="B144" s="86"/>
      <c r="C144" s="53" t="s">
        <v>58</v>
      </c>
      <c r="D144" s="53" t="s">
        <v>17</v>
      </c>
      <c r="E144" s="53" t="s">
        <v>553</v>
      </c>
      <c r="F144" s="53" t="s">
        <v>106</v>
      </c>
      <c r="G144" s="54">
        <v>98</v>
      </c>
    </row>
    <row r="145" spans="1:7" ht="31.5">
      <c r="A145" s="70" t="s">
        <v>369</v>
      </c>
      <c r="B145" s="80"/>
      <c r="C145" s="80" t="s">
        <v>58</v>
      </c>
      <c r="D145" s="80" t="s">
        <v>192</v>
      </c>
      <c r="E145" s="80"/>
      <c r="F145" s="80"/>
      <c r="G145" s="64">
        <f>SUM(G146+G164)</f>
        <v>19028.500000000004</v>
      </c>
    </row>
    <row r="146" spans="1:7" ht="31.5">
      <c r="A146" s="70" t="s">
        <v>370</v>
      </c>
      <c r="B146" s="80"/>
      <c r="C146" s="80" t="s">
        <v>58</v>
      </c>
      <c r="D146" s="80" t="s">
        <v>192</v>
      </c>
      <c r="E146" s="80" t="s">
        <v>376</v>
      </c>
      <c r="F146" s="80"/>
      <c r="G146" s="64">
        <f>SUM(G147,G157,G161)</f>
        <v>18528.500000000004</v>
      </c>
    </row>
    <row r="147" spans="1:7" ht="47.25">
      <c r="A147" s="70" t="s">
        <v>371</v>
      </c>
      <c r="B147" s="80"/>
      <c r="C147" s="80" t="s">
        <v>58</v>
      </c>
      <c r="D147" s="80" t="s">
        <v>192</v>
      </c>
      <c r="E147" s="80" t="s">
        <v>377</v>
      </c>
      <c r="F147" s="80"/>
      <c r="G147" s="64">
        <f>SUM(G148,G153)</f>
        <v>16935.4</v>
      </c>
    </row>
    <row r="148" spans="1:7" ht="15.75">
      <c r="A148" s="70" t="s">
        <v>39</v>
      </c>
      <c r="B148" s="80"/>
      <c r="C148" s="80" t="s">
        <v>58</v>
      </c>
      <c r="D148" s="80" t="s">
        <v>192</v>
      </c>
      <c r="E148" s="80" t="s">
        <v>378</v>
      </c>
      <c r="F148" s="80"/>
      <c r="G148" s="64">
        <f>SUM(G149)+G151</f>
        <v>1079.9</v>
      </c>
    </row>
    <row r="149" spans="1:7" ht="31.5">
      <c r="A149" s="70" t="s">
        <v>372</v>
      </c>
      <c r="B149" s="80"/>
      <c r="C149" s="80" t="s">
        <v>58</v>
      </c>
      <c r="D149" s="80" t="s">
        <v>192</v>
      </c>
      <c r="E149" s="80" t="s">
        <v>379</v>
      </c>
      <c r="F149" s="80"/>
      <c r="G149" s="64">
        <f>SUM(G150)</f>
        <v>1036.9</v>
      </c>
    </row>
    <row r="150" spans="1:7" ht="31.5">
      <c r="A150" s="70" t="s">
        <v>56</v>
      </c>
      <c r="B150" s="80"/>
      <c r="C150" s="80" t="s">
        <v>58</v>
      </c>
      <c r="D150" s="80" t="s">
        <v>192</v>
      </c>
      <c r="E150" s="80" t="s">
        <v>379</v>
      </c>
      <c r="F150" s="80" t="s">
        <v>101</v>
      </c>
      <c r="G150" s="64">
        <v>1036.9</v>
      </c>
    </row>
    <row r="151" spans="1:7" ht="31.5">
      <c r="A151" s="70" t="s">
        <v>373</v>
      </c>
      <c r="B151" s="80"/>
      <c r="C151" s="80" t="s">
        <v>58</v>
      </c>
      <c r="D151" s="80" t="s">
        <v>192</v>
      </c>
      <c r="E151" s="80" t="s">
        <v>380</v>
      </c>
      <c r="F151" s="80"/>
      <c r="G151" s="64">
        <f>SUM(G152)</f>
        <v>43</v>
      </c>
    </row>
    <row r="152" spans="1:7" ht="31.5">
      <c r="A152" s="70" t="s">
        <v>56</v>
      </c>
      <c r="B152" s="80"/>
      <c r="C152" s="80" t="s">
        <v>58</v>
      </c>
      <c r="D152" s="80" t="s">
        <v>192</v>
      </c>
      <c r="E152" s="80" t="s">
        <v>380</v>
      </c>
      <c r="F152" s="80" t="s">
        <v>101</v>
      </c>
      <c r="G152" s="64">
        <v>43</v>
      </c>
    </row>
    <row r="153" spans="1:7" ht="31.5">
      <c r="A153" s="70" t="s">
        <v>49</v>
      </c>
      <c r="B153" s="80"/>
      <c r="C153" s="80" t="s">
        <v>58</v>
      </c>
      <c r="D153" s="80" t="s">
        <v>192</v>
      </c>
      <c r="E153" s="80" t="s">
        <v>381</v>
      </c>
      <c r="F153" s="80"/>
      <c r="G153" s="64">
        <f>SUM(G154:G156)</f>
        <v>15855.500000000002</v>
      </c>
    </row>
    <row r="154" spans="1:7" ht="47.25">
      <c r="A154" s="70" t="s">
        <v>55</v>
      </c>
      <c r="B154" s="80"/>
      <c r="C154" s="80" t="s">
        <v>58</v>
      </c>
      <c r="D154" s="80" t="s">
        <v>192</v>
      </c>
      <c r="E154" s="80" t="s">
        <v>381</v>
      </c>
      <c r="F154" s="80" t="s">
        <v>99</v>
      </c>
      <c r="G154" s="64">
        <v>10390.1</v>
      </c>
    </row>
    <row r="155" spans="1:7" ht="31.5">
      <c r="A155" s="70" t="s">
        <v>56</v>
      </c>
      <c r="B155" s="80"/>
      <c r="C155" s="80" t="s">
        <v>58</v>
      </c>
      <c r="D155" s="80" t="s">
        <v>192</v>
      </c>
      <c r="E155" s="80" t="s">
        <v>381</v>
      </c>
      <c r="F155" s="80" t="s">
        <v>101</v>
      </c>
      <c r="G155" s="64">
        <v>5343.3</v>
      </c>
    </row>
    <row r="156" spans="1:7" ht="15.75">
      <c r="A156" s="70" t="s">
        <v>26</v>
      </c>
      <c r="B156" s="80"/>
      <c r="C156" s="80" t="s">
        <v>58</v>
      </c>
      <c r="D156" s="80" t="s">
        <v>192</v>
      </c>
      <c r="E156" s="80" t="s">
        <v>381</v>
      </c>
      <c r="F156" s="80" t="s">
        <v>106</v>
      </c>
      <c r="G156" s="64">
        <v>122.1</v>
      </c>
    </row>
    <row r="157" spans="1:8" ht="47.25">
      <c r="A157" s="70" t="s">
        <v>374</v>
      </c>
      <c r="B157" s="80"/>
      <c r="C157" s="80" t="s">
        <v>58</v>
      </c>
      <c r="D157" s="80" t="s">
        <v>192</v>
      </c>
      <c r="E157" s="80" t="s">
        <v>382</v>
      </c>
      <c r="F157" s="80"/>
      <c r="G157" s="64">
        <f>SUM(G158)</f>
        <v>1133.2</v>
      </c>
      <c r="H157" s="127"/>
    </row>
    <row r="158" spans="1:7" ht="15.75">
      <c r="A158" s="70" t="s">
        <v>39</v>
      </c>
      <c r="B158" s="80"/>
      <c r="C158" s="80" t="s">
        <v>58</v>
      </c>
      <c r="D158" s="80" t="s">
        <v>192</v>
      </c>
      <c r="E158" s="80" t="s">
        <v>383</v>
      </c>
      <c r="F158" s="80"/>
      <c r="G158" s="64">
        <f>SUM(G159)</f>
        <v>1133.2</v>
      </c>
    </row>
    <row r="159" spans="1:7" ht="31.5">
      <c r="A159" s="70" t="s">
        <v>373</v>
      </c>
      <c r="B159" s="80"/>
      <c r="C159" s="80" t="s">
        <v>58</v>
      </c>
      <c r="D159" s="80" t="s">
        <v>192</v>
      </c>
      <c r="E159" s="80" t="s">
        <v>384</v>
      </c>
      <c r="F159" s="80"/>
      <c r="G159" s="64">
        <f>SUM(G160)</f>
        <v>1133.2</v>
      </c>
    </row>
    <row r="160" spans="1:7" ht="31.5">
      <c r="A160" s="70" t="s">
        <v>56</v>
      </c>
      <c r="B160" s="80"/>
      <c r="C160" s="80" t="s">
        <v>58</v>
      </c>
      <c r="D160" s="80" t="s">
        <v>192</v>
      </c>
      <c r="E160" s="80" t="s">
        <v>384</v>
      </c>
      <c r="F160" s="80" t="s">
        <v>101</v>
      </c>
      <c r="G160" s="64">
        <v>1133.2</v>
      </c>
    </row>
    <row r="161" spans="1:7" ht="31.5">
      <c r="A161" s="70" t="s">
        <v>375</v>
      </c>
      <c r="B161" s="80"/>
      <c r="C161" s="80" t="s">
        <v>58</v>
      </c>
      <c r="D161" s="80" t="s">
        <v>192</v>
      </c>
      <c r="E161" s="80" t="s">
        <v>385</v>
      </c>
      <c r="F161" s="80"/>
      <c r="G161" s="64">
        <f>SUM(G162)</f>
        <v>459.9</v>
      </c>
    </row>
    <row r="162" spans="1:7" ht="15.75">
      <c r="A162" s="70" t="s">
        <v>39</v>
      </c>
      <c r="B162" s="80"/>
      <c r="C162" s="80" t="s">
        <v>58</v>
      </c>
      <c r="D162" s="80" t="s">
        <v>192</v>
      </c>
      <c r="E162" s="80" t="s">
        <v>386</v>
      </c>
      <c r="F162" s="80"/>
      <c r="G162" s="64">
        <f>SUM(G163)</f>
        <v>459.9</v>
      </c>
    </row>
    <row r="163" spans="1:7" ht="31.5">
      <c r="A163" s="70" t="s">
        <v>56</v>
      </c>
      <c r="B163" s="80"/>
      <c r="C163" s="80" t="s">
        <v>58</v>
      </c>
      <c r="D163" s="80" t="s">
        <v>192</v>
      </c>
      <c r="E163" s="80" t="s">
        <v>386</v>
      </c>
      <c r="F163" s="80" t="s">
        <v>101</v>
      </c>
      <c r="G163" s="64">
        <v>459.9</v>
      </c>
    </row>
    <row r="164" spans="1:7" ht="15.75">
      <c r="A164" s="70" t="s">
        <v>216</v>
      </c>
      <c r="B164" s="80"/>
      <c r="C164" s="80" t="s">
        <v>58</v>
      </c>
      <c r="D164" s="80" t="s">
        <v>192</v>
      </c>
      <c r="E164" s="80" t="s">
        <v>217</v>
      </c>
      <c r="F164" s="80"/>
      <c r="G164" s="64">
        <f>SUM(G165)</f>
        <v>500</v>
      </c>
    </row>
    <row r="165" spans="1:7" ht="47.25">
      <c r="A165" s="70" t="s">
        <v>366</v>
      </c>
      <c r="B165" s="80"/>
      <c r="C165" s="80" t="s">
        <v>58</v>
      </c>
      <c r="D165" s="80" t="s">
        <v>192</v>
      </c>
      <c r="E165" s="80" t="s">
        <v>424</v>
      </c>
      <c r="F165" s="80"/>
      <c r="G165" s="64">
        <f>SUM(G166)</f>
        <v>500</v>
      </c>
    </row>
    <row r="166" spans="1:7" ht="31.5">
      <c r="A166" s="70" t="s">
        <v>423</v>
      </c>
      <c r="B166" s="80"/>
      <c r="C166" s="80" t="s">
        <v>58</v>
      </c>
      <c r="D166" s="80" t="s">
        <v>192</v>
      </c>
      <c r="E166" s="80" t="s">
        <v>425</v>
      </c>
      <c r="F166" s="80"/>
      <c r="G166" s="64">
        <f>SUM(G167)</f>
        <v>500</v>
      </c>
    </row>
    <row r="167" spans="1:7" ht="31.5">
      <c r="A167" s="70" t="s">
        <v>56</v>
      </c>
      <c r="B167" s="80"/>
      <c r="C167" s="80" t="s">
        <v>58</v>
      </c>
      <c r="D167" s="80" t="s">
        <v>192</v>
      </c>
      <c r="E167" s="80" t="s">
        <v>425</v>
      </c>
      <c r="F167" s="80" t="s">
        <v>101</v>
      </c>
      <c r="G167" s="64">
        <v>500</v>
      </c>
    </row>
    <row r="168" spans="1:7" ht="15.75">
      <c r="A168" s="51" t="s">
        <v>16</v>
      </c>
      <c r="B168" s="86"/>
      <c r="C168" s="53" t="s">
        <v>17</v>
      </c>
      <c r="D168" s="52"/>
      <c r="E168" s="52"/>
      <c r="F168" s="52"/>
      <c r="G168" s="54">
        <f>SUM(G192)+G169+G177</f>
        <v>212403.90000000002</v>
      </c>
    </row>
    <row r="169" spans="1:7" ht="15.75">
      <c r="A169" s="70" t="s">
        <v>18</v>
      </c>
      <c r="B169" s="80"/>
      <c r="C169" s="80" t="s">
        <v>17</v>
      </c>
      <c r="D169" s="80" t="s">
        <v>19</v>
      </c>
      <c r="E169" s="80"/>
      <c r="F169" s="80"/>
      <c r="G169" s="64">
        <f>SUM(G170)</f>
        <v>93243</v>
      </c>
    </row>
    <row r="170" spans="1:7" ht="31.5">
      <c r="A170" s="70" t="s">
        <v>346</v>
      </c>
      <c r="B170" s="80"/>
      <c r="C170" s="80" t="s">
        <v>17</v>
      </c>
      <c r="D170" s="80" t="s">
        <v>19</v>
      </c>
      <c r="E170" s="80" t="s">
        <v>387</v>
      </c>
      <c r="F170" s="80"/>
      <c r="G170" s="64">
        <f>SUM(G171)</f>
        <v>93243</v>
      </c>
    </row>
    <row r="171" spans="1:7" ht="31.5">
      <c r="A171" s="70" t="s">
        <v>347</v>
      </c>
      <c r="B171" s="80"/>
      <c r="C171" s="80" t="s">
        <v>17</v>
      </c>
      <c r="D171" s="80" t="s">
        <v>19</v>
      </c>
      <c r="E171" s="80" t="s">
        <v>388</v>
      </c>
      <c r="F171" s="80"/>
      <c r="G171" s="64">
        <f>SUM(G172)</f>
        <v>93243</v>
      </c>
    </row>
    <row r="172" spans="1:7" ht="47.25">
      <c r="A172" s="70" t="s">
        <v>22</v>
      </c>
      <c r="B172" s="80"/>
      <c r="C172" s="80" t="s">
        <v>17</v>
      </c>
      <c r="D172" s="80" t="s">
        <v>19</v>
      </c>
      <c r="E172" s="80" t="s">
        <v>389</v>
      </c>
      <c r="F172" s="80"/>
      <c r="G172" s="64">
        <f>SUM(G173+G175)</f>
        <v>93243</v>
      </c>
    </row>
    <row r="173" spans="1:7" ht="15.75">
      <c r="A173" s="70" t="s">
        <v>24</v>
      </c>
      <c r="B173" s="80"/>
      <c r="C173" s="80" t="s">
        <v>17</v>
      </c>
      <c r="D173" s="80" t="s">
        <v>19</v>
      </c>
      <c r="E173" s="80" t="s">
        <v>390</v>
      </c>
      <c r="F173" s="80"/>
      <c r="G173" s="64">
        <f>SUM(G174)</f>
        <v>47643</v>
      </c>
    </row>
    <row r="174" spans="1:7" ht="15.75">
      <c r="A174" s="70" t="s">
        <v>26</v>
      </c>
      <c r="B174" s="80"/>
      <c r="C174" s="80" t="s">
        <v>17</v>
      </c>
      <c r="D174" s="80" t="s">
        <v>19</v>
      </c>
      <c r="E174" s="80" t="s">
        <v>390</v>
      </c>
      <c r="F174" s="80" t="s">
        <v>106</v>
      </c>
      <c r="G174" s="64">
        <v>47643</v>
      </c>
    </row>
    <row r="175" spans="1:7" ht="15.75">
      <c r="A175" s="70" t="s">
        <v>348</v>
      </c>
      <c r="B175" s="80"/>
      <c r="C175" s="80" t="s">
        <v>17</v>
      </c>
      <c r="D175" s="80" t="s">
        <v>19</v>
      </c>
      <c r="E175" s="80" t="s">
        <v>391</v>
      </c>
      <c r="F175" s="80"/>
      <c r="G175" s="64">
        <f>SUM(G176)</f>
        <v>45600</v>
      </c>
    </row>
    <row r="176" spans="1:7" ht="15.75">
      <c r="A176" s="70" t="s">
        <v>26</v>
      </c>
      <c r="B176" s="80"/>
      <c r="C176" s="80" t="s">
        <v>17</v>
      </c>
      <c r="D176" s="80" t="s">
        <v>19</v>
      </c>
      <c r="E176" s="80" t="s">
        <v>391</v>
      </c>
      <c r="F176" s="80" t="s">
        <v>106</v>
      </c>
      <c r="G176" s="64">
        <v>45600</v>
      </c>
    </row>
    <row r="177" spans="1:7" ht="15.75">
      <c r="A177" s="70" t="s">
        <v>349</v>
      </c>
      <c r="B177" s="80"/>
      <c r="C177" s="80" t="s">
        <v>17</v>
      </c>
      <c r="D177" s="80" t="s">
        <v>192</v>
      </c>
      <c r="E177" s="80"/>
      <c r="F177" s="80"/>
      <c r="G177" s="64">
        <f>SUM(G178,G184)+G188</f>
        <v>110476.1</v>
      </c>
    </row>
    <row r="178" spans="1:7" ht="31.5">
      <c r="A178" s="70" t="s">
        <v>346</v>
      </c>
      <c r="B178" s="80"/>
      <c r="C178" s="80" t="s">
        <v>17</v>
      </c>
      <c r="D178" s="80" t="s">
        <v>192</v>
      </c>
      <c r="E178" s="80" t="s">
        <v>387</v>
      </c>
      <c r="F178" s="80"/>
      <c r="G178" s="64">
        <f>SUM(G179)</f>
        <v>99741.90000000001</v>
      </c>
    </row>
    <row r="179" spans="1:7" ht="15.75">
      <c r="A179" s="70" t="s">
        <v>350</v>
      </c>
      <c r="B179" s="80"/>
      <c r="C179" s="80" t="s">
        <v>17</v>
      </c>
      <c r="D179" s="80" t="s">
        <v>192</v>
      </c>
      <c r="E179" s="80" t="s">
        <v>392</v>
      </c>
      <c r="F179" s="80"/>
      <c r="G179" s="64">
        <f>SUM(G180)</f>
        <v>99741.90000000001</v>
      </c>
    </row>
    <row r="180" spans="1:7" ht="15.75">
      <c r="A180" s="70" t="s">
        <v>39</v>
      </c>
      <c r="B180" s="80"/>
      <c r="C180" s="80" t="s">
        <v>17</v>
      </c>
      <c r="D180" s="80" t="s">
        <v>192</v>
      </c>
      <c r="E180" s="80" t="s">
        <v>393</v>
      </c>
      <c r="F180" s="80"/>
      <c r="G180" s="64">
        <f>SUM(G181)</f>
        <v>99741.90000000001</v>
      </c>
    </row>
    <row r="181" spans="1:7" ht="31.5">
      <c r="A181" s="70" t="s">
        <v>351</v>
      </c>
      <c r="B181" s="80"/>
      <c r="C181" s="80" t="s">
        <v>17</v>
      </c>
      <c r="D181" s="80" t="s">
        <v>192</v>
      </c>
      <c r="E181" s="80" t="s">
        <v>394</v>
      </c>
      <c r="F181" s="80"/>
      <c r="G181" s="64">
        <f>SUM(G182:G183)</f>
        <v>99741.90000000001</v>
      </c>
    </row>
    <row r="182" spans="1:7" ht="31.5">
      <c r="A182" s="70" t="s">
        <v>56</v>
      </c>
      <c r="B182" s="80"/>
      <c r="C182" s="80" t="s">
        <v>17</v>
      </c>
      <c r="D182" s="80" t="s">
        <v>192</v>
      </c>
      <c r="E182" s="80" t="s">
        <v>394</v>
      </c>
      <c r="F182" s="80" t="s">
        <v>101</v>
      </c>
      <c r="G182" s="64">
        <v>99508.8</v>
      </c>
    </row>
    <row r="183" spans="1:7" ht="31.5">
      <c r="A183" s="70" t="s">
        <v>359</v>
      </c>
      <c r="B183" s="80"/>
      <c r="C183" s="80" t="s">
        <v>17</v>
      </c>
      <c r="D183" s="80" t="s">
        <v>192</v>
      </c>
      <c r="E183" s="80" t="s">
        <v>394</v>
      </c>
      <c r="F183" s="80" t="s">
        <v>313</v>
      </c>
      <c r="G183" s="64">
        <v>233.1</v>
      </c>
    </row>
    <row r="184" spans="1:7" ht="31.5">
      <c r="A184" s="70" t="s">
        <v>440</v>
      </c>
      <c r="B184" s="80"/>
      <c r="C184" s="80" t="s">
        <v>17</v>
      </c>
      <c r="D184" s="80" t="s">
        <v>192</v>
      </c>
      <c r="E184" s="80" t="s">
        <v>395</v>
      </c>
      <c r="F184" s="80"/>
      <c r="G184" s="64">
        <f>SUM(G185)</f>
        <v>10338.7</v>
      </c>
    </row>
    <row r="185" spans="1:7" ht="15.75">
      <c r="A185" s="70" t="s">
        <v>39</v>
      </c>
      <c r="B185" s="80"/>
      <c r="C185" s="80" t="s">
        <v>17</v>
      </c>
      <c r="D185" s="80" t="s">
        <v>192</v>
      </c>
      <c r="E185" s="80" t="s">
        <v>396</v>
      </c>
      <c r="F185" s="80"/>
      <c r="G185" s="64">
        <f>SUM(G186)</f>
        <v>10338.7</v>
      </c>
    </row>
    <row r="186" spans="1:7" ht="31.5">
      <c r="A186" s="70" t="s">
        <v>351</v>
      </c>
      <c r="B186" s="80"/>
      <c r="C186" s="80" t="s">
        <v>17</v>
      </c>
      <c r="D186" s="80" t="s">
        <v>192</v>
      </c>
      <c r="E186" s="80" t="s">
        <v>397</v>
      </c>
      <c r="F186" s="80"/>
      <c r="G186" s="64">
        <f>SUM(G187)</f>
        <v>10338.7</v>
      </c>
    </row>
    <row r="187" spans="1:7" ht="31.5">
      <c r="A187" s="70" t="s">
        <v>56</v>
      </c>
      <c r="B187" s="80"/>
      <c r="C187" s="80" t="s">
        <v>17</v>
      </c>
      <c r="D187" s="80" t="s">
        <v>192</v>
      </c>
      <c r="E187" s="80" t="s">
        <v>397</v>
      </c>
      <c r="F187" s="80" t="s">
        <v>101</v>
      </c>
      <c r="G187" s="64">
        <v>10338.7</v>
      </c>
    </row>
    <row r="188" spans="1:7" ht="31.5">
      <c r="A188" s="70" t="s">
        <v>305</v>
      </c>
      <c r="B188" s="80"/>
      <c r="C188" s="80" t="s">
        <v>17</v>
      </c>
      <c r="D188" s="80" t="s">
        <v>192</v>
      </c>
      <c r="E188" s="80" t="s">
        <v>306</v>
      </c>
      <c r="F188" s="80"/>
      <c r="G188" s="64">
        <f>SUM(G189)</f>
        <v>395.5</v>
      </c>
    </row>
    <row r="189" spans="1:7" ht="31.5">
      <c r="A189" s="70" t="s">
        <v>357</v>
      </c>
      <c r="B189" s="80"/>
      <c r="C189" s="80" t="s">
        <v>17</v>
      </c>
      <c r="D189" s="80" t="s">
        <v>192</v>
      </c>
      <c r="E189" s="80" t="s">
        <v>407</v>
      </c>
      <c r="F189" s="80"/>
      <c r="G189" s="64">
        <f>SUM(G190)</f>
        <v>395.5</v>
      </c>
    </row>
    <row r="190" spans="1:7" ht="31.5">
      <c r="A190" s="70" t="s">
        <v>358</v>
      </c>
      <c r="B190" s="80"/>
      <c r="C190" s="80" t="s">
        <v>17</v>
      </c>
      <c r="D190" s="80" t="s">
        <v>192</v>
      </c>
      <c r="E190" s="80" t="s">
        <v>408</v>
      </c>
      <c r="F190" s="80"/>
      <c r="G190" s="64">
        <f>SUM(G191)</f>
        <v>395.5</v>
      </c>
    </row>
    <row r="191" spans="1:7" ht="31.5">
      <c r="A191" s="70" t="s">
        <v>359</v>
      </c>
      <c r="B191" s="80"/>
      <c r="C191" s="80" t="s">
        <v>17</v>
      </c>
      <c r="D191" s="80" t="s">
        <v>192</v>
      </c>
      <c r="E191" s="80" t="s">
        <v>408</v>
      </c>
      <c r="F191" s="80" t="s">
        <v>313</v>
      </c>
      <c r="G191" s="64">
        <v>395.5</v>
      </c>
    </row>
    <row r="192" spans="1:7" ht="15.75">
      <c r="A192" s="51" t="s">
        <v>27</v>
      </c>
      <c r="B192" s="86"/>
      <c r="C192" s="53" t="s">
        <v>17</v>
      </c>
      <c r="D192" s="53" t="s">
        <v>28</v>
      </c>
      <c r="E192" s="52"/>
      <c r="F192" s="52"/>
      <c r="G192" s="54">
        <f>SUM(G193+G210)+G204+G213</f>
        <v>8684.800000000001</v>
      </c>
    </row>
    <row r="193" spans="1:7" ht="15.75">
      <c r="A193" s="51" t="s">
        <v>319</v>
      </c>
      <c r="B193" s="86"/>
      <c r="C193" s="53" t="s">
        <v>17</v>
      </c>
      <c r="D193" s="53" t="s">
        <v>28</v>
      </c>
      <c r="E193" s="52" t="s">
        <v>286</v>
      </c>
      <c r="F193" s="52"/>
      <c r="G193" s="54">
        <f>SUM(G194+G198)</f>
        <v>3010</v>
      </c>
    </row>
    <row r="194" spans="1:7" ht="31.5">
      <c r="A194" s="51" t="s">
        <v>782</v>
      </c>
      <c r="B194" s="86"/>
      <c r="C194" s="53" t="s">
        <v>17</v>
      </c>
      <c r="D194" s="53" t="s">
        <v>28</v>
      </c>
      <c r="E194" s="53" t="s">
        <v>287</v>
      </c>
      <c r="F194" s="52"/>
      <c r="G194" s="54">
        <f>SUM(G195)</f>
        <v>1500</v>
      </c>
    </row>
    <row r="195" spans="1:7" ht="47.25">
      <c r="A195" s="66" t="s">
        <v>22</v>
      </c>
      <c r="B195" s="129"/>
      <c r="C195" s="53" t="s">
        <v>17</v>
      </c>
      <c r="D195" s="53" t="s">
        <v>28</v>
      </c>
      <c r="E195" s="53" t="s">
        <v>526</v>
      </c>
      <c r="F195" s="52"/>
      <c r="G195" s="54">
        <f>SUM(G196)</f>
        <v>1500</v>
      </c>
    </row>
    <row r="196" spans="1:7" ht="31.5">
      <c r="A196" s="51" t="s">
        <v>288</v>
      </c>
      <c r="B196" s="86"/>
      <c r="C196" s="53" t="s">
        <v>17</v>
      </c>
      <c r="D196" s="53" t="s">
        <v>28</v>
      </c>
      <c r="E196" s="53" t="s">
        <v>345</v>
      </c>
      <c r="F196" s="53"/>
      <c r="G196" s="54">
        <f>SUM(G197)</f>
        <v>1500</v>
      </c>
    </row>
    <row r="197" spans="1:7" ht="15.75">
      <c r="A197" s="51" t="s">
        <v>26</v>
      </c>
      <c r="B197" s="86"/>
      <c r="C197" s="53" t="s">
        <v>17</v>
      </c>
      <c r="D197" s="53" t="s">
        <v>28</v>
      </c>
      <c r="E197" s="53" t="s">
        <v>345</v>
      </c>
      <c r="F197" s="53" t="s">
        <v>106</v>
      </c>
      <c r="G197" s="54">
        <f>500+1000</f>
        <v>1500</v>
      </c>
    </row>
    <row r="198" spans="1:7" ht="15.75">
      <c r="A198" s="51" t="s">
        <v>289</v>
      </c>
      <c r="B198" s="86"/>
      <c r="C198" s="53" t="s">
        <v>17</v>
      </c>
      <c r="D198" s="53" t="s">
        <v>28</v>
      </c>
      <c r="E198" s="53" t="s">
        <v>290</v>
      </c>
      <c r="F198" s="52"/>
      <c r="G198" s="54">
        <f>SUM(G199)</f>
        <v>1510</v>
      </c>
    </row>
    <row r="199" spans="1:7" ht="31.5">
      <c r="A199" s="66" t="s">
        <v>73</v>
      </c>
      <c r="B199" s="129"/>
      <c r="C199" s="53" t="s">
        <v>17</v>
      </c>
      <c r="D199" s="53" t="s">
        <v>28</v>
      </c>
      <c r="E199" s="53" t="s">
        <v>645</v>
      </c>
      <c r="F199" s="52"/>
      <c r="G199" s="54">
        <f>SUM(G200)+G202</f>
        <v>1510</v>
      </c>
    </row>
    <row r="200" spans="1:7" ht="31.5">
      <c r="A200" s="51" t="s">
        <v>654</v>
      </c>
      <c r="B200" s="86"/>
      <c r="C200" s="53" t="s">
        <v>17</v>
      </c>
      <c r="D200" s="53" t="s">
        <v>28</v>
      </c>
      <c r="E200" s="53" t="s">
        <v>343</v>
      </c>
      <c r="F200" s="53"/>
      <c r="G200" s="54">
        <f>SUM(G201)</f>
        <v>1500</v>
      </c>
    </row>
    <row r="201" spans="1:7" ht="31.5">
      <c r="A201" s="51" t="s">
        <v>283</v>
      </c>
      <c r="B201" s="86"/>
      <c r="C201" s="53" t="s">
        <v>17</v>
      </c>
      <c r="D201" s="53" t="s">
        <v>28</v>
      </c>
      <c r="E201" s="53" t="s">
        <v>343</v>
      </c>
      <c r="F201" s="53" t="s">
        <v>135</v>
      </c>
      <c r="G201" s="54">
        <v>1500</v>
      </c>
    </row>
    <row r="202" spans="1:7" ht="47.25">
      <c r="A202" s="51" t="s">
        <v>677</v>
      </c>
      <c r="B202" s="86"/>
      <c r="C202" s="53" t="s">
        <v>17</v>
      </c>
      <c r="D202" s="53" t="s">
        <v>28</v>
      </c>
      <c r="E202" s="53" t="s">
        <v>655</v>
      </c>
      <c r="F202" s="53"/>
      <c r="G202" s="54">
        <f>G203</f>
        <v>10</v>
      </c>
    </row>
    <row r="203" spans="1:7" ht="31.5">
      <c r="A203" s="51" t="s">
        <v>283</v>
      </c>
      <c r="B203" s="86"/>
      <c r="C203" s="53" t="s">
        <v>17</v>
      </c>
      <c r="D203" s="53" t="s">
        <v>28</v>
      </c>
      <c r="E203" s="53" t="s">
        <v>655</v>
      </c>
      <c r="F203" s="53" t="s">
        <v>135</v>
      </c>
      <c r="G203" s="54">
        <v>10</v>
      </c>
    </row>
    <row r="204" spans="1:7" ht="31.5">
      <c r="A204" s="70" t="s">
        <v>352</v>
      </c>
      <c r="B204" s="80"/>
      <c r="C204" s="80" t="s">
        <v>17</v>
      </c>
      <c r="D204" s="80" t="s">
        <v>28</v>
      </c>
      <c r="E204" s="80" t="s">
        <v>398</v>
      </c>
      <c r="F204" s="80"/>
      <c r="G204" s="64">
        <f>SUM(G205)</f>
        <v>5051.2</v>
      </c>
    </row>
    <row r="205" spans="1:7" ht="31.5">
      <c r="A205" s="70" t="s">
        <v>353</v>
      </c>
      <c r="B205" s="80"/>
      <c r="C205" s="80" t="s">
        <v>17</v>
      </c>
      <c r="D205" s="80" t="s">
        <v>28</v>
      </c>
      <c r="E205" s="80" t="s">
        <v>399</v>
      </c>
      <c r="F205" s="80"/>
      <c r="G205" s="64">
        <f>SUM(G206)</f>
        <v>5051.2</v>
      </c>
    </row>
    <row r="206" spans="1:7" ht="31.5">
      <c r="A206" s="70" t="s">
        <v>49</v>
      </c>
      <c r="B206" s="80"/>
      <c r="C206" s="80" t="s">
        <v>17</v>
      </c>
      <c r="D206" s="80" t="s">
        <v>28</v>
      </c>
      <c r="E206" s="80" t="s">
        <v>400</v>
      </c>
      <c r="F206" s="80"/>
      <c r="G206" s="64">
        <f>SUM(G207:G209)</f>
        <v>5051.2</v>
      </c>
    </row>
    <row r="207" spans="1:7" ht="47.25">
      <c r="A207" s="70" t="s">
        <v>55</v>
      </c>
      <c r="B207" s="80"/>
      <c r="C207" s="80" t="s">
        <v>17</v>
      </c>
      <c r="D207" s="80" t="s">
        <v>28</v>
      </c>
      <c r="E207" s="80" t="s">
        <v>400</v>
      </c>
      <c r="F207" s="80" t="s">
        <v>99</v>
      </c>
      <c r="G207" s="64">
        <v>3995.8</v>
      </c>
    </row>
    <row r="208" spans="1:7" ht="31.5">
      <c r="A208" s="70" t="s">
        <v>56</v>
      </c>
      <c r="B208" s="80"/>
      <c r="C208" s="80" t="s">
        <v>17</v>
      </c>
      <c r="D208" s="80" t="s">
        <v>28</v>
      </c>
      <c r="E208" s="80" t="s">
        <v>400</v>
      </c>
      <c r="F208" s="80" t="s">
        <v>101</v>
      </c>
      <c r="G208" s="64">
        <v>1032</v>
      </c>
    </row>
    <row r="209" spans="1:7" ht="15.75">
      <c r="A209" s="70" t="s">
        <v>26</v>
      </c>
      <c r="B209" s="80"/>
      <c r="C209" s="80" t="s">
        <v>17</v>
      </c>
      <c r="D209" s="80" t="s">
        <v>28</v>
      </c>
      <c r="E209" s="80" t="s">
        <v>400</v>
      </c>
      <c r="F209" s="80" t="s">
        <v>106</v>
      </c>
      <c r="G209" s="64">
        <v>23.4</v>
      </c>
    </row>
    <row r="210" spans="1:7" ht="31.5">
      <c r="A210" s="51" t="s">
        <v>316</v>
      </c>
      <c r="B210" s="86"/>
      <c r="C210" s="53" t="s">
        <v>17</v>
      </c>
      <c r="D210" s="53" t="s">
        <v>28</v>
      </c>
      <c r="E210" s="52" t="s">
        <v>264</v>
      </c>
      <c r="F210" s="53"/>
      <c r="G210" s="54">
        <f>SUM(G211)</f>
        <v>550</v>
      </c>
    </row>
    <row r="211" spans="1:7" ht="47.25">
      <c r="A211" s="51" t="s">
        <v>292</v>
      </c>
      <c r="B211" s="86"/>
      <c r="C211" s="53" t="s">
        <v>17</v>
      </c>
      <c r="D211" s="53" t="s">
        <v>28</v>
      </c>
      <c r="E211" s="52" t="s">
        <v>293</v>
      </c>
      <c r="F211" s="53"/>
      <c r="G211" s="54">
        <f>SUM(G212)</f>
        <v>550</v>
      </c>
    </row>
    <row r="212" spans="1:7" ht="31.5">
      <c r="A212" s="70" t="s">
        <v>56</v>
      </c>
      <c r="B212" s="86"/>
      <c r="C212" s="53" t="s">
        <v>17</v>
      </c>
      <c r="D212" s="53" t="s">
        <v>28</v>
      </c>
      <c r="E212" s="52" t="s">
        <v>293</v>
      </c>
      <c r="F212" s="53" t="s">
        <v>101</v>
      </c>
      <c r="G212" s="54">
        <f>490+60</f>
        <v>550</v>
      </c>
    </row>
    <row r="213" spans="1:7" ht="15.75">
      <c r="A213" s="70" t="s">
        <v>216</v>
      </c>
      <c r="B213" s="86"/>
      <c r="C213" s="167" t="s">
        <v>17</v>
      </c>
      <c r="D213" s="167" t="s">
        <v>28</v>
      </c>
      <c r="E213" s="52" t="s">
        <v>217</v>
      </c>
      <c r="F213" s="167"/>
      <c r="G213" s="54">
        <f>SUM(G214)</f>
        <v>73.6</v>
      </c>
    </row>
    <row r="214" spans="1:7" ht="31.5">
      <c r="A214" s="70" t="s">
        <v>49</v>
      </c>
      <c r="B214" s="86"/>
      <c r="C214" s="167" t="s">
        <v>17</v>
      </c>
      <c r="D214" s="167" t="s">
        <v>28</v>
      </c>
      <c r="E214" s="52" t="s">
        <v>1176</v>
      </c>
      <c r="F214" s="167"/>
      <c r="G214" s="54">
        <f>SUM(G215)</f>
        <v>73.6</v>
      </c>
    </row>
    <row r="215" spans="1:7" ht="15.75">
      <c r="A215" s="70" t="s">
        <v>26</v>
      </c>
      <c r="B215" s="86"/>
      <c r="C215" s="167" t="s">
        <v>17</v>
      </c>
      <c r="D215" s="167" t="s">
        <v>28</v>
      </c>
      <c r="E215" s="52" t="s">
        <v>1176</v>
      </c>
      <c r="F215" s="167" t="s">
        <v>106</v>
      </c>
      <c r="G215" s="54">
        <v>73.6</v>
      </c>
    </row>
    <row r="216" spans="1:7" ht="15.75">
      <c r="A216" s="51" t="s">
        <v>294</v>
      </c>
      <c r="B216" s="86"/>
      <c r="C216" s="53" t="s">
        <v>188</v>
      </c>
      <c r="D216" s="53"/>
      <c r="E216" s="52"/>
      <c r="F216" s="53"/>
      <c r="G216" s="54">
        <f>SUM(G217+G230+G257+G284)</f>
        <v>289787</v>
      </c>
    </row>
    <row r="217" spans="1:7" ht="15.75">
      <c r="A217" s="51" t="s">
        <v>195</v>
      </c>
      <c r="B217" s="86"/>
      <c r="C217" s="169" t="s">
        <v>188</v>
      </c>
      <c r="D217" s="169" t="s">
        <v>38</v>
      </c>
      <c r="E217" s="52"/>
      <c r="F217" s="169"/>
      <c r="G217" s="54">
        <f>SUM(G227)+G223+G218</f>
        <v>64394.8</v>
      </c>
    </row>
    <row r="218" spans="1:7" ht="47.25">
      <c r="A218" s="162" t="s">
        <v>752</v>
      </c>
      <c r="B218" s="208"/>
      <c r="C218" s="169" t="s">
        <v>188</v>
      </c>
      <c r="D218" s="169" t="s">
        <v>38</v>
      </c>
      <c r="E218" s="52" t="s">
        <v>757</v>
      </c>
      <c r="F218" s="169"/>
      <c r="G218" s="54">
        <f>SUM(G219)</f>
        <v>29011.3</v>
      </c>
    </row>
    <row r="219" spans="1:7" ht="31.5">
      <c r="A219" s="162" t="s">
        <v>1178</v>
      </c>
      <c r="B219" s="208"/>
      <c r="C219" s="169" t="s">
        <v>188</v>
      </c>
      <c r="D219" s="169" t="s">
        <v>38</v>
      </c>
      <c r="E219" s="52" t="s">
        <v>1179</v>
      </c>
      <c r="F219" s="169"/>
      <c r="G219" s="54">
        <f>SUM(G220)</f>
        <v>29011.3</v>
      </c>
    </row>
    <row r="220" spans="1:7" ht="47.25">
      <c r="A220" s="168" t="s">
        <v>700</v>
      </c>
      <c r="B220" s="208"/>
      <c r="C220" s="169" t="s">
        <v>188</v>
      </c>
      <c r="D220" s="169" t="s">
        <v>38</v>
      </c>
      <c r="E220" s="52" t="s">
        <v>1180</v>
      </c>
      <c r="F220" s="169"/>
      <c r="G220" s="54">
        <f>SUM(G221)</f>
        <v>29011.3</v>
      </c>
    </row>
    <row r="221" spans="1:7" ht="47.25">
      <c r="A221" s="168" t="s">
        <v>1181</v>
      </c>
      <c r="B221" s="208"/>
      <c r="C221" s="169" t="s">
        <v>188</v>
      </c>
      <c r="D221" s="169" t="s">
        <v>38</v>
      </c>
      <c r="E221" s="52" t="s">
        <v>1182</v>
      </c>
      <c r="F221" s="169"/>
      <c r="G221" s="54">
        <f>SUM(G222)</f>
        <v>29011.3</v>
      </c>
    </row>
    <row r="222" spans="1:7" ht="31.5">
      <c r="A222" s="77" t="s">
        <v>312</v>
      </c>
      <c r="B222" s="208"/>
      <c r="C222" s="169" t="s">
        <v>188</v>
      </c>
      <c r="D222" s="169" t="s">
        <v>38</v>
      </c>
      <c r="E222" s="52" t="s">
        <v>1182</v>
      </c>
      <c r="F222" s="169" t="s">
        <v>313</v>
      </c>
      <c r="G222" s="54">
        <v>29011.3</v>
      </c>
    </row>
    <row r="223" spans="1:7" ht="31.5">
      <c r="A223" s="51" t="s">
        <v>722</v>
      </c>
      <c r="B223" s="86"/>
      <c r="C223" s="53" t="s">
        <v>188</v>
      </c>
      <c r="D223" s="53" t="s">
        <v>38</v>
      </c>
      <c r="E223" s="52" t="s">
        <v>719</v>
      </c>
      <c r="F223" s="53"/>
      <c r="G223" s="54">
        <f>SUM(G224)</f>
        <v>35383.5</v>
      </c>
    </row>
    <row r="224" spans="1:7" ht="47.25">
      <c r="A224" s="51" t="s">
        <v>717</v>
      </c>
      <c r="B224" s="86"/>
      <c r="C224" s="53" t="s">
        <v>188</v>
      </c>
      <c r="D224" s="53" t="s">
        <v>38</v>
      </c>
      <c r="E224" s="52" t="s">
        <v>720</v>
      </c>
      <c r="F224" s="53"/>
      <c r="G224" s="54">
        <f>SUM(G225)</f>
        <v>35383.5</v>
      </c>
    </row>
    <row r="225" spans="1:7" ht="63">
      <c r="A225" s="51" t="s">
        <v>718</v>
      </c>
      <c r="B225" s="86"/>
      <c r="C225" s="53" t="s">
        <v>188</v>
      </c>
      <c r="D225" s="53" t="s">
        <v>38</v>
      </c>
      <c r="E225" s="52" t="s">
        <v>721</v>
      </c>
      <c r="F225" s="53"/>
      <c r="G225" s="54">
        <f>SUM(G226)</f>
        <v>35383.5</v>
      </c>
    </row>
    <row r="226" spans="1:7" ht="31.5">
      <c r="A226" s="70" t="s">
        <v>359</v>
      </c>
      <c r="B226" s="86"/>
      <c r="C226" s="53" t="s">
        <v>188</v>
      </c>
      <c r="D226" s="53" t="s">
        <v>38</v>
      </c>
      <c r="E226" s="52" t="s">
        <v>721</v>
      </c>
      <c r="F226" s="53" t="s">
        <v>313</v>
      </c>
      <c r="G226" s="54">
        <v>35383.5</v>
      </c>
    </row>
    <row r="227" spans="1:7" ht="31.5" hidden="1">
      <c r="A227" s="51" t="s">
        <v>295</v>
      </c>
      <c r="B227" s="86"/>
      <c r="C227" s="53" t="s">
        <v>188</v>
      </c>
      <c r="D227" s="53" t="s">
        <v>38</v>
      </c>
      <c r="E227" s="52" t="s">
        <v>296</v>
      </c>
      <c r="F227" s="53"/>
      <c r="G227" s="54">
        <f>SUM(G228)</f>
        <v>0</v>
      </c>
    </row>
    <row r="228" spans="1:7" ht="15.75" hidden="1">
      <c r="A228" s="51" t="s">
        <v>297</v>
      </c>
      <c r="B228" s="86"/>
      <c r="C228" s="53" t="s">
        <v>298</v>
      </c>
      <c r="D228" s="53" t="s">
        <v>38</v>
      </c>
      <c r="E228" s="52" t="s">
        <v>299</v>
      </c>
      <c r="F228" s="53"/>
      <c r="G228" s="54">
        <f>SUM(G229)</f>
        <v>0</v>
      </c>
    </row>
    <row r="229" spans="1:7" ht="15.75" hidden="1">
      <c r="A229" s="51" t="s">
        <v>100</v>
      </c>
      <c r="B229" s="86"/>
      <c r="C229" s="53" t="s">
        <v>298</v>
      </c>
      <c r="D229" s="53" t="s">
        <v>38</v>
      </c>
      <c r="E229" s="52" t="s">
        <v>299</v>
      </c>
      <c r="F229" s="53" t="s">
        <v>101</v>
      </c>
      <c r="G229" s="54"/>
    </row>
    <row r="230" spans="1:7" ht="15.75">
      <c r="A230" s="70" t="s">
        <v>196</v>
      </c>
      <c r="B230" s="80"/>
      <c r="C230" s="80" t="s">
        <v>188</v>
      </c>
      <c r="D230" s="80" t="s">
        <v>48</v>
      </c>
      <c r="E230" s="80"/>
      <c r="F230" s="80"/>
      <c r="G230" s="64">
        <f>SUM(G231+G236+G241+G245)+G252</f>
        <v>59679.1</v>
      </c>
    </row>
    <row r="231" spans="1:7" ht="47.25">
      <c r="A231" s="162" t="s">
        <v>752</v>
      </c>
      <c r="B231" s="80"/>
      <c r="C231" s="80" t="s">
        <v>188</v>
      </c>
      <c r="D231" s="80" t="s">
        <v>48</v>
      </c>
      <c r="E231" s="73" t="s">
        <v>757</v>
      </c>
      <c r="F231" s="73"/>
      <c r="G231" s="74">
        <f>SUM(G232)</f>
        <v>15000</v>
      </c>
    </row>
    <row r="232" spans="1:7" ht="15.75">
      <c r="A232" s="12" t="s">
        <v>360</v>
      </c>
      <c r="B232" s="80"/>
      <c r="C232" s="80" t="s">
        <v>188</v>
      </c>
      <c r="D232" s="80" t="s">
        <v>48</v>
      </c>
      <c r="E232" s="73" t="s">
        <v>758</v>
      </c>
      <c r="F232" s="73"/>
      <c r="G232" s="74">
        <f>SUM(G233)</f>
        <v>15000</v>
      </c>
    </row>
    <row r="233" spans="1:7" ht="47.25">
      <c r="A233" s="77" t="s">
        <v>612</v>
      </c>
      <c r="B233" s="80"/>
      <c r="C233" s="80" t="s">
        <v>188</v>
      </c>
      <c r="D233" s="80" t="s">
        <v>48</v>
      </c>
      <c r="E233" s="73" t="s">
        <v>759</v>
      </c>
      <c r="F233" s="73"/>
      <c r="G233" s="74">
        <f>SUM(G234)</f>
        <v>15000</v>
      </c>
    </row>
    <row r="234" spans="1:7" ht="63">
      <c r="A234" s="70" t="s">
        <v>767</v>
      </c>
      <c r="B234" s="80"/>
      <c r="C234" s="80" t="s">
        <v>188</v>
      </c>
      <c r="D234" s="80" t="s">
        <v>48</v>
      </c>
      <c r="E234" s="73" t="s">
        <v>766</v>
      </c>
      <c r="F234" s="73"/>
      <c r="G234" s="74">
        <f>SUM(G235)</f>
        <v>15000</v>
      </c>
    </row>
    <row r="235" spans="1:7" ht="31.5">
      <c r="A235" s="70" t="s">
        <v>56</v>
      </c>
      <c r="B235" s="80"/>
      <c r="C235" s="80" t="s">
        <v>188</v>
      </c>
      <c r="D235" s="80" t="s">
        <v>48</v>
      </c>
      <c r="E235" s="73" t="s">
        <v>766</v>
      </c>
      <c r="F235" s="73" t="s">
        <v>101</v>
      </c>
      <c r="G235" s="74">
        <v>15000</v>
      </c>
    </row>
    <row r="236" spans="1:7" ht="47.25">
      <c r="A236" s="70" t="s">
        <v>354</v>
      </c>
      <c r="B236" s="80"/>
      <c r="C236" s="80" t="s">
        <v>188</v>
      </c>
      <c r="D236" s="80" t="s">
        <v>48</v>
      </c>
      <c r="E236" s="80" t="s">
        <v>401</v>
      </c>
      <c r="F236" s="80"/>
      <c r="G236" s="64">
        <f>SUM(G237)</f>
        <v>39079.6</v>
      </c>
    </row>
    <row r="237" spans="1:7" ht="15.75">
      <c r="A237" s="70" t="s">
        <v>39</v>
      </c>
      <c r="B237" s="80"/>
      <c r="C237" s="80" t="s">
        <v>188</v>
      </c>
      <c r="D237" s="80" t="s">
        <v>48</v>
      </c>
      <c r="E237" s="80" t="s">
        <v>402</v>
      </c>
      <c r="F237" s="80"/>
      <c r="G237" s="64">
        <f>SUM(G238)</f>
        <v>39079.6</v>
      </c>
    </row>
    <row r="238" spans="1:7" ht="15.75">
      <c r="A238" s="70" t="s">
        <v>355</v>
      </c>
      <c r="B238" s="80"/>
      <c r="C238" s="80" t="s">
        <v>188</v>
      </c>
      <c r="D238" s="80" t="s">
        <v>48</v>
      </c>
      <c r="E238" s="80" t="s">
        <v>403</v>
      </c>
      <c r="F238" s="80"/>
      <c r="G238" s="64">
        <f>SUM(G239:G240)</f>
        <v>39079.6</v>
      </c>
    </row>
    <row r="239" spans="1:7" ht="31.5">
      <c r="A239" s="70" t="s">
        <v>56</v>
      </c>
      <c r="B239" s="80"/>
      <c r="C239" s="80" t="s">
        <v>188</v>
      </c>
      <c r="D239" s="80" t="s">
        <v>48</v>
      </c>
      <c r="E239" s="80" t="s">
        <v>403</v>
      </c>
      <c r="F239" s="80" t="s">
        <v>101</v>
      </c>
      <c r="G239" s="64">
        <v>5055.7</v>
      </c>
    </row>
    <row r="240" spans="1:7" ht="15.75">
      <c r="A240" s="70" t="s">
        <v>26</v>
      </c>
      <c r="B240" s="80"/>
      <c r="C240" s="80" t="s">
        <v>188</v>
      </c>
      <c r="D240" s="80" t="s">
        <v>48</v>
      </c>
      <c r="E240" s="80" t="s">
        <v>403</v>
      </c>
      <c r="F240" s="80" t="s">
        <v>106</v>
      </c>
      <c r="G240" s="64">
        <v>34023.9</v>
      </c>
    </row>
    <row r="241" spans="1:7" ht="31.5">
      <c r="A241" s="70" t="s">
        <v>356</v>
      </c>
      <c r="B241" s="80"/>
      <c r="C241" s="80" t="s">
        <v>188</v>
      </c>
      <c r="D241" s="80" t="s">
        <v>48</v>
      </c>
      <c r="E241" s="80" t="s">
        <v>404</v>
      </c>
      <c r="F241" s="80"/>
      <c r="G241" s="64">
        <f>SUM(G242)</f>
        <v>1007</v>
      </c>
    </row>
    <row r="242" spans="1:7" ht="15.75">
      <c r="A242" s="70" t="s">
        <v>39</v>
      </c>
      <c r="B242" s="80"/>
      <c r="C242" s="80" t="s">
        <v>188</v>
      </c>
      <c r="D242" s="80" t="s">
        <v>48</v>
      </c>
      <c r="E242" s="80" t="s">
        <v>405</v>
      </c>
      <c r="F242" s="80"/>
      <c r="G242" s="64">
        <f>SUM(G243)</f>
        <v>1007</v>
      </c>
    </row>
    <row r="243" spans="1:7" ht="15.75">
      <c r="A243" s="70" t="s">
        <v>355</v>
      </c>
      <c r="B243" s="80"/>
      <c r="C243" s="80" t="s">
        <v>188</v>
      </c>
      <c r="D243" s="80" t="s">
        <v>48</v>
      </c>
      <c r="E243" s="80" t="s">
        <v>406</v>
      </c>
      <c r="F243" s="80"/>
      <c r="G243" s="64">
        <f>SUM(G244:G244)</f>
        <v>1007</v>
      </c>
    </row>
    <row r="244" spans="1:7" ht="31.5">
      <c r="A244" s="70" t="s">
        <v>56</v>
      </c>
      <c r="B244" s="80"/>
      <c r="C244" s="80" t="s">
        <v>188</v>
      </c>
      <c r="D244" s="80" t="s">
        <v>48</v>
      </c>
      <c r="E244" s="80" t="s">
        <v>406</v>
      </c>
      <c r="F244" s="80" t="s">
        <v>101</v>
      </c>
      <c r="G244" s="64">
        <f>1067-60</f>
        <v>1007</v>
      </c>
    </row>
    <row r="245" spans="1:7" ht="31.5">
      <c r="A245" s="70" t="s">
        <v>305</v>
      </c>
      <c r="B245" s="80"/>
      <c r="C245" s="80" t="s">
        <v>188</v>
      </c>
      <c r="D245" s="80" t="s">
        <v>48</v>
      </c>
      <c r="E245" s="80" t="s">
        <v>306</v>
      </c>
      <c r="F245" s="80"/>
      <c r="G245" s="64">
        <f>SUM(G246,G249)</f>
        <v>2260.5</v>
      </c>
    </row>
    <row r="246" spans="1:7" ht="31.5" hidden="1">
      <c r="A246" s="70" t="s">
        <v>357</v>
      </c>
      <c r="B246" s="80"/>
      <c r="C246" s="80" t="s">
        <v>188</v>
      </c>
      <c r="D246" s="80" t="s">
        <v>48</v>
      </c>
      <c r="E246" s="80" t="s">
        <v>407</v>
      </c>
      <c r="F246" s="80"/>
      <c r="G246" s="64">
        <f>SUM(G247)</f>
        <v>0</v>
      </c>
    </row>
    <row r="247" spans="1:7" ht="31.5" hidden="1">
      <c r="A247" s="70" t="s">
        <v>358</v>
      </c>
      <c r="B247" s="80"/>
      <c r="C247" s="80" t="s">
        <v>188</v>
      </c>
      <c r="D247" s="80" t="s">
        <v>48</v>
      </c>
      <c r="E247" s="80" t="s">
        <v>408</v>
      </c>
      <c r="F247" s="80"/>
      <c r="G247" s="64">
        <f>SUM(G248)</f>
        <v>0</v>
      </c>
    </row>
    <row r="248" spans="1:7" ht="31.5" hidden="1">
      <c r="A248" s="70" t="s">
        <v>359</v>
      </c>
      <c r="B248" s="80"/>
      <c r="C248" s="80" t="s">
        <v>188</v>
      </c>
      <c r="D248" s="80" t="s">
        <v>48</v>
      </c>
      <c r="E248" s="80" t="s">
        <v>408</v>
      </c>
      <c r="F248" s="80" t="s">
        <v>313</v>
      </c>
      <c r="G248" s="64"/>
    </row>
    <row r="249" spans="1:7" ht="15.75">
      <c r="A249" s="70" t="s">
        <v>360</v>
      </c>
      <c r="B249" s="80"/>
      <c r="C249" s="80" t="s">
        <v>188</v>
      </c>
      <c r="D249" s="80" t="s">
        <v>48</v>
      </c>
      <c r="E249" s="80" t="s">
        <v>409</v>
      </c>
      <c r="F249" s="80"/>
      <c r="G249" s="64">
        <f>SUM(G250)</f>
        <v>2260.5</v>
      </c>
    </row>
    <row r="250" spans="1:7" ht="31.5">
      <c r="A250" s="70" t="s">
        <v>358</v>
      </c>
      <c r="B250" s="80"/>
      <c r="C250" s="80" t="s">
        <v>188</v>
      </c>
      <c r="D250" s="80" t="s">
        <v>48</v>
      </c>
      <c r="E250" s="80" t="s">
        <v>410</v>
      </c>
      <c r="F250" s="80"/>
      <c r="G250" s="64">
        <f>SUM(G251)</f>
        <v>2260.5</v>
      </c>
    </row>
    <row r="251" spans="1:7" ht="31.5">
      <c r="A251" s="70" t="s">
        <v>359</v>
      </c>
      <c r="B251" s="80"/>
      <c r="C251" s="80" t="s">
        <v>188</v>
      </c>
      <c r="D251" s="80" t="s">
        <v>48</v>
      </c>
      <c r="E251" s="80" t="s">
        <v>410</v>
      </c>
      <c r="F251" s="80" t="s">
        <v>313</v>
      </c>
      <c r="G251" s="64">
        <v>2260.5</v>
      </c>
    </row>
    <row r="252" spans="1:7" ht="31.5" customHeight="1">
      <c r="A252" s="70" t="s">
        <v>316</v>
      </c>
      <c r="B252" s="80"/>
      <c r="C252" s="80" t="s">
        <v>188</v>
      </c>
      <c r="D252" s="80" t="s">
        <v>48</v>
      </c>
      <c r="E252" s="80" t="s">
        <v>264</v>
      </c>
      <c r="F252" s="80"/>
      <c r="G252" s="64">
        <f>SUM(G253)</f>
        <v>2332</v>
      </c>
    </row>
    <row r="253" spans="1:7" ht="31.5">
      <c r="A253" s="70" t="s">
        <v>265</v>
      </c>
      <c r="B253" s="80"/>
      <c r="C253" s="80" t="s">
        <v>188</v>
      </c>
      <c r="D253" s="80" t="s">
        <v>48</v>
      </c>
      <c r="E253" s="80" t="s">
        <v>266</v>
      </c>
      <c r="F253" s="80"/>
      <c r="G253" s="64">
        <f>SUM(G254)</f>
        <v>2332</v>
      </c>
    </row>
    <row r="254" spans="1:7" ht="35.25" customHeight="1">
      <c r="A254" s="70" t="s">
        <v>84</v>
      </c>
      <c r="B254" s="80"/>
      <c r="C254" s="80" t="s">
        <v>188</v>
      </c>
      <c r="D254" s="80" t="s">
        <v>48</v>
      </c>
      <c r="E254" s="80" t="s">
        <v>267</v>
      </c>
      <c r="F254" s="80"/>
      <c r="G254" s="64">
        <f>SUM(G255)</f>
        <v>2332</v>
      </c>
    </row>
    <row r="255" spans="1:7" ht="31.5">
      <c r="A255" s="70" t="s">
        <v>268</v>
      </c>
      <c r="B255" s="80"/>
      <c r="C255" s="80" t="s">
        <v>188</v>
      </c>
      <c r="D255" s="80" t="s">
        <v>48</v>
      </c>
      <c r="E255" s="80" t="s">
        <v>269</v>
      </c>
      <c r="F255" s="80"/>
      <c r="G255" s="64">
        <f>SUM(G256)</f>
        <v>2332</v>
      </c>
    </row>
    <row r="256" spans="1:7" ht="31.5">
      <c r="A256" s="70" t="s">
        <v>56</v>
      </c>
      <c r="B256" s="80"/>
      <c r="C256" s="80" t="s">
        <v>188</v>
      </c>
      <c r="D256" s="80" t="s">
        <v>48</v>
      </c>
      <c r="E256" s="80" t="s">
        <v>269</v>
      </c>
      <c r="F256" s="80" t="s">
        <v>101</v>
      </c>
      <c r="G256" s="64">
        <v>2332</v>
      </c>
    </row>
    <row r="257" spans="1:7" ht="15.75">
      <c r="A257" s="70" t="s">
        <v>197</v>
      </c>
      <c r="B257" s="80"/>
      <c r="C257" s="80" t="s">
        <v>188</v>
      </c>
      <c r="D257" s="80" t="s">
        <v>58</v>
      </c>
      <c r="E257" s="80"/>
      <c r="F257" s="80"/>
      <c r="G257" s="64">
        <f>SUM(G263,G276,G280)+G259</f>
        <v>149587.4</v>
      </c>
    </row>
    <row r="258" spans="1:7" ht="47.25">
      <c r="A258" s="162" t="s">
        <v>752</v>
      </c>
      <c r="B258" s="80"/>
      <c r="C258" s="80" t="s">
        <v>188</v>
      </c>
      <c r="D258" s="80" t="s">
        <v>58</v>
      </c>
      <c r="E258" s="80" t="s">
        <v>757</v>
      </c>
      <c r="F258" s="80"/>
      <c r="G258" s="64">
        <f>SUM(G259)</f>
        <v>59481.5</v>
      </c>
    </row>
    <row r="259" spans="1:7" ht="15.75">
      <c r="A259" s="70" t="s">
        <v>769</v>
      </c>
      <c r="B259" s="80"/>
      <c r="C259" s="80" t="s">
        <v>188</v>
      </c>
      <c r="D259" s="80" t="s">
        <v>58</v>
      </c>
      <c r="E259" s="80" t="s">
        <v>768</v>
      </c>
      <c r="F259" s="80"/>
      <c r="G259" s="64">
        <f>SUM(G260)</f>
        <v>59481.5</v>
      </c>
    </row>
    <row r="260" spans="1:7" ht="47.25">
      <c r="A260" s="77" t="s">
        <v>612</v>
      </c>
      <c r="B260" s="80"/>
      <c r="C260" s="80" t="s">
        <v>188</v>
      </c>
      <c r="D260" s="80" t="s">
        <v>58</v>
      </c>
      <c r="E260" s="80" t="s">
        <v>770</v>
      </c>
      <c r="F260" s="80"/>
      <c r="G260" s="64">
        <f>SUM(G261)</f>
        <v>59481.5</v>
      </c>
    </row>
    <row r="261" spans="1:7" ht="31.5">
      <c r="A261" s="70" t="s">
        <v>1117</v>
      </c>
      <c r="B261" s="80"/>
      <c r="C261" s="80" t="s">
        <v>188</v>
      </c>
      <c r="D261" s="80" t="s">
        <v>58</v>
      </c>
      <c r="E261" s="80" t="s">
        <v>771</v>
      </c>
      <c r="F261" s="80"/>
      <c r="G261" s="64">
        <f>SUM(G262)</f>
        <v>59481.5</v>
      </c>
    </row>
    <row r="262" spans="1:7" ht="31.5">
      <c r="A262" s="70" t="s">
        <v>56</v>
      </c>
      <c r="B262" s="80"/>
      <c r="C262" s="80" t="s">
        <v>188</v>
      </c>
      <c r="D262" s="80" t="s">
        <v>58</v>
      </c>
      <c r="E262" s="80" t="s">
        <v>771</v>
      </c>
      <c r="F262" s="80" t="s">
        <v>101</v>
      </c>
      <c r="G262" s="64">
        <v>59481.5</v>
      </c>
    </row>
    <row r="263" spans="1:7" ht="31.5">
      <c r="A263" s="104" t="s">
        <v>361</v>
      </c>
      <c r="B263" s="85"/>
      <c r="C263" s="80" t="s">
        <v>188</v>
      </c>
      <c r="D263" s="80" t="s">
        <v>58</v>
      </c>
      <c r="E263" s="80" t="s">
        <v>411</v>
      </c>
      <c r="F263" s="80"/>
      <c r="G263" s="64">
        <f>SUM(G264,G271)</f>
        <v>88357.5</v>
      </c>
    </row>
    <row r="264" spans="1:7" ht="15.75">
      <c r="A264" s="70" t="s">
        <v>39</v>
      </c>
      <c r="B264" s="80"/>
      <c r="C264" s="80" t="s">
        <v>188</v>
      </c>
      <c r="D264" s="80" t="s">
        <v>58</v>
      </c>
      <c r="E264" s="80" t="s">
        <v>412</v>
      </c>
      <c r="F264" s="80"/>
      <c r="G264" s="64">
        <f>SUM(G265,G267,G269)</f>
        <v>80245.3</v>
      </c>
    </row>
    <row r="265" spans="1:7" ht="15.75">
      <c r="A265" s="70" t="s">
        <v>362</v>
      </c>
      <c r="B265" s="80"/>
      <c r="C265" s="80" t="s">
        <v>188</v>
      </c>
      <c r="D265" s="80" t="s">
        <v>58</v>
      </c>
      <c r="E265" s="80" t="s">
        <v>413</v>
      </c>
      <c r="F265" s="80"/>
      <c r="G265" s="64">
        <f>SUM(G266)</f>
        <v>48802.6</v>
      </c>
    </row>
    <row r="266" spans="1:7" ht="31.5">
      <c r="A266" s="70" t="s">
        <v>56</v>
      </c>
      <c r="B266" s="80"/>
      <c r="C266" s="80" t="s">
        <v>188</v>
      </c>
      <c r="D266" s="80" t="s">
        <v>58</v>
      </c>
      <c r="E266" s="80" t="s">
        <v>413</v>
      </c>
      <c r="F266" s="80" t="s">
        <v>101</v>
      </c>
      <c r="G266" s="64">
        <v>48802.6</v>
      </c>
    </row>
    <row r="267" spans="1:7" ht="15.75">
      <c r="A267" s="70" t="s">
        <v>363</v>
      </c>
      <c r="B267" s="80"/>
      <c r="C267" s="80" t="s">
        <v>188</v>
      </c>
      <c r="D267" s="80" t="s">
        <v>58</v>
      </c>
      <c r="E267" s="80" t="s">
        <v>414</v>
      </c>
      <c r="F267" s="80"/>
      <c r="G267" s="64">
        <f>SUM(G268)</f>
        <v>1585.9</v>
      </c>
    </row>
    <row r="268" spans="1:7" ht="31.5">
      <c r="A268" s="70" t="s">
        <v>56</v>
      </c>
      <c r="B268" s="80"/>
      <c r="C268" s="80" t="s">
        <v>188</v>
      </c>
      <c r="D268" s="80" t="s">
        <v>58</v>
      </c>
      <c r="E268" s="80" t="s">
        <v>414</v>
      </c>
      <c r="F268" s="80" t="s">
        <v>101</v>
      </c>
      <c r="G268" s="64">
        <f>1407.5+178.4</f>
        <v>1585.9</v>
      </c>
    </row>
    <row r="269" spans="1:7" ht="15.75">
      <c r="A269" s="70" t="s">
        <v>364</v>
      </c>
      <c r="B269" s="80"/>
      <c r="C269" s="80" t="s">
        <v>188</v>
      </c>
      <c r="D269" s="80" t="s">
        <v>58</v>
      </c>
      <c r="E269" s="80" t="s">
        <v>415</v>
      </c>
      <c r="F269" s="80"/>
      <c r="G269" s="64">
        <f>SUM(G270)</f>
        <v>29856.8</v>
      </c>
    </row>
    <row r="270" spans="1:7" ht="31.5">
      <c r="A270" s="70" t="s">
        <v>56</v>
      </c>
      <c r="B270" s="80"/>
      <c r="C270" s="80" t="s">
        <v>188</v>
      </c>
      <c r="D270" s="80" t="s">
        <v>58</v>
      </c>
      <c r="E270" s="80" t="s">
        <v>415</v>
      </c>
      <c r="F270" s="80" t="s">
        <v>101</v>
      </c>
      <c r="G270" s="64">
        <v>29856.8</v>
      </c>
    </row>
    <row r="271" spans="1:7" ht="47.25">
      <c r="A271" s="70" t="s">
        <v>30</v>
      </c>
      <c r="B271" s="80"/>
      <c r="C271" s="80" t="s">
        <v>188</v>
      </c>
      <c r="D271" s="80" t="s">
        <v>58</v>
      </c>
      <c r="E271" s="80" t="s">
        <v>416</v>
      </c>
      <c r="F271" s="80"/>
      <c r="G271" s="64">
        <f>SUM(G274+G272)</f>
        <v>8112.200000000001</v>
      </c>
    </row>
    <row r="272" spans="1:7" ht="15.75">
      <c r="A272" s="70" t="s">
        <v>363</v>
      </c>
      <c r="B272" s="80"/>
      <c r="C272" s="80" t="s">
        <v>188</v>
      </c>
      <c r="D272" s="80" t="s">
        <v>58</v>
      </c>
      <c r="E272" s="80" t="s">
        <v>1175</v>
      </c>
      <c r="F272" s="80"/>
      <c r="G272" s="64">
        <f>SUM(G273)</f>
        <v>807.6</v>
      </c>
    </row>
    <row r="273" spans="1:7" ht="31.5">
      <c r="A273" s="70" t="s">
        <v>283</v>
      </c>
      <c r="B273" s="80"/>
      <c r="C273" s="80" t="s">
        <v>188</v>
      </c>
      <c r="D273" s="80" t="s">
        <v>58</v>
      </c>
      <c r="E273" s="80" t="s">
        <v>1175</v>
      </c>
      <c r="F273" s="80" t="s">
        <v>135</v>
      </c>
      <c r="G273" s="64">
        <v>807.6</v>
      </c>
    </row>
    <row r="274" spans="1:7" ht="15.75">
      <c r="A274" s="70" t="s">
        <v>364</v>
      </c>
      <c r="B274" s="80"/>
      <c r="C274" s="80" t="s">
        <v>188</v>
      </c>
      <c r="D274" s="80" t="s">
        <v>58</v>
      </c>
      <c r="E274" s="80" t="s">
        <v>417</v>
      </c>
      <c r="F274" s="80"/>
      <c r="G274" s="64">
        <f>SUM(G275)</f>
        <v>7304.6</v>
      </c>
    </row>
    <row r="275" spans="1:7" ht="31.5">
      <c r="A275" s="70" t="s">
        <v>283</v>
      </c>
      <c r="B275" s="80"/>
      <c r="C275" s="80" t="s">
        <v>188</v>
      </c>
      <c r="D275" s="80" t="s">
        <v>58</v>
      </c>
      <c r="E275" s="80" t="s">
        <v>417</v>
      </c>
      <c r="F275" s="80" t="s">
        <v>135</v>
      </c>
      <c r="G275" s="64">
        <v>7304.6</v>
      </c>
    </row>
    <row r="276" spans="1:7" ht="31.5">
      <c r="A276" s="70" t="s">
        <v>441</v>
      </c>
      <c r="B276" s="80"/>
      <c r="C276" s="80" t="s">
        <v>188</v>
      </c>
      <c r="D276" s="80" t="s">
        <v>58</v>
      </c>
      <c r="E276" s="80" t="s">
        <v>404</v>
      </c>
      <c r="F276" s="80"/>
      <c r="G276" s="64">
        <f>SUM(G277)</f>
        <v>1550</v>
      </c>
    </row>
    <row r="277" spans="1:7" ht="15.75">
      <c r="A277" s="70" t="s">
        <v>39</v>
      </c>
      <c r="B277" s="80"/>
      <c r="C277" s="80" t="s">
        <v>188</v>
      </c>
      <c r="D277" s="80" t="s">
        <v>58</v>
      </c>
      <c r="E277" s="80" t="s">
        <v>405</v>
      </c>
      <c r="F277" s="80"/>
      <c r="G277" s="64">
        <f>SUM(G278)</f>
        <v>1550</v>
      </c>
    </row>
    <row r="278" spans="1:7" ht="15.75">
      <c r="A278" s="70" t="s">
        <v>364</v>
      </c>
      <c r="B278" s="80"/>
      <c r="C278" s="80" t="s">
        <v>188</v>
      </c>
      <c r="D278" s="80" t="s">
        <v>58</v>
      </c>
      <c r="E278" s="80" t="s">
        <v>418</v>
      </c>
      <c r="F278" s="80"/>
      <c r="G278" s="64">
        <f>SUM(G279)</f>
        <v>1550</v>
      </c>
    </row>
    <row r="279" spans="1:7" ht="31.5">
      <c r="A279" s="70" t="s">
        <v>56</v>
      </c>
      <c r="B279" s="80"/>
      <c r="C279" s="80" t="s">
        <v>188</v>
      </c>
      <c r="D279" s="80" t="s">
        <v>58</v>
      </c>
      <c r="E279" s="80" t="s">
        <v>418</v>
      </c>
      <c r="F279" s="80" t="s">
        <v>101</v>
      </c>
      <c r="G279" s="64">
        <v>1550</v>
      </c>
    </row>
    <row r="280" spans="1:7" ht="15.75">
      <c r="A280" s="70" t="s">
        <v>365</v>
      </c>
      <c r="B280" s="80"/>
      <c r="C280" s="80" t="s">
        <v>188</v>
      </c>
      <c r="D280" s="80" t="s">
        <v>58</v>
      </c>
      <c r="E280" s="80" t="s">
        <v>217</v>
      </c>
      <c r="F280" s="80"/>
      <c r="G280" s="64">
        <f>SUM(G281)</f>
        <v>198.4</v>
      </c>
    </row>
    <row r="281" spans="1:7" ht="78.75">
      <c r="A281" s="104" t="s">
        <v>317</v>
      </c>
      <c r="B281" s="85"/>
      <c r="C281" s="80" t="s">
        <v>188</v>
      </c>
      <c r="D281" s="80" t="s">
        <v>58</v>
      </c>
      <c r="E281" s="80" t="s">
        <v>252</v>
      </c>
      <c r="F281" s="80"/>
      <c r="G281" s="64">
        <f>SUM(G282)</f>
        <v>198.4</v>
      </c>
    </row>
    <row r="282" spans="1:7" ht="63">
      <c r="A282" s="104" t="s">
        <v>420</v>
      </c>
      <c r="B282" s="85"/>
      <c r="C282" s="80" t="s">
        <v>188</v>
      </c>
      <c r="D282" s="80" t="s">
        <v>58</v>
      </c>
      <c r="E282" s="80" t="s">
        <v>419</v>
      </c>
      <c r="F282" s="80"/>
      <c r="G282" s="64">
        <f>SUM(G283)</f>
        <v>198.4</v>
      </c>
    </row>
    <row r="283" spans="1:7" ht="31.5">
      <c r="A283" s="70" t="s">
        <v>56</v>
      </c>
      <c r="B283" s="80"/>
      <c r="C283" s="80" t="s">
        <v>188</v>
      </c>
      <c r="D283" s="80" t="s">
        <v>58</v>
      </c>
      <c r="E283" s="80" t="s">
        <v>419</v>
      </c>
      <c r="F283" s="80" t="s">
        <v>101</v>
      </c>
      <c r="G283" s="64">
        <v>198.4</v>
      </c>
    </row>
    <row r="284" spans="1:7" ht="15.75">
      <c r="A284" s="70" t="s">
        <v>198</v>
      </c>
      <c r="B284" s="80"/>
      <c r="C284" s="73" t="s">
        <v>188</v>
      </c>
      <c r="D284" s="73" t="s">
        <v>188</v>
      </c>
      <c r="E284" s="73"/>
      <c r="F284" s="73"/>
      <c r="G284" s="74">
        <f>SUM(G290)+G293+G285</f>
        <v>16125.7</v>
      </c>
    </row>
    <row r="285" spans="1:7" ht="47.25">
      <c r="A285" s="162" t="s">
        <v>752</v>
      </c>
      <c r="B285" s="80"/>
      <c r="C285" s="73" t="s">
        <v>188</v>
      </c>
      <c r="D285" s="73" t="s">
        <v>188</v>
      </c>
      <c r="E285" s="73" t="s">
        <v>757</v>
      </c>
      <c r="F285" s="73"/>
      <c r="G285" s="74">
        <f>SUM(G286)</f>
        <v>11500</v>
      </c>
    </row>
    <row r="286" spans="1:7" ht="15.75">
      <c r="A286" s="12" t="s">
        <v>360</v>
      </c>
      <c r="B286" s="80"/>
      <c r="C286" s="73" t="s">
        <v>188</v>
      </c>
      <c r="D286" s="73" t="s">
        <v>188</v>
      </c>
      <c r="E286" s="73" t="s">
        <v>758</v>
      </c>
      <c r="F286" s="73"/>
      <c r="G286" s="74">
        <f>SUM(G287)</f>
        <v>11500</v>
      </c>
    </row>
    <row r="287" spans="1:7" ht="47.25">
      <c r="A287" s="77" t="s">
        <v>612</v>
      </c>
      <c r="B287" s="80"/>
      <c r="C287" s="73" t="s">
        <v>188</v>
      </c>
      <c r="D287" s="73" t="s">
        <v>188</v>
      </c>
      <c r="E287" s="73" t="s">
        <v>759</v>
      </c>
      <c r="F287" s="73"/>
      <c r="G287" s="74">
        <f>SUM(G288)</f>
        <v>11500</v>
      </c>
    </row>
    <row r="288" spans="1:7" ht="15.75">
      <c r="A288" s="70" t="s">
        <v>761</v>
      </c>
      <c r="B288" s="80"/>
      <c r="C288" s="73" t="s">
        <v>188</v>
      </c>
      <c r="D288" s="73" t="s">
        <v>188</v>
      </c>
      <c r="E288" s="73" t="s">
        <v>760</v>
      </c>
      <c r="F288" s="73"/>
      <c r="G288" s="74">
        <f>SUM(G289)</f>
        <v>11500</v>
      </c>
    </row>
    <row r="289" spans="1:7" ht="31.5">
      <c r="A289" s="70" t="s">
        <v>359</v>
      </c>
      <c r="B289" s="80"/>
      <c r="C289" s="73" t="s">
        <v>188</v>
      </c>
      <c r="D289" s="73" t="s">
        <v>188</v>
      </c>
      <c r="E289" s="73" t="s">
        <v>760</v>
      </c>
      <c r="F289" s="73" t="s">
        <v>313</v>
      </c>
      <c r="G289" s="74">
        <v>11500</v>
      </c>
    </row>
    <row r="290" spans="1:7" ht="31.5">
      <c r="A290" s="70" t="s">
        <v>352</v>
      </c>
      <c r="B290" s="80"/>
      <c r="C290" s="73" t="s">
        <v>188</v>
      </c>
      <c r="D290" s="73" t="s">
        <v>188</v>
      </c>
      <c r="E290" s="73" t="s">
        <v>398</v>
      </c>
      <c r="F290" s="73"/>
      <c r="G290" s="74">
        <f>SUM(G291)</f>
        <v>977.6999999999999</v>
      </c>
    </row>
    <row r="291" spans="1:7" ht="31.5">
      <c r="A291" s="70" t="s">
        <v>358</v>
      </c>
      <c r="B291" s="80"/>
      <c r="C291" s="73" t="s">
        <v>188</v>
      </c>
      <c r="D291" s="73" t="s">
        <v>188</v>
      </c>
      <c r="E291" s="73" t="s">
        <v>421</v>
      </c>
      <c r="F291" s="73"/>
      <c r="G291" s="74">
        <f>SUM(G292)</f>
        <v>977.6999999999999</v>
      </c>
    </row>
    <row r="292" spans="1:7" ht="31.5">
      <c r="A292" s="70" t="s">
        <v>359</v>
      </c>
      <c r="B292" s="80"/>
      <c r="C292" s="73" t="s">
        <v>188</v>
      </c>
      <c r="D292" s="73" t="s">
        <v>188</v>
      </c>
      <c r="E292" s="73" t="s">
        <v>421</v>
      </c>
      <c r="F292" s="73" t="s">
        <v>313</v>
      </c>
      <c r="G292" s="74">
        <f>510.8+467-0.1</f>
        <v>977.6999999999999</v>
      </c>
    </row>
    <row r="293" spans="1:7" ht="31.5">
      <c r="A293" s="70" t="s">
        <v>295</v>
      </c>
      <c r="B293" s="80"/>
      <c r="C293" s="73" t="s">
        <v>188</v>
      </c>
      <c r="D293" s="73" t="s">
        <v>188</v>
      </c>
      <c r="E293" s="73" t="s">
        <v>296</v>
      </c>
      <c r="F293" s="73"/>
      <c r="G293" s="74">
        <f>SUM(G294)</f>
        <v>3648</v>
      </c>
    </row>
    <row r="294" spans="1:7" ht="31.5">
      <c r="A294" s="70" t="s">
        <v>547</v>
      </c>
      <c r="B294" s="80"/>
      <c r="C294" s="73" t="s">
        <v>188</v>
      </c>
      <c r="D294" s="73" t="s">
        <v>188</v>
      </c>
      <c r="E294" s="73" t="s">
        <v>299</v>
      </c>
      <c r="F294" s="73"/>
      <c r="G294" s="74">
        <f>SUM(G295)</f>
        <v>3648</v>
      </c>
    </row>
    <row r="295" spans="1:7" ht="31.5">
      <c r="A295" s="70" t="s">
        <v>548</v>
      </c>
      <c r="B295" s="80"/>
      <c r="C295" s="73" t="s">
        <v>188</v>
      </c>
      <c r="D295" s="73" t="s">
        <v>188</v>
      </c>
      <c r="E295" s="73" t="s">
        <v>549</v>
      </c>
      <c r="F295" s="73"/>
      <c r="G295" s="74">
        <f>SUM(G296)</f>
        <v>3648</v>
      </c>
    </row>
    <row r="296" spans="1:7" ht="31.5">
      <c r="A296" s="70" t="s">
        <v>359</v>
      </c>
      <c r="B296" s="80"/>
      <c r="C296" s="73" t="s">
        <v>188</v>
      </c>
      <c r="D296" s="73" t="s">
        <v>188</v>
      </c>
      <c r="E296" s="73" t="s">
        <v>549</v>
      </c>
      <c r="F296" s="73" t="s">
        <v>313</v>
      </c>
      <c r="G296" s="74">
        <v>3648</v>
      </c>
    </row>
    <row r="297" spans="1:7" ht="15.75">
      <c r="A297" s="51" t="s">
        <v>300</v>
      </c>
      <c r="B297" s="86"/>
      <c r="C297" s="53" t="s">
        <v>82</v>
      </c>
      <c r="D297" s="52"/>
      <c r="E297" s="52"/>
      <c r="F297" s="52"/>
      <c r="G297" s="54">
        <f>SUM(G298+G304)</f>
        <v>5708.799999999999</v>
      </c>
    </row>
    <row r="298" spans="1:7" ht="15.75">
      <c r="A298" s="51" t="s">
        <v>301</v>
      </c>
      <c r="B298" s="86"/>
      <c r="C298" s="53" t="s">
        <v>82</v>
      </c>
      <c r="D298" s="53" t="s">
        <v>58</v>
      </c>
      <c r="E298" s="52"/>
      <c r="F298" s="52"/>
      <c r="G298" s="54">
        <f>SUM(G299)</f>
        <v>4761.699999999999</v>
      </c>
    </row>
    <row r="299" spans="1:7" ht="31.5">
      <c r="A299" s="51" t="s">
        <v>302</v>
      </c>
      <c r="B299" s="86"/>
      <c r="C299" s="53" t="s">
        <v>82</v>
      </c>
      <c r="D299" s="53" t="s">
        <v>58</v>
      </c>
      <c r="E299" s="52" t="s">
        <v>303</v>
      </c>
      <c r="F299" s="52"/>
      <c r="G299" s="54">
        <f>SUM(G300)</f>
        <v>4761.699999999999</v>
      </c>
    </row>
    <row r="300" spans="1:7" ht="31.5">
      <c r="A300" s="51" t="s">
        <v>49</v>
      </c>
      <c r="B300" s="86"/>
      <c r="C300" s="53" t="s">
        <v>82</v>
      </c>
      <c r="D300" s="53" t="s">
        <v>58</v>
      </c>
      <c r="E300" s="52" t="s">
        <v>304</v>
      </c>
      <c r="F300" s="52"/>
      <c r="G300" s="54">
        <f>SUM(G301:G303)</f>
        <v>4761.699999999999</v>
      </c>
    </row>
    <row r="301" spans="1:7" ht="47.25">
      <c r="A301" s="70" t="s">
        <v>55</v>
      </c>
      <c r="B301" s="86"/>
      <c r="C301" s="53" t="s">
        <v>82</v>
      </c>
      <c r="D301" s="53" t="s">
        <v>58</v>
      </c>
      <c r="E301" s="52" t="s">
        <v>304</v>
      </c>
      <c r="F301" s="53" t="s">
        <v>99</v>
      </c>
      <c r="G301" s="54">
        <f>3939.6+25.2</f>
        <v>3964.7999999999997</v>
      </c>
    </row>
    <row r="302" spans="1:7" ht="31.5">
      <c r="A302" s="51" t="s">
        <v>56</v>
      </c>
      <c r="B302" s="86"/>
      <c r="C302" s="53" t="s">
        <v>82</v>
      </c>
      <c r="D302" s="53" t="s">
        <v>58</v>
      </c>
      <c r="E302" s="52" t="s">
        <v>304</v>
      </c>
      <c r="F302" s="53" t="s">
        <v>101</v>
      </c>
      <c r="G302" s="54">
        <f>709.8-25.2-0.6+60-2</f>
        <v>741.9999999999999</v>
      </c>
    </row>
    <row r="303" spans="1:7" ht="15.75">
      <c r="A303" s="51" t="s">
        <v>26</v>
      </c>
      <c r="B303" s="86"/>
      <c r="C303" s="53" t="s">
        <v>82</v>
      </c>
      <c r="D303" s="53" t="s">
        <v>58</v>
      </c>
      <c r="E303" s="52" t="s">
        <v>304</v>
      </c>
      <c r="F303" s="53" t="s">
        <v>106</v>
      </c>
      <c r="G303" s="54">
        <v>54.9</v>
      </c>
    </row>
    <row r="304" spans="1:7" ht="15.75">
      <c r="A304" s="51" t="s">
        <v>199</v>
      </c>
      <c r="B304" s="86"/>
      <c r="C304" s="53" t="s">
        <v>82</v>
      </c>
      <c r="D304" s="53" t="s">
        <v>188</v>
      </c>
      <c r="E304" s="52"/>
      <c r="F304" s="52"/>
      <c r="G304" s="54">
        <f>SUM(G305)+G312</f>
        <v>947.1</v>
      </c>
    </row>
    <row r="305" spans="1:7" ht="31.5">
      <c r="A305" s="51" t="s">
        <v>302</v>
      </c>
      <c r="B305" s="86"/>
      <c r="C305" s="53" t="s">
        <v>82</v>
      </c>
      <c r="D305" s="53" t="s">
        <v>188</v>
      </c>
      <c r="E305" s="52" t="s">
        <v>303</v>
      </c>
      <c r="F305" s="52"/>
      <c r="G305" s="54">
        <f>SUM(G306)</f>
        <v>894.1</v>
      </c>
    </row>
    <row r="306" spans="1:7" ht="15.75">
      <c r="A306" s="51" t="s">
        <v>39</v>
      </c>
      <c r="B306" s="86"/>
      <c r="C306" s="53" t="s">
        <v>82</v>
      </c>
      <c r="D306" s="53" t="s">
        <v>188</v>
      </c>
      <c r="E306" s="52" t="s">
        <v>315</v>
      </c>
      <c r="F306" s="52"/>
      <c r="G306" s="54">
        <f>SUM(G307)+G309</f>
        <v>894.1</v>
      </c>
    </row>
    <row r="307" spans="1:7" ht="47.25" hidden="1">
      <c r="A307" s="51" t="s">
        <v>366</v>
      </c>
      <c r="B307" s="86"/>
      <c r="C307" s="53" t="s">
        <v>82</v>
      </c>
      <c r="D307" s="53" t="s">
        <v>188</v>
      </c>
      <c r="E307" s="52" t="s">
        <v>367</v>
      </c>
      <c r="F307" s="52"/>
      <c r="G307" s="54">
        <f>SUM(G308)</f>
        <v>0</v>
      </c>
    </row>
    <row r="308" spans="1:7" ht="15.75" hidden="1">
      <c r="A308" s="51" t="s">
        <v>100</v>
      </c>
      <c r="B308" s="86"/>
      <c r="C308" s="53" t="s">
        <v>82</v>
      </c>
      <c r="D308" s="53" t="s">
        <v>188</v>
      </c>
      <c r="E308" s="52" t="s">
        <v>367</v>
      </c>
      <c r="F308" s="53" t="s">
        <v>101</v>
      </c>
      <c r="G308" s="54"/>
    </row>
    <row r="309" spans="1:7" ht="47.25">
      <c r="A309" s="51" t="s">
        <v>366</v>
      </c>
      <c r="B309" s="86"/>
      <c r="C309" s="53" t="s">
        <v>82</v>
      </c>
      <c r="D309" s="53" t="s">
        <v>188</v>
      </c>
      <c r="E309" s="52" t="s">
        <v>367</v>
      </c>
      <c r="F309" s="52"/>
      <c r="G309" s="54">
        <f>SUM(G310:G311)</f>
        <v>894.1</v>
      </c>
    </row>
    <row r="310" spans="1:7" ht="47.25">
      <c r="A310" s="70" t="s">
        <v>55</v>
      </c>
      <c r="B310" s="86"/>
      <c r="C310" s="53" t="s">
        <v>82</v>
      </c>
      <c r="D310" s="53" t="s">
        <v>188</v>
      </c>
      <c r="E310" s="52" t="s">
        <v>367</v>
      </c>
      <c r="F310" s="52">
        <v>100</v>
      </c>
      <c r="G310" s="54">
        <v>25</v>
      </c>
    </row>
    <row r="311" spans="1:7" ht="31.5">
      <c r="A311" s="51" t="s">
        <v>56</v>
      </c>
      <c r="B311" s="86"/>
      <c r="C311" s="53" t="s">
        <v>82</v>
      </c>
      <c r="D311" s="53" t="s">
        <v>188</v>
      </c>
      <c r="E311" s="52" t="s">
        <v>367</v>
      </c>
      <c r="F311" s="53" t="s">
        <v>101</v>
      </c>
      <c r="G311" s="54">
        <f>975-105.9</f>
        <v>869.1</v>
      </c>
    </row>
    <row r="312" spans="1:7" ht="31.5">
      <c r="A312" s="70" t="s">
        <v>316</v>
      </c>
      <c r="B312" s="80"/>
      <c r="C312" s="167" t="s">
        <v>82</v>
      </c>
      <c r="D312" s="167" t="s">
        <v>188</v>
      </c>
      <c r="E312" s="80" t="s">
        <v>264</v>
      </c>
      <c r="F312" s="80"/>
      <c r="G312" s="64">
        <f>SUM(G313)</f>
        <v>53</v>
      </c>
    </row>
    <row r="313" spans="1:7" ht="31.5">
      <c r="A313" s="70" t="s">
        <v>265</v>
      </c>
      <c r="B313" s="80"/>
      <c r="C313" s="167" t="s">
        <v>82</v>
      </c>
      <c r="D313" s="167" t="s">
        <v>188</v>
      </c>
      <c r="E313" s="80" t="s">
        <v>266</v>
      </c>
      <c r="F313" s="80"/>
      <c r="G313" s="64">
        <f>SUM(G314)</f>
        <v>53</v>
      </c>
    </row>
    <row r="314" spans="1:7" ht="31.5">
      <c r="A314" s="70" t="s">
        <v>84</v>
      </c>
      <c r="B314" s="80"/>
      <c r="C314" s="167" t="s">
        <v>82</v>
      </c>
      <c r="D314" s="167" t="s">
        <v>188</v>
      </c>
      <c r="E314" s="80" t="s">
        <v>267</v>
      </c>
      <c r="F314" s="80"/>
      <c r="G314" s="64">
        <f>SUM(G315)</f>
        <v>53</v>
      </c>
    </row>
    <row r="315" spans="1:7" ht="31.5">
      <c r="A315" s="70" t="s">
        <v>268</v>
      </c>
      <c r="B315" s="80"/>
      <c r="C315" s="167" t="s">
        <v>82</v>
      </c>
      <c r="D315" s="167" t="s">
        <v>188</v>
      </c>
      <c r="E315" s="80" t="s">
        <v>269</v>
      </c>
      <c r="F315" s="80"/>
      <c r="G315" s="64">
        <f>SUM(G316)</f>
        <v>53</v>
      </c>
    </row>
    <row r="316" spans="1:7" ht="31.5">
      <c r="A316" s="70" t="s">
        <v>56</v>
      </c>
      <c r="B316" s="80"/>
      <c r="C316" s="167" t="s">
        <v>82</v>
      </c>
      <c r="D316" s="167" t="s">
        <v>188</v>
      </c>
      <c r="E316" s="80" t="s">
        <v>269</v>
      </c>
      <c r="F316" s="80" t="s">
        <v>101</v>
      </c>
      <c r="G316" s="64">
        <v>53</v>
      </c>
    </row>
    <row r="317" spans="1:7" ht="15.75">
      <c r="A317" s="70" t="s">
        <v>124</v>
      </c>
      <c r="B317" s="80"/>
      <c r="C317" s="73" t="s">
        <v>125</v>
      </c>
      <c r="D317" s="73" t="s">
        <v>36</v>
      </c>
      <c r="E317" s="73"/>
      <c r="F317" s="73"/>
      <c r="G317" s="74">
        <f>SUM(G330)+G318+G323</f>
        <v>2200</v>
      </c>
    </row>
    <row r="318" spans="1:7" ht="15.75">
      <c r="A318" s="70" t="s">
        <v>200</v>
      </c>
      <c r="B318" s="80"/>
      <c r="C318" s="73" t="s">
        <v>125</v>
      </c>
      <c r="D318" s="73" t="s">
        <v>38</v>
      </c>
      <c r="E318" s="73"/>
      <c r="F318" s="73"/>
      <c r="G318" s="74">
        <f>SUM(G319)</f>
        <v>2000</v>
      </c>
    </row>
    <row r="319" spans="1:7" ht="31.5">
      <c r="A319" s="70" t="s">
        <v>316</v>
      </c>
      <c r="B319" s="80"/>
      <c r="C319" s="73" t="s">
        <v>125</v>
      </c>
      <c r="D319" s="73" t="s">
        <v>38</v>
      </c>
      <c r="E319" s="52" t="s">
        <v>264</v>
      </c>
      <c r="F319" s="73"/>
      <c r="G319" s="74">
        <f>SUM(G320)</f>
        <v>2000</v>
      </c>
    </row>
    <row r="320" spans="1:7" ht="31.5">
      <c r="A320" s="51" t="s">
        <v>265</v>
      </c>
      <c r="B320" s="80"/>
      <c r="C320" s="73" t="s">
        <v>125</v>
      </c>
      <c r="D320" s="73" t="s">
        <v>38</v>
      </c>
      <c r="E320" s="52" t="s">
        <v>266</v>
      </c>
      <c r="F320" s="73"/>
      <c r="G320" s="74">
        <f>SUM(G321)</f>
        <v>2000</v>
      </c>
    </row>
    <row r="321" spans="1:7" ht="47.25">
      <c r="A321" s="70" t="s">
        <v>652</v>
      </c>
      <c r="B321" s="80"/>
      <c r="C321" s="73" t="s">
        <v>125</v>
      </c>
      <c r="D321" s="73" t="s">
        <v>38</v>
      </c>
      <c r="E321" s="52" t="s">
        <v>653</v>
      </c>
      <c r="F321" s="73"/>
      <c r="G321" s="74">
        <f>SUM(G322)</f>
        <v>2000</v>
      </c>
    </row>
    <row r="322" spans="1:7" ht="31.5">
      <c r="A322" s="70" t="s">
        <v>359</v>
      </c>
      <c r="B322" s="80"/>
      <c r="C322" s="73" t="s">
        <v>125</v>
      </c>
      <c r="D322" s="73" t="s">
        <v>38</v>
      </c>
      <c r="E322" s="52" t="s">
        <v>653</v>
      </c>
      <c r="F322" s="73" t="s">
        <v>313</v>
      </c>
      <c r="G322" s="74">
        <v>2000</v>
      </c>
    </row>
    <row r="323" spans="1:7" ht="15.75">
      <c r="A323" s="166" t="s">
        <v>201</v>
      </c>
      <c r="B323" s="80"/>
      <c r="C323" s="73" t="s">
        <v>125</v>
      </c>
      <c r="D323" s="73" t="s">
        <v>48</v>
      </c>
      <c r="E323" s="52"/>
      <c r="F323" s="73"/>
      <c r="G323" s="74">
        <f>SUM(G324)</f>
        <v>200</v>
      </c>
    </row>
    <row r="324" spans="1:7" ht="31.5">
      <c r="A324" s="70" t="s">
        <v>316</v>
      </c>
      <c r="B324" s="80"/>
      <c r="C324" s="73" t="s">
        <v>125</v>
      </c>
      <c r="D324" s="73" t="s">
        <v>48</v>
      </c>
      <c r="E324" s="80" t="s">
        <v>264</v>
      </c>
      <c r="F324" s="80"/>
      <c r="G324" s="64">
        <f>SUM(G325)</f>
        <v>200</v>
      </c>
    </row>
    <row r="325" spans="1:7" ht="31.5">
      <c r="A325" s="70" t="s">
        <v>265</v>
      </c>
      <c r="B325" s="80"/>
      <c r="C325" s="73" t="s">
        <v>125</v>
      </c>
      <c r="D325" s="73" t="s">
        <v>48</v>
      </c>
      <c r="E325" s="80" t="s">
        <v>266</v>
      </c>
      <c r="F325" s="80"/>
      <c r="G325" s="64">
        <f>SUM(G326)</f>
        <v>200</v>
      </c>
    </row>
    <row r="326" spans="1:7" ht="31.5">
      <c r="A326" s="70" t="s">
        <v>84</v>
      </c>
      <c r="B326" s="80"/>
      <c r="C326" s="73" t="s">
        <v>125</v>
      </c>
      <c r="D326" s="73" t="s">
        <v>48</v>
      </c>
      <c r="E326" s="80" t="s">
        <v>267</v>
      </c>
      <c r="F326" s="80"/>
      <c r="G326" s="64">
        <f>SUM(G327)</f>
        <v>200</v>
      </c>
    </row>
    <row r="327" spans="1:7" ht="31.5">
      <c r="A327" s="70" t="s">
        <v>268</v>
      </c>
      <c r="B327" s="80"/>
      <c r="C327" s="73" t="s">
        <v>125</v>
      </c>
      <c r="D327" s="73" t="s">
        <v>48</v>
      </c>
      <c r="E327" s="80" t="s">
        <v>269</v>
      </c>
      <c r="F327" s="80"/>
      <c r="G327" s="64">
        <f>SUM(G328)</f>
        <v>200</v>
      </c>
    </row>
    <row r="328" spans="1:7" ht="31.5">
      <c r="A328" s="70" t="s">
        <v>56</v>
      </c>
      <c r="B328" s="80"/>
      <c r="C328" s="73" t="s">
        <v>125</v>
      </c>
      <c r="D328" s="73" t="s">
        <v>48</v>
      </c>
      <c r="E328" s="80" t="s">
        <v>269</v>
      </c>
      <c r="F328" s="80" t="s">
        <v>101</v>
      </c>
      <c r="G328" s="64">
        <v>200</v>
      </c>
    </row>
    <row r="329" spans="1:7" ht="15.75" hidden="1">
      <c r="A329" s="70"/>
      <c r="B329" s="80"/>
      <c r="C329" s="73"/>
      <c r="D329" s="73"/>
      <c r="E329" s="52"/>
      <c r="F329" s="73"/>
      <c r="G329" s="74"/>
    </row>
    <row r="330" spans="1:7" ht="15.75" hidden="1">
      <c r="A330" s="70" t="s">
        <v>203</v>
      </c>
      <c r="B330" s="80"/>
      <c r="C330" s="73" t="s">
        <v>125</v>
      </c>
      <c r="D330" s="73" t="s">
        <v>192</v>
      </c>
      <c r="E330" s="73"/>
      <c r="F330" s="73"/>
      <c r="G330" s="74">
        <f>SUM(G331)</f>
        <v>0</v>
      </c>
    </row>
    <row r="331" spans="1:7" ht="31.5" hidden="1">
      <c r="A331" s="70" t="s">
        <v>352</v>
      </c>
      <c r="B331" s="80"/>
      <c r="C331" s="73" t="s">
        <v>125</v>
      </c>
      <c r="D331" s="73" t="s">
        <v>192</v>
      </c>
      <c r="E331" s="73" t="s">
        <v>398</v>
      </c>
      <c r="F331" s="73"/>
      <c r="G331" s="74">
        <f>SUM(G332)</f>
        <v>0</v>
      </c>
    </row>
    <row r="332" spans="1:7" ht="31.5" hidden="1">
      <c r="A332" s="70" t="s">
        <v>358</v>
      </c>
      <c r="B332" s="80"/>
      <c r="C332" s="73" t="s">
        <v>125</v>
      </c>
      <c r="D332" s="73" t="s">
        <v>192</v>
      </c>
      <c r="E332" s="73" t="s">
        <v>421</v>
      </c>
      <c r="F332" s="73"/>
      <c r="G332" s="74">
        <f>SUM(G333)</f>
        <v>0</v>
      </c>
    </row>
    <row r="333" spans="1:7" ht="31.5" hidden="1">
      <c r="A333" s="70" t="s">
        <v>359</v>
      </c>
      <c r="B333" s="80"/>
      <c r="C333" s="73" t="s">
        <v>125</v>
      </c>
      <c r="D333" s="73" t="s">
        <v>192</v>
      </c>
      <c r="E333" s="73" t="s">
        <v>421</v>
      </c>
      <c r="F333" s="73" t="s">
        <v>313</v>
      </c>
      <c r="G333" s="74"/>
    </row>
    <row r="334" spans="1:7" ht="15.75">
      <c r="A334" s="51" t="s">
        <v>34</v>
      </c>
      <c r="B334" s="86"/>
      <c r="C334" s="53" t="s">
        <v>35</v>
      </c>
      <c r="D334" s="53"/>
      <c r="E334" s="52"/>
      <c r="F334" s="52"/>
      <c r="G334" s="54">
        <f>SUM(G335+G347)+G360</f>
        <v>73597.2</v>
      </c>
    </row>
    <row r="335" spans="1:7" ht="15.75">
      <c r="A335" s="51" t="s">
        <v>57</v>
      </c>
      <c r="B335" s="86"/>
      <c r="C335" s="53" t="s">
        <v>35</v>
      </c>
      <c r="D335" s="53" t="s">
        <v>58</v>
      </c>
      <c r="E335" s="52"/>
      <c r="F335" s="52"/>
      <c r="G335" s="54">
        <f>SUM(G344)+G341+G336</f>
        <v>942.7</v>
      </c>
    </row>
    <row r="336" spans="1:7" ht="47.25">
      <c r="A336" s="162" t="s">
        <v>752</v>
      </c>
      <c r="B336" s="208"/>
      <c r="C336" s="208" t="s">
        <v>35</v>
      </c>
      <c r="D336" s="208" t="s">
        <v>58</v>
      </c>
      <c r="E336" s="209" t="s">
        <v>757</v>
      </c>
      <c r="F336" s="210"/>
      <c r="G336" s="54">
        <f>SUM(G337)</f>
        <v>469.1</v>
      </c>
    </row>
    <row r="337" spans="1:7" ht="31.5">
      <c r="A337" s="168" t="s">
        <v>1183</v>
      </c>
      <c r="B337" s="208"/>
      <c r="C337" s="208" t="s">
        <v>35</v>
      </c>
      <c r="D337" s="208" t="s">
        <v>58</v>
      </c>
      <c r="E337" s="209" t="s">
        <v>1184</v>
      </c>
      <c r="F337" s="210"/>
      <c r="G337" s="54">
        <f>SUM(G338)</f>
        <v>469.1</v>
      </c>
    </row>
    <row r="338" spans="1:7" ht="47.25">
      <c r="A338" s="168" t="s">
        <v>700</v>
      </c>
      <c r="B338" s="208"/>
      <c r="C338" s="208" t="s">
        <v>35</v>
      </c>
      <c r="D338" s="208" t="s">
        <v>58</v>
      </c>
      <c r="E338" s="209" t="s">
        <v>1185</v>
      </c>
      <c r="F338" s="210"/>
      <c r="G338" s="54">
        <f>SUM(G339)</f>
        <v>469.1</v>
      </c>
    </row>
    <row r="339" spans="1:7" ht="47.25">
      <c r="A339" s="168" t="s">
        <v>1186</v>
      </c>
      <c r="B339" s="208"/>
      <c r="C339" s="208" t="s">
        <v>35</v>
      </c>
      <c r="D339" s="208" t="s">
        <v>58</v>
      </c>
      <c r="E339" s="209" t="s">
        <v>1187</v>
      </c>
      <c r="F339" s="210"/>
      <c r="G339" s="54">
        <f>SUM(G340)</f>
        <v>469.1</v>
      </c>
    </row>
    <row r="340" spans="1:7" ht="15.75">
      <c r="A340" s="168" t="s">
        <v>46</v>
      </c>
      <c r="B340" s="208"/>
      <c r="C340" s="208" t="s">
        <v>35</v>
      </c>
      <c r="D340" s="208" t="s">
        <v>58</v>
      </c>
      <c r="E340" s="209" t="s">
        <v>1187</v>
      </c>
      <c r="F340" s="209">
        <v>300</v>
      </c>
      <c r="G340" s="54">
        <v>469.1</v>
      </c>
    </row>
    <row r="341" spans="1:7" ht="31.5">
      <c r="A341" s="51" t="s">
        <v>305</v>
      </c>
      <c r="B341" s="86"/>
      <c r="C341" s="53" t="s">
        <v>35</v>
      </c>
      <c r="D341" s="53" t="s">
        <v>58</v>
      </c>
      <c r="E341" s="52" t="s">
        <v>306</v>
      </c>
      <c r="F341" s="52"/>
      <c r="G341" s="54">
        <f>SUM(G342)</f>
        <v>473.6</v>
      </c>
    </row>
    <row r="342" spans="1:7" ht="31.5">
      <c r="A342" s="51" t="s">
        <v>320</v>
      </c>
      <c r="B342" s="86"/>
      <c r="C342" s="53" t="s">
        <v>35</v>
      </c>
      <c r="D342" s="53" t="s">
        <v>58</v>
      </c>
      <c r="E342" s="52" t="s">
        <v>307</v>
      </c>
      <c r="F342" s="52"/>
      <c r="G342" s="54">
        <f>SUM(G343)</f>
        <v>473.6</v>
      </c>
    </row>
    <row r="343" spans="1:7" ht="15.75">
      <c r="A343" s="51" t="s">
        <v>46</v>
      </c>
      <c r="B343" s="86"/>
      <c r="C343" s="53" t="s">
        <v>35</v>
      </c>
      <c r="D343" s="53" t="s">
        <v>58</v>
      </c>
      <c r="E343" s="52" t="s">
        <v>307</v>
      </c>
      <c r="F343" s="52">
        <v>300</v>
      </c>
      <c r="G343" s="54">
        <v>473.6</v>
      </c>
    </row>
    <row r="344" spans="1:7" ht="31.5" hidden="1">
      <c r="A344" s="51" t="s">
        <v>308</v>
      </c>
      <c r="B344" s="86"/>
      <c r="C344" s="53" t="s">
        <v>35</v>
      </c>
      <c r="D344" s="53" t="s">
        <v>58</v>
      </c>
      <c r="E344" s="52" t="s">
        <v>296</v>
      </c>
      <c r="F344" s="52"/>
      <c r="G344" s="54">
        <f>SUM(G345)</f>
        <v>0</v>
      </c>
    </row>
    <row r="345" spans="1:7" ht="78.75" hidden="1">
      <c r="A345" s="51" t="s">
        <v>309</v>
      </c>
      <c r="B345" s="86"/>
      <c r="C345" s="53" t="s">
        <v>35</v>
      </c>
      <c r="D345" s="53" t="s">
        <v>58</v>
      </c>
      <c r="E345" s="52" t="s">
        <v>310</v>
      </c>
      <c r="F345" s="52"/>
      <c r="G345" s="54">
        <f>SUM(G346)</f>
        <v>0</v>
      </c>
    </row>
    <row r="346" spans="1:7" ht="15.75" hidden="1">
      <c r="A346" s="51" t="s">
        <v>100</v>
      </c>
      <c r="B346" s="86"/>
      <c r="C346" s="53" t="s">
        <v>35</v>
      </c>
      <c r="D346" s="53" t="s">
        <v>58</v>
      </c>
      <c r="E346" s="52" t="s">
        <v>310</v>
      </c>
      <c r="F346" s="52">
        <v>200</v>
      </c>
      <c r="G346" s="54"/>
    </row>
    <row r="347" spans="1:7" ht="15.75">
      <c r="A347" s="51" t="s">
        <v>209</v>
      </c>
      <c r="B347" s="86"/>
      <c r="C347" s="53" t="s">
        <v>35</v>
      </c>
      <c r="D347" s="53" t="s">
        <v>17</v>
      </c>
      <c r="E347" s="53"/>
      <c r="F347" s="53"/>
      <c r="G347" s="54">
        <f>SUM(G348)+G353</f>
        <v>47003</v>
      </c>
    </row>
    <row r="348" spans="1:7" ht="31.5">
      <c r="A348" s="51" t="s">
        <v>646</v>
      </c>
      <c r="B348" s="86"/>
      <c r="C348" s="53" t="s">
        <v>35</v>
      </c>
      <c r="D348" s="53" t="s">
        <v>17</v>
      </c>
      <c r="E348" s="53" t="s">
        <v>540</v>
      </c>
      <c r="F348" s="53"/>
      <c r="G348" s="54">
        <f>SUM(G349)</f>
        <v>4500</v>
      </c>
    </row>
    <row r="349" spans="1:7" ht="15.75">
      <c r="A349" s="51" t="s">
        <v>647</v>
      </c>
      <c r="B349" s="86"/>
      <c r="C349" s="53" t="s">
        <v>35</v>
      </c>
      <c r="D349" s="53" t="s">
        <v>17</v>
      </c>
      <c r="E349" s="53" t="s">
        <v>541</v>
      </c>
      <c r="F349" s="53"/>
      <c r="G349" s="54">
        <f>SUM(G350)</f>
        <v>4500</v>
      </c>
    </row>
    <row r="350" spans="1:7" ht="78.75">
      <c r="A350" s="51" t="s">
        <v>317</v>
      </c>
      <c r="B350" s="80"/>
      <c r="C350" s="53" t="s">
        <v>35</v>
      </c>
      <c r="D350" s="53" t="s">
        <v>17</v>
      </c>
      <c r="E350" s="53" t="s">
        <v>542</v>
      </c>
      <c r="F350" s="53"/>
      <c r="G350" s="54">
        <f>SUM(G351)</f>
        <v>4500</v>
      </c>
    </row>
    <row r="351" spans="1:7" ht="31.5">
      <c r="A351" s="51" t="s">
        <v>538</v>
      </c>
      <c r="B351" s="86"/>
      <c r="C351" s="53" t="s">
        <v>35</v>
      </c>
      <c r="D351" s="53" t="s">
        <v>17</v>
      </c>
      <c r="E351" s="53" t="s">
        <v>543</v>
      </c>
      <c r="F351" s="53"/>
      <c r="G351" s="54">
        <f>SUM(G352)</f>
        <v>4500</v>
      </c>
    </row>
    <row r="352" spans="1:7" ht="31.5">
      <c r="A352" s="51" t="s">
        <v>312</v>
      </c>
      <c r="B352" s="86"/>
      <c r="C352" s="53" t="s">
        <v>35</v>
      </c>
      <c r="D352" s="53" t="s">
        <v>17</v>
      </c>
      <c r="E352" s="53" t="s">
        <v>543</v>
      </c>
      <c r="F352" s="53" t="s">
        <v>313</v>
      </c>
      <c r="G352" s="54">
        <v>4500</v>
      </c>
    </row>
    <row r="353" spans="1:7" ht="31.5">
      <c r="A353" s="51" t="s">
        <v>295</v>
      </c>
      <c r="B353" s="86"/>
      <c r="C353" s="53" t="s">
        <v>35</v>
      </c>
      <c r="D353" s="53" t="s">
        <v>17</v>
      </c>
      <c r="E353" s="52" t="s">
        <v>296</v>
      </c>
      <c r="F353" s="52"/>
      <c r="G353" s="54">
        <f>SUM(G354)</f>
        <v>42503</v>
      </c>
    </row>
    <row r="354" spans="1:7" ht="63">
      <c r="A354" s="51" t="s">
        <v>539</v>
      </c>
      <c r="B354" s="86"/>
      <c r="C354" s="53" t="s">
        <v>35</v>
      </c>
      <c r="D354" s="53" t="s">
        <v>17</v>
      </c>
      <c r="E354" s="52" t="s">
        <v>544</v>
      </c>
      <c r="F354" s="52"/>
      <c r="G354" s="54">
        <f>SUM(G355)</f>
        <v>42503</v>
      </c>
    </row>
    <row r="355" spans="1:7" ht="94.5">
      <c r="A355" s="51" t="s">
        <v>537</v>
      </c>
      <c r="B355" s="86"/>
      <c r="C355" s="53" t="s">
        <v>35</v>
      </c>
      <c r="D355" s="53" t="s">
        <v>17</v>
      </c>
      <c r="E355" s="52" t="s">
        <v>545</v>
      </c>
      <c r="F355" s="52"/>
      <c r="G355" s="54">
        <f>SUM(G356+G358)</f>
        <v>42503</v>
      </c>
    </row>
    <row r="356" spans="1:7" ht="47.25">
      <c r="A356" s="70" t="s">
        <v>311</v>
      </c>
      <c r="B356" s="86"/>
      <c r="C356" s="53" t="s">
        <v>35</v>
      </c>
      <c r="D356" s="53" t="s">
        <v>17</v>
      </c>
      <c r="E356" s="52" t="s">
        <v>546</v>
      </c>
      <c r="F356" s="52"/>
      <c r="G356" s="54">
        <f>SUM(G357)</f>
        <v>18517</v>
      </c>
    </row>
    <row r="357" spans="1:7" ht="31.5">
      <c r="A357" s="51" t="s">
        <v>312</v>
      </c>
      <c r="B357" s="86"/>
      <c r="C357" s="53" t="s">
        <v>35</v>
      </c>
      <c r="D357" s="53" t="s">
        <v>17</v>
      </c>
      <c r="E357" s="52" t="s">
        <v>546</v>
      </c>
      <c r="F357" s="52">
        <v>400</v>
      </c>
      <c r="G357" s="54">
        <v>18517</v>
      </c>
    </row>
    <row r="358" spans="1:7" ht="47.25">
      <c r="A358" s="51" t="s">
        <v>314</v>
      </c>
      <c r="B358" s="86"/>
      <c r="C358" s="53" t="s">
        <v>35</v>
      </c>
      <c r="D358" s="53" t="s">
        <v>17</v>
      </c>
      <c r="E358" s="53" t="s">
        <v>651</v>
      </c>
      <c r="F358" s="52"/>
      <c r="G358" s="54">
        <f>SUM(G359)</f>
        <v>23986</v>
      </c>
    </row>
    <row r="359" spans="1:7" ht="31.5">
      <c r="A359" s="51" t="s">
        <v>312</v>
      </c>
      <c r="B359" s="86"/>
      <c r="C359" s="53" t="s">
        <v>35</v>
      </c>
      <c r="D359" s="53" t="s">
        <v>17</v>
      </c>
      <c r="E359" s="53" t="s">
        <v>651</v>
      </c>
      <c r="F359" s="53" t="s">
        <v>313</v>
      </c>
      <c r="G359" s="54">
        <v>23986</v>
      </c>
    </row>
    <row r="360" spans="1:7" ht="15.75">
      <c r="A360" s="51" t="s">
        <v>81</v>
      </c>
      <c r="B360" s="86"/>
      <c r="C360" s="53" t="s">
        <v>35</v>
      </c>
      <c r="D360" s="53" t="s">
        <v>82</v>
      </c>
      <c r="E360" s="52"/>
      <c r="F360" s="52"/>
      <c r="G360" s="54">
        <f>G368+G364+G361</f>
        <v>25651.5</v>
      </c>
    </row>
    <row r="361" spans="1:7" ht="31.5">
      <c r="A361" s="166" t="s">
        <v>295</v>
      </c>
      <c r="B361" s="86"/>
      <c r="C361" s="167" t="s">
        <v>35</v>
      </c>
      <c r="D361" s="167" t="s">
        <v>82</v>
      </c>
      <c r="E361" s="52" t="s">
        <v>296</v>
      </c>
      <c r="F361" s="52"/>
      <c r="G361" s="54">
        <f>SUM(G362)</f>
        <v>3591.5</v>
      </c>
    </row>
    <row r="362" spans="1:7" ht="78.75">
      <c r="A362" s="166" t="s">
        <v>1177</v>
      </c>
      <c r="B362" s="207"/>
      <c r="C362" s="208" t="s">
        <v>35</v>
      </c>
      <c r="D362" s="208" t="s">
        <v>82</v>
      </c>
      <c r="E362" s="209" t="s">
        <v>310</v>
      </c>
      <c r="F362" s="210"/>
      <c r="G362" s="54">
        <f>SUM(G363)</f>
        <v>3591.5</v>
      </c>
    </row>
    <row r="363" spans="1:7" ht="31.5">
      <c r="A363" s="166" t="s">
        <v>312</v>
      </c>
      <c r="B363" s="207"/>
      <c r="C363" s="208" t="s">
        <v>35</v>
      </c>
      <c r="D363" s="208" t="s">
        <v>82</v>
      </c>
      <c r="E363" s="209" t="s">
        <v>310</v>
      </c>
      <c r="F363" s="209">
        <v>400</v>
      </c>
      <c r="G363" s="54">
        <v>3591.5</v>
      </c>
    </row>
    <row r="364" spans="1:7" ht="31.5" hidden="1">
      <c r="A364" s="51" t="s">
        <v>88</v>
      </c>
      <c r="B364" s="52"/>
      <c r="C364" s="53" t="s">
        <v>35</v>
      </c>
      <c r="D364" s="53" t="s">
        <v>82</v>
      </c>
      <c r="E364" s="52" t="s">
        <v>20</v>
      </c>
      <c r="F364" s="52"/>
      <c r="G364" s="54">
        <f>SUM(G365)</f>
        <v>0</v>
      </c>
    </row>
    <row r="365" spans="1:7" ht="15.75" hidden="1">
      <c r="A365" s="51" t="s">
        <v>92</v>
      </c>
      <c r="B365" s="86"/>
      <c r="C365" s="53" t="s">
        <v>35</v>
      </c>
      <c r="D365" s="53" t="s">
        <v>82</v>
      </c>
      <c r="E365" s="52" t="s">
        <v>72</v>
      </c>
      <c r="F365" s="52"/>
      <c r="G365" s="54">
        <f>SUM(G366)</f>
        <v>0</v>
      </c>
    </row>
    <row r="366" spans="1:7" ht="15.75" hidden="1">
      <c r="A366" s="51" t="s">
        <v>41</v>
      </c>
      <c r="B366" s="86"/>
      <c r="C366" s="53" t="s">
        <v>35</v>
      </c>
      <c r="D366" s="53" t="s">
        <v>82</v>
      </c>
      <c r="E366" s="52" t="s">
        <v>650</v>
      </c>
      <c r="F366" s="52"/>
      <c r="G366" s="54">
        <f>SUM(G367)</f>
        <v>0</v>
      </c>
    </row>
    <row r="367" spans="1:7" ht="31.5" hidden="1">
      <c r="A367" s="51" t="s">
        <v>56</v>
      </c>
      <c r="B367" s="86"/>
      <c r="C367" s="53" t="s">
        <v>35</v>
      </c>
      <c r="D367" s="53" t="s">
        <v>82</v>
      </c>
      <c r="E367" s="52" t="s">
        <v>650</v>
      </c>
      <c r="F367" s="52">
        <v>200</v>
      </c>
      <c r="G367" s="54"/>
    </row>
    <row r="368" spans="1:7" ht="63">
      <c r="A368" s="51" t="s">
        <v>90</v>
      </c>
      <c r="B368" s="86"/>
      <c r="C368" s="53" t="s">
        <v>35</v>
      </c>
      <c r="D368" s="53" t="s">
        <v>82</v>
      </c>
      <c r="E368" s="52" t="s">
        <v>29</v>
      </c>
      <c r="F368" s="52"/>
      <c r="G368" s="54">
        <f>SUM(G369)+G372</f>
        <v>22060</v>
      </c>
    </row>
    <row r="369" spans="1:7" ht="47.25">
      <c r="A369" s="51" t="s">
        <v>30</v>
      </c>
      <c r="B369" s="86"/>
      <c r="C369" s="53" t="s">
        <v>35</v>
      </c>
      <c r="D369" s="53" t="s">
        <v>82</v>
      </c>
      <c r="E369" s="52" t="s">
        <v>31</v>
      </c>
      <c r="F369" s="52"/>
      <c r="G369" s="54">
        <f>G370</f>
        <v>21766.8</v>
      </c>
    </row>
    <row r="370" spans="1:7" ht="31.5">
      <c r="A370" s="51" t="s">
        <v>32</v>
      </c>
      <c r="B370" s="86"/>
      <c r="C370" s="53" t="s">
        <v>35</v>
      </c>
      <c r="D370" s="53" t="s">
        <v>82</v>
      </c>
      <c r="E370" s="52" t="s">
        <v>33</v>
      </c>
      <c r="F370" s="52"/>
      <c r="G370" s="54">
        <f>SUM(G371)</f>
        <v>21766.8</v>
      </c>
    </row>
    <row r="371" spans="1:7" ht="31.5">
      <c r="A371" s="51" t="s">
        <v>76</v>
      </c>
      <c r="B371" s="86"/>
      <c r="C371" s="53" t="s">
        <v>35</v>
      </c>
      <c r="D371" s="53" t="s">
        <v>82</v>
      </c>
      <c r="E371" s="52" t="s">
        <v>33</v>
      </c>
      <c r="F371" s="52">
        <v>600</v>
      </c>
      <c r="G371" s="54">
        <v>21766.8</v>
      </c>
    </row>
    <row r="372" spans="1:7" ht="15.75">
      <c r="A372" s="51" t="s">
        <v>166</v>
      </c>
      <c r="B372" s="86"/>
      <c r="C372" s="53" t="s">
        <v>35</v>
      </c>
      <c r="D372" s="53" t="s">
        <v>82</v>
      </c>
      <c r="E372" s="52" t="s">
        <v>680</v>
      </c>
      <c r="F372" s="52"/>
      <c r="G372" s="54">
        <f>SUM(G373)+G376</f>
        <v>293.2</v>
      </c>
    </row>
    <row r="373" spans="1:7" ht="31.5">
      <c r="A373" s="51" t="s">
        <v>335</v>
      </c>
      <c r="B373" s="86"/>
      <c r="C373" s="53" t="s">
        <v>35</v>
      </c>
      <c r="D373" s="53" t="s">
        <v>82</v>
      </c>
      <c r="E373" s="52" t="s">
        <v>681</v>
      </c>
      <c r="F373" s="52"/>
      <c r="G373" s="54">
        <f>SUM(G374)</f>
        <v>212.9</v>
      </c>
    </row>
    <row r="374" spans="1:7" ht="31.5">
      <c r="A374" s="51" t="s">
        <v>32</v>
      </c>
      <c r="B374" s="86"/>
      <c r="C374" s="53" t="s">
        <v>35</v>
      </c>
      <c r="D374" s="53" t="s">
        <v>82</v>
      </c>
      <c r="E374" s="52" t="s">
        <v>681</v>
      </c>
      <c r="F374" s="52"/>
      <c r="G374" s="54">
        <f>SUM(G375)</f>
        <v>212.9</v>
      </c>
    </row>
    <row r="375" spans="1:7" ht="31.5">
      <c r="A375" s="51" t="s">
        <v>76</v>
      </c>
      <c r="B375" s="86"/>
      <c r="C375" s="53" t="s">
        <v>35</v>
      </c>
      <c r="D375" s="53" t="s">
        <v>82</v>
      </c>
      <c r="E375" s="52" t="s">
        <v>681</v>
      </c>
      <c r="F375" s="52">
        <v>600</v>
      </c>
      <c r="G375" s="54">
        <v>212.9</v>
      </c>
    </row>
    <row r="376" spans="1:7" ht="15.75">
      <c r="A376" s="51" t="s">
        <v>336</v>
      </c>
      <c r="B376" s="86"/>
      <c r="C376" s="53" t="s">
        <v>35</v>
      </c>
      <c r="D376" s="53" t="s">
        <v>82</v>
      </c>
      <c r="E376" s="52" t="s">
        <v>682</v>
      </c>
      <c r="F376" s="52"/>
      <c r="G376" s="54">
        <f>SUM(G377)</f>
        <v>80.3</v>
      </c>
    </row>
    <row r="377" spans="1:7" ht="31.5">
      <c r="A377" s="51" t="s">
        <v>32</v>
      </c>
      <c r="B377" s="86"/>
      <c r="C377" s="53" t="s">
        <v>35</v>
      </c>
      <c r="D377" s="53" t="s">
        <v>82</v>
      </c>
      <c r="E377" s="52" t="s">
        <v>682</v>
      </c>
      <c r="F377" s="52"/>
      <c r="G377" s="54">
        <f>SUM(G378)</f>
        <v>80.3</v>
      </c>
    </row>
    <row r="378" spans="1:7" ht="31.5">
      <c r="A378" s="51" t="s">
        <v>76</v>
      </c>
      <c r="B378" s="86"/>
      <c r="C378" s="53" t="s">
        <v>35</v>
      </c>
      <c r="D378" s="53" t="s">
        <v>82</v>
      </c>
      <c r="E378" s="52" t="s">
        <v>682</v>
      </c>
      <c r="F378" s="52">
        <v>600</v>
      </c>
      <c r="G378" s="54">
        <v>80.3</v>
      </c>
    </row>
    <row r="379" spans="1:7" ht="15.75">
      <c r="A379" s="70" t="s">
        <v>322</v>
      </c>
      <c r="B379" s="80"/>
      <c r="C379" s="73" t="s">
        <v>189</v>
      </c>
      <c r="D379" s="73" t="s">
        <v>36</v>
      </c>
      <c r="E379" s="73"/>
      <c r="F379" s="73"/>
      <c r="G379" s="74">
        <f>SUM(G380)+G390</f>
        <v>21507.2</v>
      </c>
    </row>
    <row r="380" spans="1:7" ht="14.25" customHeight="1">
      <c r="A380" s="70" t="s">
        <v>210</v>
      </c>
      <c r="B380" s="80"/>
      <c r="C380" s="73" t="s">
        <v>189</v>
      </c>
      <c r="D380" s="73" t="s">
        <v>38</v>
      </c>
      <c r="E380" s="73"/>
      <c r="F380" s="73"/>
      <c r="G380" s="74">
        <f>SUM(G381,G384)</f>
        <v>10122</v>
      </c>
    </row>
    <row r="381" spans="1:7" ht="31.5" hidden="1">
      <c r="A381" s="70" t="s">
        <v>352</v>
      </c>
      <c r="B381" s="80"/>
      <c r="C381" s="73" t="s">
        <v>189</v>
      </c>
      <c r="D381" s="73" t="s">
        <v>38</v>
      </c>
      <c r="E381" s="73" t="s">
        <v>398</v>
      </c>
      <c r="F381" s="73"/>
      <c r="G381" s="74">
        <f>SUM(G382)</f>
        <v>0</v>
      </c>
    </row>
    <row r="382" spans="1:7" ht="31.5" hidden="1">
      <c r="A382" s="70" t="s">
        <v>358</v>
      </c>
      <c r="B382" s="80"/>
      <c r="C382" s="73" t="s">
        <v>189</v>
      </c>
      <c r="D382" s="73" t="s">
        <v>38</v>
      </c>
      <c r="E382" s="73" t="s">
        <v>421</v>
      </c>
      <c r="F382" s="73"/>
      <c r="G382" s="74">
        <f>SUM(G383)</f>
        <v>0</v>
      </c>
    </row>
    <row r="383" spans="1:7" ht="31.5" hidden="1">
      <c r="A383" s="70" t="s">
        <v>359</v>
      </c>
      <c r="B383" s="80"/>
      <c r="C383" s="73" t="s">
        <v>189</v>
      </c>
      <c r="D383" s="73" t="s">
        <v>38</v>
      </c>
      <c r="E383" s="73" t="s">
        <v>421</v>
      </c>
      <c r="F383" s="73" t="s">
        <v>313</v>
      </c>
      <c r="G383" s="74"/>
    </row>
    <row r="384" spans="1:7" ht="31.5">
      <c r="A384" s="55" t="s">
        <v>324</v>
      </c>
      <c r="B384" s="126"/>
      <c r="C384" s="73" t="s">
        <v>189</v>
      </c>
      <c r="D384" s="73" t="s">
        <v>38</v>
      </c>
      <c r="E384" s="89" t="s">
        <v>325</v>
      </c>
      <c r="F384" s="89"/>
      <c r="G384" s="74">
        <f>SUM(G385)</f>
        <v>10122</v>
      </c>
    </row>
    <row r="385" spans="1:7" ht="31.5">
      <c r="A385" s="55" t="s">
        <v>368</v>
      </c>
      <c r="B385" s="126"/>
      <c r="C385" s="73" t="s">
        <v>189</v>
      </c>
      <c r="D385" s="73" t="s">
        <v>38</v>
      </c>
      <c r="E385" s="89" t="s">
        <v>337</v>
      </c>
      <c r="F385" s="89"/>
      <c r="G385" s="74">
        <f>SUM(G386)+G388</f>
        <v>10122</v>
      </c>
    </row>
    <row r="386" spans="1:7" ht="31.5">
      <c r="A386" s="70" t="s">
        <v>548</v>
      </c>
      <c r="B386" s="80"/>
      <c r="C386" s="73" t="s">
        <v>189</v>
      </c>
      <c r="D386" s="73" t="s">
        <v>38</v>
      </c>
      <c r="E386" s="89" t="s">
        <v>422</v>
      </c>
      <c r="F386" s="89"/>
      <c r="G386" s="74">
        <f>SUM(G387)</f>
        <v>9322</v>
      </c>
    </row>
    <row r="387" spans="1:7" ht="31.5">
      <c r="A387" s="70" t="s">
        <v>359</v>
      </c>
      <c r="B387" s="80"/>
      <c r="C387" s="73" t="s">
        <v>189</v>
      </c>
      <c r="D387" s="73" t="s">
        <v>38</v>
      </c>
      <c r="E387" s="89" t="s">
        <v>422</v>
      </c>
      <c r="F387" s="89">
        <v>400</v>
      </c>
      <c r="G387" s="74">
        <f>1000+8322</f>
        <v>9322</v>
      </c>
    </row>
    <row r="388" spans="1:7" ht="31.5">
      <c r="A388" s="70" t="s">
        <v>750</v>
      </c>
      <c r="B388" s="80"/>
      <c r="C388" s="73" t="s">
        <v>189</v>
      </c>
      <c r="D388" s="73" t="s">
        <v>38</v>
      </c>
      <c r="E388" s="89" t="s">
        <v>751</v>
      </c>
      <c r="F388" s="89"/>
      <c r="G388" s="74">
        <f>SUM(G389)</f>
        <v>800</v>
      </c>
    </row>
    <row r="389" spans="1:7" ht="31.5">
      <c r="A389" s="70" t="s">
        <v>359</v>
      </c>
      <c r="B389" s="80"/>
      <c r="C389" s="73" t="s">
        <v>189</v>
      </c>
      <c r="D389" s="73" t="s">
        <v>38</v>
      </c>
      <c r="E389" s="89" t="s">
        <v>751</v>
      </c>
      <c r="F389" s="89">
        <v>400</v>
      </c>
      <c r="G389" s="74">
        <v>800</v>
      </c>
    </row>
    <row r="390" spans="1:7" ht="15.75">
      <c r="A390" s="70" t="s">
        <v>213</v>
      </c>
      <c r="B390" s="80"/>
      <c r="C390" s="73" t="s">
        <v>189</v>
      </c>
      <c r="D390" s="73" t="s">
        <v>188</v>
      </c>
      <c r="E390" s="89"/>
      <c r="F390" s="89"/>
      <c r="G390" s="74">
        <f>G391</f>
        <v>11385.2</v>
      </c>
    </row>
    <row r="391" spans="1:7" ht="31.5">
      <c r="A391" s="70" t="s">
        <v>352</v>
      </c>
      <c r="B391" s="80"/>
      <c r="C391" s="73" t="s">
        <v>189</v>
      </c>
      <c r="D391" s="73" t="s">
        <v>188</v>
      </c>
      <c r="E391" s="73" t="s">
        <v>398</v>
      </c>
      <c r="F391" s="89"/>
      <c r="G391" s="74">
        <f>G392</f>
        <v>11385.2</v>
      </c>
    </row>
    <row r="392" spans="1:7" ht="31.5">
      <c r="A392" s="70" t="s">
        <v>548</v>
      </c>
      <c r="B392" s="80"/>
      <c r="C392" s="73" t="s">
        <v>189</v>
      </c>
      <c r="D392" s="73" t="s">
        <v>188</v>
      </c>
      <c r="E392" s="73" t="s">
        <v>421</v>
      </c>
      <c r="F392" s="89"/>
      <c r="G392" s="74">
        <f>G393</f>
        <v>11385.2</v>
      </c>
    </row>
    <row r="393" spans="1:7" ht="31.5">
      <c r="A393" s="70" t="s">
        <v>359</v>
      </c>
      <c r="B393" s="80"/>
      <c r="C393" s="73" t="s">
        <v>189</v>
      </c>
      <c r="D393" s="73" t="s">
        <v>188</v>
      </c>
      <c r="E393" s="73" t="s">
        <v>421</v>
      </c>
      <c r="F393" s="89">
        <v>400</v>
      </c>
      <c r="G393" s="74">
        <v>11385.2</v>
      </c>
    </row>
    <row r="394" spans="1:7" s="122" customFormat="1" ht="15.75">
      <c r="A394" s="119" t="s">
        <v>236</v>
      </c>
      <c r="B394" s="96" t="s">
        <v>237</v>
      </c>
      <c r="C394" s="96"/>
      <c r="D394" s="96"/>
      <c r="E394" s="96"/>
      <c r="F394" s="96"/>
      <c r="G394" s="121">
        <f>SUM(G395+G420+G425)</f>
        <v>40058.8</v>
      </c>
    </row>
    <row r="395" spans="1:7" ht="15.75">
      <c r="A395" s="51" t="s">
        <v>97</v>
      </c>
      <c r="B395" s="80"/>
      <c r="C395" s="53" t="s">
        <v>38</v>
      </c>
      <c r="D395" s="53"/>
      <c r="E395" s="53"/>
      <c r="F395" s="52"/>
      <c r="G395" s="90">
        <f>SUM(G396+G402+G406)</f>
        <v>31290</v>
      </c>
    </row>
    <row r="396" spans="1:7" ht="31.5">
      <c r="A396" s="51" t="s">
        <v>112</v>
      </c>
      <c r="B396" s="80"/>
      <c r="C396" s="53" t="s">
        <v>38</v>
      </c>
      <c r="D396" s="53" t="s">
        <v>82</v>
      </c>
      <c r="E396" s="52"/>
      <c r="F396" s="52"/>
      <c r="G396" s="90">
        <f>SUM(G397)</f>
        <v>23809</v>
      </c>
    </row>
    <row r="397" spans="1:7" ht="31.5">
      <c r="A397" s="55" t="s">
        <v>219</v>
      </c>
      <c r="B397" s="80"/>
      <c r="C397" s="53" t="s">
        <v>38</v>
      </c>
      <c r="D397" s="53" t="s">
        <v>82</v>
      </c>
      <c r="E397" s="52" t="s">
        <v>220</v>
      </c>
      <c r="F397" s="52"/>
      <c r="G397" s="90">
        <f>SUM(G398)</f>
        <v>23809</v>
      </c>
    </row>
    <row r="398" spans="1:7" ht="31.5">
      <c r="A398" s="51" t="s">
        <v>84</v>
      </c>
      <c r="B398" s="80"/>
      <c r="C398" s="53" t="s">
        <v>38</v>
      </c>
      <c r="D398" s="53" t="s">
        <v>82</v>
      </c>
      <c r="E398" s="53" t="s">
        <v>221</v>
      </c>
      <c r="F398" s="53"/>
      <c r="G398" s="90">
        <f>SUM(G399)</f>
        <v>23809</v>
      </c>
    </row>
    <row r="399" spans="1:7" ht="15.75">
      <c r="A399" s="51" t="s">
        <v>86</v>
      </c>
      <c r="B399" s="80"/>
      <c r="C399" s="53" t="s">
        <v>38</v>
      </c>
      <c r="D399" s="53" t="s">
        <v>82</v>
      </c>
      <c r="E399" s="53" t="s">
        <v>222</v>
      </c>
      <c r="F399" s="53"/>
      <c r="G399" s="90">
        <f>SUM(G400:G401)</f>
        <v>23809</v>
      </c>
    </row>
    <row r="400" spans="1:8" ht="47.25">
      <c r="A400" s="70" t="s">
        <v>55</v>
      </c>
      <c r="B400" s="80"/>
      <c r="C400" s="53" t="s">
        <v>38</v>
      </c>
      <c r="D400" s="53" t="s">
        <v>82</v>
      </c>
      <c r="E400" s="53" t="s">
        <v>222</v>
      </c>
      <c r="F400" s="53" t="s">
        <v>99</v>
      </c>
      <c r="G400" s="90">
        <v>23801.4</v>
      </c>
      <c r="H400" s="130"/>
    </row>
    <row r="401" spans="1:7" ht="31.5">
      <c r="A401" s="51" t="s">
        <v>56</v>
      </c>
      <c r="B401" s="80"/>
      <c r="C401" s="53" t="s">
        <v>38</v>
      </c>
      <c r="D401" s="53" t="s">
        <v>82</v>
      </c>
      <c r="E401" s="53" t="s">
        <v>222</v>
      </c>
      <c r="F401" s="53" t="s">
        <v>101</v>
      </c>
      <c r="G401" s="90">
        <v>7.6</v>
      </c>
    </row>
    <row r="402" spans="1:7" ht="15.75">
      <c r="A402" s="51" t="s">
        <v>157</v>
      </c>
      <c r="B402" s="80"/>
      <c r="C402" s="53" t="s">
        <v>38</v>
      </c>
      <c r="D402" s="53" t="s">
        <v>189</v>
      </c>
      <c r="E402" s="53"/>
      <c r="F402" s="52"/>
      <c r="G402" s="90">
        <f>SUM(G403)</f>
        <v>19.600000000000023</v>
      </c>
    </row>
    <row r="403" spans="1:7" ht="15.75">
      <c r="A403" s="55" t="s">
        <v>223</v>
      </c>
      <c r="B403" s="80"/>
      <c r="C403" s="53" t="s">
        <v>38</v>
      </c>
      <c r="D403" s="53" t="s">
        <v>189</v>
      </c>
      <c r="E403" s="53" t="s">
        <v>217</v>
      </c>
      <c r="F403" s="52"/>
      <c r="G403" s="90">
        <f>SUM(G404)</f>
        <v>19.600000000000023</v>
      </c>
    </row>
    <row r="404" spans="1:7" ht="15.75">
      <c r="A404" s="51" t="s">
        <v>158</v>
      </c>
      <c r="B404" s="80"/>
      <c r="C404" s="53" t="s">
        <v>38</v>
      </c>
      <c r="D404" s="53" t="s">
        <v>189</v>
      </c>
      <c r="E404" s="53" t="s">
        <v>224</v>
      </c>
      <c r="F404" s="52"/>
      <c r="G404" s="90">
        <f>SUM(G405)</f>
        <v>19.600000000000023</v>
      </c>
    </row>
    <row r="405" spans="1:7" ht="15.75">
      <c r="A405" s="51" t="s">
        <v>26</v>
      </c>
      <c r="B405" s="80"/>
      <c r="C405" s="53" t="s">
        <v>38</v>
      </c>
      <c r="D405" s="53" t="s">
        <v>189</v>
      </c>
      <c r="E405" s="53" t="s">
        <v>224</v>
      </c>
      <c r="F405" s="52">
        <v>800</v>
      </c>
      <c r="G405" s="90">
        <f>1000-500-480.4</f>
        <v>19.600000000000023</v>
      </c>
    </row>
    <row r="406" spans="1:7" ht="15.75">
      <c r="A406" s="51" t="s">
        <v>103</v>
      </c>
      <c r="B406" s="80"/>
      <c r="C406" s="53" t="s">
        <v>38</v>
      </c>
      <c r="D406" s="53" t="s">
        <v>104</v>
      </c>
      <c r="E406" s="53"/>
      <c r="F406" s="52"/>
      <c r="G406" s="90">
        <f>SUM(G407)</f>
        <v>7461.4</v>
      </c>
    </row>
    <row r="407" spans="1:7" ht="31.5">
      <c r="A407" s="55" t="s">
        <v>219</v>
      </c>
      <c r="B407" s="80"/>
      <c r="C407" s="53" t="s">
        <v>38</v>
      </c>
      <c r="D407" s="53" t="s">
        <v>104</v>
      </c>
      <c r="E407" s="52" t="s">
        <v>220</v>
      </c>
      <c r="F407" s="52"/>
      <c r="G407" s="90">
        <f>SUM(G408)</f>
        <v>7461.4</v>
      </c>
    </row>
    <row r="408" spans="1:7" ht="31.5">
      <c r="A408" s="51" t="s">
        <v>84</v>
      </c>
      <c r="B408" s="80"/>
      <c r="C408" s="53" t="s">
        <v>38</v>
      </c>
      <c r="D408" s="53" t="s">
        <v>82</v>
      </c>
      <c r="E408" s="53" t="s">
        <v>221</v>
      </c>
      <c r="F408" s="52"/>
      <c r="G408" s="90">
        <f>SUM(G409+G412+G414)</f>
        <v>7461.4</v>
      </c>
    </row>
    <row r="409" spans="1:7" ht="15.75">
      <c r="A409" s="51" t="s">
        <v>105</v>
      </c>
      <c r="B409" s="80"/>
      <c r="C409" s="53" t="s">
        <v>38</v>
      </c>
      <c r="D409" s="53" t="s">
        <v>104</v>
      </c>
      <c r="E409" s="52" t="s">
        <v>225</v>
      </c>
      <c r="F409" s="52"/>
      <c r="G409" s="90">
        <f>SUM(G410:G411)</f>
        <v>213.3</v>
      </c>
    </row>
    <row r="410" spans="1:7" ht="31.5">
      <c r="A410" s="51" t="s">
        <v>56</v>
      </c>
      <c r="B410" s="80"/>
      <c r="C410" s="53" t="s">
        <v>38</v>
      </c>
      <c r="D410" s="53" t="s">
        <v>104</v>
      </c>
      <c r="E410" s="52" t="s">
        <v>225</v>
      </c>
      <c r="F410" s="52">
        <v>200</v>
      </c>
      <c r="G410" s="90">
        <v>211.3</v>
      </c>
    </row>
    <row r="411" spans="1:7" ht="15.75">
      <c r="A411" s="51" t="s">
        <v>26</v>
      </c>
      <c r="B411" s="80"/>
      <c r="C411" s="53" t="s">
        <v>38</v>
      </c>
      <c r="D411" s="53" t="s">
        <v>104</v>
      </c>
      <c r="E411" s="52" t="s">
        <v>225</v>
      </c>
      <c r="F411" s="52">
        <v>800</v>
      </c>
      <c r="G411" s="90">
        <v>2</v>
      </c>
    </row>
    <row r="412" spans="1:7" ht="31.5">
      <c r="A412" s="51" t="s">
        <v>107</v>
      </c>
      <c r="B412" s="80"/>
      <c r="C412" s="53" t="s">
        <v>38</v>
      </c>
      <c r="D412" s="53" t="s">
        <v>104</v>
      </c>
      <c r="E412" s="52" t="s">
        <v>226</v>
      </c>
      <c r="F412" s="52"/>
      <c r="G412" s="90">
        <f>SUM(G413)</f>
        <v>300.6</v>
      </c>
    </row>
    <row r="413" spans="1:7" ht="31.5">
      <c r="A413" s="51" t="s">
        <v>56</v>
      </c>
      <c r="B413" s="80"/>
      <c r="C413" s="53" t="s">
        <v>38</v>
      </c>
      <c r="D413" s="53" t="s">
        <v>104</v>
      </c>
      <c r="E413" s="52" t="s">
        <v>226</v>
      </c>
      <c r="F413" s="52">
        <v>200</v>
      </c>
      <c r="G413" s="90">
        <v>300.6</v>
      </c>
    </row>
    <row r="414" spans="1:7" ht="31.5">
      <c r="A414" s="51" t="s">
        <v>108</v>
      </c>
      <c r="B414" s="80"/>
      <c r="C414" s="53" t="s">
        <v>38</v>
      </c>
      <c r="D414" s="53" t="s">
        <v>104</v>
      </c>
      <c r="E414" s="52" t="s">
        <v>227</v>
      </c>
      <c r="F414" s="52"/>
      <c r="G414" s="90">
        <f>SUM(G415:G416)</f>
        <v>6947.5</v>
      </c>
    </row>
    <row r="415" spans="1:7" ht="31.5">
      <c r="A415" s="51" t="s">
        <v>56</v>
      </c>
      <c r="B415" s="80"/>
      <c r="C415" s="53" t="s">
        <v>38</v>
      </c>
      <c r="D415" s="53" t="s">
        <v>104</v>
      </c>
      <c r="E415" s="52" t="s">
        <v>227</v>
      </c>
      <c r="F415" s="52">
        <v>200</v>
      </c>
      <c r="G415" s="90">
        <v>6947.5</v>
      </c>
    </row>
    <row r="416" spans="1:7" ht="15.75" hidden="1">
      <c r="A416" s="51" t="s">
        <v>26</v>
      </c>
      <c r="B416" s="80"/>
      <c r="C416" s="53" t="s">
        <v>38</v>
      </c>
      <c r="D416" s="53" t="s">
        <v>104</v>
      </c>
      <c r="E416" s="52" t="s">
        <v>227</v>
      </c>
      <c r="F416" s="52">
        <v>800</v>
      </c>
      <c r="G416" s="90"/>
    </row>
    <row r="417" spans="1:7" ht="15.75" hidden="1">
      <c r="A417" s="55" t="s">
        <v>223</v>
      </c>
      <c r="B417" s="80"/>
      <c r="C417" s="53" t="s">
        <v>38</v>
      </c>
      <c r="D417" s="53" t="s">
        <v>104</v>
      </c>
      <c r="E417" s="53" t="s">
        <v>217</v>
      </c>
      <c r="F417" s="52"/>
      <c r="G417" s="90">
        <f>SUM(G418)</f>
        <v>0</v>
      </c>
    </row>
    <row r="418" spans="1:7" ht="31.5" hidden="1">
      <c r="A418" s="51" t="s">
        <v>228</v>
      </c>
      <c r="B418" s="80"/>
      <c r="C418" s="53" t="s">
        <v>38</v>
      </c>
      <c r="D418" s="53" t="s">
        <v>104</v>
      </c>
      <c r="E418" s="53" t="s">
        <v>229</v>
      </c>
      <c r="F418" s="52"/>
      <c r="G418" s="90">
        <f>SUM(G419)</f>
        <v>0</v>
      </c>
    </row>
    <row r="419" spans="1:7" ht="15.75" hidden="1">
      <c r="A419" s="51" t="s">
        <v>26</v>
      </c>
      <c r="B419" s="80"/>
      <c r="C419" s="53" t="s">
        <v>38</v>
      </c>
      <c r="D419" s="53" t="s">
        <v>104</v>
      </c>
      <c r="E419" s="53" t="s">
        <v>229</v>
      </c>
      <c r="F419" s="52">
        <v>800</v>
      </c>
      <c r="G419" s="52"/>
    </row>
    <row r="420" spans="1:7" ht="15.75">
      <c r="A420" s="51" t="s">
        <v>34</v>
      </c>
      <c r="B420" s="80"/>
      <c r="C420" s="53" t="s">
        <v>35</v>
      </c>
      <c r="D420" s="53"/>
      <c r="E420" s="52"/>
      <c r="F420" s="52"/>
      <c r="G420" s="52">
        <f>SUM(G421)</f>
        <v>33.59999999999991</v>
      </c>
    </row>
    <row r="421" spans="1:7" ht="15.75">
      <c r="A421" s="51" t="s">
        <v>81</v>
      </c>
      <c r="B421" s="80"/>
      <c r="C421" s="53" t="s">
        <v>35</v>
      </c>
      <c r="D421" s="53" t="s">
        <v>82</v>
      </c>
      <c r="E421" s="52"/>
      <c r="F421" s="52"/>
      <c r="G421" s="52">
        <f>SUM(G422)</f>
        <v>33.59999999999991</v>
      </c>
    </row>
    <row r="422" spans="1:7" ht="15.75">
      <c r="A422" s="55" t="s">
        <v>223</v>
      </c>
      <c r="B422" s="80"/>
      <c r="C422" s="53" t="s">
        <v>35</v>
      </c>
      <c r="D422" s="53" t="s">
        <v>82</v>
      </c>
      <c r="E422" s="53" t="s">
        <v>217</v>
      </c>
      <c r="F422" s="52"/>
      <c r="G422" s="52">
        <f>SUM(G423)</f>
        <v>33.59999999999991</v>
      </c>
    </row>
    <row r="423" spans="1:7" ht="47.25">
      <c r="A423" s="51" t="s">
        <v>644</v>
      </c>
      <c r="B423" s="80"/>
      <c r="C423" s="53" t="s">
        <v>35</v>
      </c>
      <c r="D423" s="53" t="s">
        <v>82</v>
      </c>
      <c r="E423" s="52" t="s">
        <v>230</v>
      </c>
      <c r="F423" s="52"/>
      <c r="G423" s="52">
        <f>SUM(G424)</f>
        <v>33.59999999999991</v>
      </c>
    </row>
    <row r="424" spans="1:7" ht="15.75">
      <c r="A424" s="51" t="s">
        <v>26</v>
      </c>
      <c r="B424" s="80"/>
      <c r="C424" s="53" t="s">
        <v>35</v>
      </c>
      <c r="D424" s="53" t="s">
        <v>82</v>
      </c>
      <c r="E424" s="52" t="s">
        <v>230</v>
      </c>
      <c r="F424" s="52">
        <v>800</v>
      </c>
      <c r="G424" s="52">
        <f>2233.7-2200.1</f>
        <v>33.59999999999991</v>
      </c>
    </row>
    <row r="425" spans="1:7" ht="15.75">
      <c r="A425" s="51" t="s">
        <v>231</v>
      </c>
      <c r="B425" s="80"/>
      <c r="C425" s="53" t="s">
        <v>104</v>
      </c>
      <c r="D425" s="53"/>
      <c r="E425" s="52"/>
      <c r="F425" s="52"/>
      <c r="G425" s="52">
        <f>SUM(G426)</f>
        <v>8735.2</v>
      </c>
    </row>
    <row r="426" spans="1:7" ht="15.75">
      <c r="A426" s="51" t="s">
        <v>232</v>
      </c>
      <c r="B426" s="80"/>
      <c r="C426" s="53" t="s">
        <v>104</v>
      </c>
      <c r="D426" s="53" t="s">
        <v>38</v>
      </c>
      <c r="E426" s="52"/>
      <c r="F426" s="52"/>
      <c r="G426" s="52">
        <f>SUM(G427)</f>
        <v>8735.2</v>
      </c>
    </row>
    <row r="427" spans="1:7" ht="31.5">
      <c r="A427" s="55" t="s">
        <v>219</v>
      </c>
      <c r="B427" s="80"/>
      <c r="C427" s="53" t="s">
        <v>104</v>
      </c>
      <c r="D427" s="53" t="s">
        <v>38</v>
      </c>
      <c r="E427" s="52" t="s">
        <v>220</v>
      </c>
      <c r="F427" s="52"/>
      <c r="G427" s="52">
        <f>SUM(G428)</f>
        <v>8735.2</v>
      </c>
    </row>
    <row r="428" spans="1:7" ht="15.75">
      <c r="A428" s="51" t="s">
        <v>233</v>
      </c>
      <c r="B428" s="80"/>
      <c r="C428" s="53" t="s">
        <v>104</v>
      </c>
      <c r="D428" s="53" t="s">
        <v>38</v>
      </c>
      <c r="E428" s="52" t="s">
        <v>234</v>
      </c>
      <c r="F428" s="52"/>
      <c r="G428" s="52">
        <f>SUM(G429)</f>
        <v>8735.2</v>
      </c>
    </row>
    <row r="429" spans="1:7" ht="15.75">
      <c r="A429" s="51" t="s">
        <v>235</v>
      </c>
      <c r="B429" s="80"/>
      <c r="C429" s="53" t="s">
        <v>104</v>
      </c>
      <c r="D429" s="53" t="s">
        <v>38</v>
      </c>
      <c r="E429" s="52" t="s">
        <v>234</v>
      </c>
      <c r="F429" s="52">
        <v>700</v>
      </c>
      <c r="G429" s="52">
        <v>8735.2</v>
      </c>
    </row>
    <row r="430" spans="1:7" s="122" customFormat="1" ht="31.5">
      <c r="A430" s="119" t="s">
        <v>14</v>
      </c>
      <c r="B430" s="65" t="s">
        <v>15</v>
      </c>
      <c r="C430" s="124"/>
      <c r="D430" s="124"/>
      <c r="E430" s="124"/>
      <c r="F430" s="124"/>
      <c r="G430" s="131">
        <f>G431+G450+G443</f>
        <v>1010685.7000000001</v>
      </c>
    </row>
    <row r="431" spans="1:7" ht="15.75" hidden="1">
      <c r="A431" s="51" t="s">
        <v>16</v>
      </c>
      <c r="B431" s="53"/>
      <c r="C431" s="53" t="s">
        <v>17</v>
      </c>
      <c r="D431" s="52"/>
      <c r="E431" s="52"/>
      <c r="F431" s="52"/>
      <c r="G431" s="54">
        <f>G432+G438</f>
        <v>0</v>
      </c>
    </row>
    <row r="432" spans="1:7" ht="15.75" hidden="1">
      <c r="A432" s="51" t="s">
        <v>18</v>
      </c>
      <c r="B432" s="53"/>
      <c r="C432" s="53" t="s">
        <v>17</v>
      </c>
      <c r="D432" s="53" t="s">
        <v>19</v>
      </c>
      <c r="E432" s="52"/>
      <c r="F432" s="52"/>
      <c r="G432" s="54">
        <f>G433</f>
        <v>0</v>
      </c>
    </row>
    <row r="433" spans="1:7" ht="31.5" hidden="1">
      <c r="A433" s="51" t="s">
        <v>88</v>
      </c>
      <c r="B433" s="53"/>
      <c r="C433" s="53" t="s">
        <v>17</v>
      </c>
      <c r="D433" s="53" t="s">
        <v>19</v>
      </c>
      <c r="E433" s="52" t="s">
        <v>20</v>
      </c>
      <c r="F433" s="52"/>
      <c r="G433" s="54">
        <f>G434</f>
        <v>0</v>
      </c>
    </row>
    <row r="434" spans="1:7" ht="31.5" hidden="1">
      <c r="A434" s="51" t="s">
        <v>89</v>
      </c>
      <c r="B434" s="53"/>
      <c r="C434" s="53" t="s">
        <v>17</v>
      </c>
      <c r="D434" s="53" t="s">
        <v>19</v>
      </c>
      <c r="E434" s="52" t="s">
        <v>21</v>
      </c>
      <c r="F434" s="52"/>
      <c r="G434" s="54">
        <f>G435</f>
        <v>0</v>
      </c>
    </row>
    <row r="435" spans="1:7" ht="47.25" hidden="1">
      <c r="A435" s="51" t="s">
        <v>22</v>
      </c>
      <c r="B435" s="53"/>
      <c r="C435" s="53" t="s">
        <v>17</v>
      </c>
      <c r="D435" s="53" t="s">
        <v>19</v>
      </c>
      <c r="E435" s="52" t="s">
        <v>23</v>
      </c>
      <c r="F435" s="52"/>
      <c r="G435" s="54">
        <f>SUM(G436)</f>
        <v>0</v>
      </c>
    </row>
    <row r="436" spans="1:7" ht="15.75" hidden="1">
      <c r="A436" s="51" t="s">
        <v>24</v>
      </c>
      <c r="B436" s="53"/>
      <c r="C436" s="53" t="s">
        <v>17</v>
      </c>
      <c r="D436" s="53" t="s">
        <v>19</v>
      </c>
      <c r="E436" s="52" t="s">
        <v>25</v>
      </c>
      <c r="F436" s="52"/>
      <c r="G436" s="54">
        <f>G437</f>
        <v>0</v>
      </c>
    </row>
    <row r="437" spans="1:7" ht="14.25" customHeight="1" hidden="1">
      <c r="A437" s="51" t="s">
        <v>26</v>
      </c>
      <c r="B437" s="53"/>
      <c r="C437" s="53" t="s">
        <v>17</v>
      </c>
      <c r="D437" s="53" t="s">
        <v>19</v>
      </c>
      <c r="E437" s="52" t="s">
        <v>25</v>
      </c>
      <c r="F437" s="52">
        <v>800</v>
      </c>
      <c r="G437" s="54"/>
    </row>
    <row r="438" spans="1:7" ht="15.75" hidden="1">
      <c r="A438" s="51" t="s">
        <v>27</v>
      </c>
      <c r="B438" s="53"/>
      <c r="C438" s="53" t="s">
        <v>17</v>
      </c>
      <c r="D438" s="53" t="s">
        <v>28</v>
      </c>
      <c r="E438" s="52"/>
      <c r="F438" s="52"/>
      <c r="G438" s="54">
        <f>G439</f>
        <v>0</v>
      </c>
    </row>
    <row r="439" spans="1:7" ht="63" hidden="1">
      <c r="A439" s="51" t="s">
        <v>90</v>
      </c>
      <c r="B439" s="53"/>
      <c r="C439" s="53" t="s">
        <v>17</v>
      </c>
      <c r="D439" s="53" t="s">
        <v>28</v>
      </c>
      <c r="E439" s="52" t="s">
        <v>29</v>
      </c>
      <c r="F439" s="52"/>
      <c r="G439" s="54">
        <f>G440</f>
        <v>0</v>
      </c>
    </row>
    <row r="440" spans="1:7" ht="47.25" hidden="1">
      <c r="A440" s="51" t="s">
        <v>30</v>
      </c>
      <c r="B440" s="53"/>
      <c r="C440" s="53" t="s">
        <v>17</v>
      </c>
      <c r="D440" s="53" t="s">
        <v>28</v>
      </c>
      <c r="E440" s="52" t="s">
        <v>31</v>
      </c>
      <c r="F440" s="52"/>
      <c r="G440" s="54">
        <f>SUM(G441)</f>
        <v>0</v>
      </c>
    </row>
    <row r="441" spans="1:7" ht="31.5" hidden="1">
      <c r="A441" s="51" t="s">
        <v>32</v>
      </c>
      <c r="B441" s="53"/>
      <c r="C441" s="53" t="s">
        <v>17</v>
      </c>
      <c r="D441" s="53" t="s">
        <v>28</v>
      </c>
      <c r="E441" s="52" t="s">
        <v>33</v>
      </c>
      <c r="F441" s="52"/>
      <c r="G441" s="54">
        <f>G442</f>
        <v>0</v>
      </c>
    </row>
    <row r="442" spans="1:7" ht="31.5" hidden="1">
      <c r="A442" s="51" t="s">
        <v>76</v>
      </c>
      <c r="B442" s="53"/>
      <c r="C442" s="53" t="s">
        <v>17</v>
      </c>
      <c r="D442" s="53" t="s">
        <v>28</v>
      </c>
      <c r="E442" s="52" t="s">
        <v>33</v>
      </c>
      <c r="F442" s="52">
        <v>600</v>
      </c>
      <c r="G442" s="54"/>
    </row>
    <row r="443" spans="1:7" ht="15.75">
      <c r="A443" s="166" t="s">
        <v>124</v>
      </c>
      <c r="B443" s="80"/>
      <c r="C443" s="80" t="s">
        <v>125</v>
      </c>
      <c r="D443" s="80"/>
      <c r="E443" s="80"/>
      <c r="F443" s="80"/>
      <c r="G443" s="64">
        <f aca="true" t="shared" si="0" ref="G443:G448">SUM(G444)</f>
        <v>77.9</v>
      </c>
    </row>
    <row r="444" spans="1:7" ht="15.75">
      <c r="A444" s="166" t="s">
        <v>488</v>
      </c>
      <c r="B444" s="80"/>
      <c r="C444" s="80" t="s">
        <v>125</v>
      </c>
      <c r="D444" s="80" t="s">
        <v>125</v>
      </c>
      <c r="E444" s="52"/>
      <c r="F444" s="52"/>
      <c r="G444" s="64">
        <f t="shared" si="0"/>
        <v>77.9</v>
      </c>
    </row>
    <row r="445" spans="1:7" ht="31.5">
      <c r="A445" s="166" t="s">
        <v>444</v>
      </c>
      <c r="B445" s="167"/>
      <c r="C445" s="167" t="s">
        <v>125</v>
      </c>
      <c r="D445" s="167" t="s">
        <v>125</v>
      </c>
      <c r="E445" s="52" t="s">
        <v>445</v>
      </c>
      <c r="F445" s="52"/>
      <c r="G445" s="64">
        <f t="shared" si="0"/>
        <v>77.9</v>
      </c>
    </row>
    <row r="446" spans="1:7" ht="31.5">
      <c r="A446" s="166" t="s">
        <v>501</v>
      </c>
      <c r="B446" s="80"/>
      <c r="C446" s="80" t="s">
        <v>125</v>
      </c>
      <c r="D446" s="80" t="s">
        <v>125</v>
      </c>
      <c r="E446" s="80" t="s">
        <v>502</v>
      </c>
      <c r="F446" s="80"/>
      <c r="G446" s="64">
        <f t="shared" si="0"/>
        <v>77.9</v>
      </c>
    </row>
    <row r="447" spans="1:7" ht="15.75">
      <c r="A447" s="166" t="s">
        <v>39</v>
      </c>
      <c r="B447" s="80"/>
      <c r="C447" s="80" t="s">
        <v>125</v>
      </c>
      <c r="D447" s="80" t="s">
        <v>125</v>
      </c>
      <c r="E447" s="80" t="s">
        <v>503</v>
      </c>
      <c r="F447" s="80"/>
      <c r="G447" s="64">
        <f t="shared" si="0"/>
        <v>77.9</v>
      </c>
    </row>
    <row r="448" spans="1:7" ht="31.5">
      <c r="A448" s="166" t="s">
        <v>504</v>
      </c>
      <c r="B448" s="52"/>
      <c r="C448" s="80" t="s">
        <v>125</v>
      </c>
      <c r="D448" s="80" t="s">
        <v>125</v>
      </c>
      <c r="E448" s="80" t="s">
        <v>505</v>
      </c>
      <c r="F448" s="80"/>
      <c r="G448" s="64">
        <f t="shared" si="0"/>
        <v>77.9</v>
      </c>
    </row>
    <row r="449" spans="1:7" ht="31.5">
      <c r="A449" s="166" t="s">
        <v>56</v>
      </c>
      <c r="B449" s="52"/>
      <c r="C449" s="80" t="s">
        <v>125</v>
      </c>
      <c r="D449" s="80" t="s">
        <v>125</v>
      </c>
      <c r="E449" s="80" t="s">
        <v>505</v>
      </c>
      <c r="F449" s="80" t="s">
        <v>101</v>
      </c>
      <c r="G449" s="64">
        <v>77.9</v>
      </c>
    </row>
    <row r="450" spans="1:7" ht="15.75">
      <c r="A450" s="51" t="s">
        <v>34</v>
      </c>
      <c r="B450" s="53"/>
      <c r="C450" s="53" t="s">
        <v>35</v>
      </c>
      <c r="D450" s="53" t="s">
        <v>36</v>
      </c>
      <c r="E450" s="52"/>
      <c r="F450" s="52"/>
      <c r="G450" s="54">
        <f>G451+G458+G473+G594+G564</f>
        <v>1010607.8</v>
      </c>
    </row>
    <row r="451" spans="1:7" ht="15.75">
      <c r="A451" s="51" t="s">
        <v>37</v>
      </c>
      <c r="B451" s="53"/>
      <c r="C451" s="53" t="s">
        <v>35</v>
      </c>
      <c r="D451" s="53" t="s">
        <v>38</v>
      </c>
      <c r="E451" s="52"/>
      <c r="F451" s="52"/>
      <c r="G451" s="54">
        <f>G452</f>
        <v>8760.7</v>
      </c>
    </row>
    <row r="452" spans="1:7" ht="31.5">
      <c r="A452" s="51" t="s">
        <v>88</v>
      </c>
      <c r="B452" s="53"/>
      <c r="C452" s="53" t="s">
        <v>35</v>
      </c>
      <c r="D452" s="53" t="s">
        <v>38</v>
      </c>
      <c r="E452" s="52" t="s">
        <v>20</v>
      </c>
      <c r="F452" s="52"/>
      <c r="G452" s="54">
        <f>G453</f>
        <v>8760.7</v>
      </c>
    </row>
    <row r="453" spans="1:7" ht="31.5">
      <c r="A453" s="51" t="s">
        <v>89</v>
      </c>
      <c r="B453" s="53"/>
      <c r="C453" s="53" t="s">
        <v>35</v>
      </c>
      <c r="D453" s="53" t="s">
        <v>38</v>
      </c>
      <c r="E453" s="52" t="s">
        <v>21</v>
      </c>
      <c r="F453" s="52"/>
      <c r="G453" s="54">
        <f>G454</f>
        <v>8760.7</v>
      </c>
    </row>
    <row r="454" spans="1:7" ht="15.75">
      <c r="A454" s="51" t="s">
        <v>39</v>
      </c>
      <c r="B454" s="53"/>
      <c r="C454" s="53" t="s">
        <v>35</v>
      </c>
      <c r="D454" s="53" t="s">
        <v>38</v>
      </c>
      <c r="E454" s="52" t="s">
        <v>40</v>
      </c>
      <c r="F454" s="52"/>
      <c r="G454" s="54">
        <f>SUM(G455)</f>
        <v>8760.7</v>
      </c>
    </row>
    <row r="455" spans="1:7" ht="15.75">
      <c r="A455" s="51" t="s">
        <v>42</v>
      </c>
      <c r="B455" s="53"/>
      <c r="C455" s="53" t="s">
        <v>35</v>
      </c>
      <c r="D455" s="53" t="s">
        <v>38</v>
      </c>
      <c r="E455" s="52" t="s">
        <v>43</v>
      </c>
      <c r="F455" s="52"/>
      <c r="G455" s="54">
        <f>G456</f>
        <v>8760.7</v>
      </c>
    </row>
    <row r="456" spans="1:7" ht="31.5">
      <c r="A456" s="51" t="s">
        <v>44</v>
      </c>
      <c r="B456" s="53"/>
      <c r="C456" s="53" t="s">
        <v>35</v>
      </c>
      <c r="D456" s="53" t="s">
        <v>38</v>
      </c>
      <c r="E456" s="52" t="s">
        <v>45</v>
      </c>
      <c r="F456" s="52"/>
      <c r="G456" s="54">
        <f>G457</f>
        <v>8760.7</v>
      </c>
    </row>
    <row r="457" spans="1:7" ht="15.75">
      <c r="A457" s="51" t="s">
        <v>46</v>
      </c>
      <c r="B457" s="53"/>
      <c r="C457" s="53" t="s">
        <v>35</v>
      </c>
      <c r="D457" s="53" t="s">
        <v>38</v>
      </c>
      <c r="E457" s="52" t="s">
        <v>45</v>
      </c>
      <c r="F457" s="52">
        <v>300</v>
      </c>
      <c r="G457" s="54">
        <v>8760.7</v>
      </c>
    </row>
    <row r="458" spans="1:7" ht="15.75">
      <c r="A458" s="51" t="s">
        <v>47</v>
      </c>
      <c r="B458" s="53"/>
      <c r="C458" s="53" t="s">
        <v>35</v>
      </c>
      <c r="D458" s="53" t="s">
        <v>48</v>
      </c>
      <c r="E458" s="52"/>
      <c r="F458" s="52"/>
      <c r="G458" s="54">
        <f>G466+G459</f>
        <v>57856.3</v>
      </c>
    </row>
    <row r="459" spans="1:7" ht="31.5">
      <c r="A459" s="51" t="s">
        <v>554</v>
      </c>
      <c r="B459" s="53"/>
      <c r="C459" s="53" t="s">
        <v>35</v>
      </c>
      <c r="D459" s="53" t="s">
        <v>48</v>
      </c>
      <c r="E459" s="53" t="s">
        <v>540</v>
      </c>
      <c r="F459" s="52"/>
      <c r="G459" s="54">
        <f>G460</f>
        <v>55656.3</v>
      </c>
    </row>
    <row r="460" spans="1:7" ht="31.5">
      <c r="A460" s="51" t="s">
        <v>555</v>
      </c>
      <c r="B460" s="53"/>
      <c r="C460" s="53" t="s">
        <v>35</v>
      </c>
      <c r="D460" s="53" t="s">
        <v>48</v>
      </c>
      <c r="E460" s="53" t="s">
        <v>556</v>
      </c>
      <c r="F460" s="52"/>
      <c r="G460" s="54">
        <f>G461</f>
        <v>55656.3</v>
      </c>
    </row>
    <row r="461" spans="1:7" ht="78.75">
      <c r="A461" s="51" t="s">
        <v>317</v>
      </c>
      <c r="B461" s="53"/>
      <c r="C461" s="53" t="s">
        <v>35</v>
      </c>
      <c r="D461" s="53" t="s">
        <v>48</v>
      </c>
      <c r="E461" s="53" t="s">
        <v>557</v>
      </c>
      <c r="F461" s="52"/>
      <c r="G461" s="54">
        <f>G462</f>
        <v>55656.3</v>
      </c>
    </row>
    <row r="462" spans="1:7" ht="31.5">
      <c r="A462" s="51" t="s">
        <v>558</v>
      </c>
      <c r="B462" s="53"/>
      <c r="C462" s="53" t="s">
        <v>35</v>
      </c>
      <c r="D462" s="53" t="s">
        <v>48</v>
      </c>
      <c r="E462" s="53" t="s">
        <v>559</v>
      </c>
      <c r="F462" s="52"/>
      <c r="G462" s="54">
        <f>G463+G464+G465</f>
        <v>55656.3</v>
      </c>
    </row>
    <row r="463" spans="1:7" ht="47.25">
      <c r="A463" s="51" t="s">
        <v>55</v>
      </c>
      <c r="B463" s="53"/>
      <c r="C463" s="53" t="s">
        <v>35</v>
      </c>
      <c r="D463" s="53" t="s">
        <v>48</v>
      </c>
      <c r="E463" s="53" t="s">
        <v>559</v>
      </c>
      <c r="F463" s="52">
        <v>100</v>
      </c>
      <c r="G463" s="54">
        <v>44851.4</v>
      </c>
    </row>
    <row r="464" spans="1:7" ht="31.5">
      <c r="A464" s="51" t="s">
        <v>56</v>
      </c>
      <c r="B464" s="53"/>
      <c r="C464" s="53" t="s">
        <v>35</v>
      </c>
      <c r="D464" s="53" t="s">
        <v>48</v>
      </c>
      <c r="E464" s="53" t="s">
        <v>559</v>
      </c>
      <c r="F464" s="52">
        <v>200</v>
      </c>
      <c r="G464" s="54">
        <v>10591.9</v>
      </c>
    </row>
    <row r="465" spans="1:7" ht="15.75">
      <c r="A465" s="51" t="s">
        <v>26</v>
      </c>
      <c r="B465" s="53"/>
      <c r="C465" s="53" t="s">
        <v>35</v>
      </c>
      <c r="D465" s="53" t="s">
        <v>48</v>
      </c>
      <c r="E465" s="53" t="s">
        <v>559</v>
      </c>
      <c r="F465" s="52">
        <v>800</v>
      </c>
      <c r="G465" s="54">
        <v>213</v>
      </c>
    </row>
    <row r="466" spans="1:7" ht="31.5">
      <c r="A466" s="51" t="s">
        <v>88</v>
      </c>
      <c r="B466" s="53"/>
      <c r="C466" s="53" t="s">
        <v>35</v>
      </c>
      <c r="D466" s="53" t="s">
        <v>48</v>
      </c>
      <c r="E466" s="52" t="s">
        <v>20</v>
      </c>
      <c r="F466" s="52"/>
      <c r="G466" s="54">
        <f>G467</f>
        <v>2200</v>
      </c>
    </row>
    <row r="467" spans="1:7" ht="31.5">
      <c r="A467" s="51" t="s">
        <v>89</v>
      </c>
      <c r="B467" s="53"/>
      <c r="C467" s="53" t="s">
        <v>35</v>
      </c>
      <c r="D467" s="53" t="s">
        <v>48</v>
      </c>
      <c r="E467" s="52" t="s">
        <v>21</v>
      </c>
      <c r="F467" s="52"/>
      <c r="G467" s="54">
        <f>G468</f>
        <v>2200</v>
      </c>
    </row>
    <row r="468" spans="1:7" ht="31.5">
      <c r="A468" s="51" t="s">
        <v>49</v>
      </c>
      <c r="B468" s="53"/>
      <c r="C468" s="53" t="s">
        <v>35</v>
      </c>
      <c r="D468" s="53" t="s">
        <v>48</v>
      </c>
      <c r="E468" s="52" t="s">
        <v>50</v>
      </c>
      <c r="F468" s="52"/>
      <c r="G468" s="54">
        <f>SUM(G469)</f>
        <v>2200</v>
      </c>
    </row>
    <row r="469" spans="1:7" ht="15.75">
      <c r="A469" s="51" t="s">
        <v>51</v>
      </c>
      <c r="B469" s="53"/>
      <c r="C469" s="53" t="s">
        <v>35</v>
      </c>
      <c r="D469" s="53" t="s">
        <v>48</v>
      </c>
      <c r="E469" s="52" t="s">
        <v>52</v>
      </c>
      <c r="F469" s="52"/>
      <c r="G469" s="54">
        <f>G470</f>
        <v>2200</v>
      </c>
    </row>
    <row r="470" spans="1:7" ht="31.5">
      <c r="A470" s="51" t="s">
        <v>53</v>
      </c>
      <c r="B470" s="53"/>
      <c r="C470" s="53" t="s">
        <v>35</v>
      </c>
      <c r="D470" s="53" t="s">
        <v>48</v>
      </c>
      <c r="E470" s="52" t="s">
        <v>54</v>
      </c>
      <c r="F470" s="52"/>
      <c r="G470" s="54">
        <f>G471+G472</f>
        <v>2200</v>
      </c>
    </row>
    <row r="471" spans="1:7" ht="47.25">
      <c r="A471" s="51" t="s">
        <v>55</v>
      </c>
      <c r="B471" s="53"/>
      <c r="C471" s="53" t="s">
        <v>35</v>
      </c>
      <c r="D471" s="53" t="s">
        <v>48</v>
      </c>
      <c r="E471" s="52" t="s">
        <v>54</v>
      </c>
      <c r="F471" s="52">
        <v>100</v>
      </c>
      <c r="G471" s="54">
        <v>1190</v>
      </c>
    </row>
    <row r="472" spans="1:7" ht="31.5">
      <c r="A472" s="51" t="s">
        <v>56</v>
      </c>
      <c r="B472" s="53"/>
      <c r="C472" s="53" t="s">
        <v>35</v>
      </c>
      <c r="D472" s="53" t="s">
        <v>48</v>
      </c>
      <c r="E472" s="52" t="s">
        <v>54</v>
      </c>
      <c r="F472" s="52">
        <v>200</v>
      </c>
      <c r="G472" s="54">
        <v>1010</v>
      </c>
    </row>
    <row r="473" spans="1:7" ht="15.75">
      <c r="A473" s="51" t="s">
        <v>57</v>
      </c>
      <c r="B473" s="53"/>
      <c r="C473" s="53" t="s">
        <v>35</v>
      </c>
      <c r="D473" s="53" t="s">
        <v>58</v>
      </c>
      <c r="E473" s="52"/>
      <c r="F473" s="52"/>
      <c r="G473" s="54">
        <f>G530+G555+G474+G559</f>
        <v>714776.4</v>
      </c>
    </row>
    <row r="474" spans="1:7" ht="31.5">
      <c r="A474" s="51" t="s">
        <v>554</v>
      </c>
      <c r="B474" s="53"/>
      <c r="C474" s="53" t="s">
        <v>35</v>
      </c>
      <c r="D474" s="53" t="s">
        <v>58</v>
      </c>
      <c r="E474" s="53" t="s">
        <v>540</v>
      </c>
      <c r="F474" s="52"/>
      <c r="G474" s="54">
        <f>G475+G480</f>
        <v>704361.4</v>
      </c>
    </row>
    <row r="475" spans="1:7" ht="15.75">
      <c r="A475" s="51" t="s">
        <v>560</v>
      </c>
      <c r="B475" s="53"/>
      <c r="C475" s="53" t="s">
        <v>35</v>
      </c>
      <c r="D475" s="53" t="s">
        <v>58</v>
      </c>
      <c r="E475" s="53" t="s">
        <v>541</v>
      </c>
      <c r="F475" s="52"/>
      <c r="G475" s="54">
        <f>G476</f>
        <v>91135.7</v>
      </c>
    </row>
    <row r="476" spans="1:7" ht="78.75">
      <c r="A476" s="51" t="s">
        <v>317</v>
      </c>
      <c r="B476" s="53"/>
      <c r="C476" s="53" t="s">
        <v>35</v>
      </c>
      <c r="D476" s="53" t="s">
        <v>58</v>
      </c>
      <c r="E476" s="53" t="s">
        <v>542</v>
      </c>
      <c r="F476" s="52"/>
      <c r="G476" s="54">
        <f>G477</f>
        <v>91135.7</v>
      </c>
    </row>
    <row r="477" spans="1:7" ht="110.25">
      <c r="A477" s="51" t="s">
        <v>561</v>
      </c>
      <c r="B477" s="53"/>
      <c r="C477" s="53" t="s">
        <v>35</v>
      </c>
      <c r="D477" s="53" t="s">
        <v>58</v>
      </c>
      <c r="E477" s="53" t="s">
        <v>562</v>
      </c>
      <c r="F477" s="52"/>
      <c r="G477" s="54">
        <f>G478+G479</f>
        <v>91135.7</v>
      </c>
    </row>
    <row r="478" spans="1:7" ht="31.5">
      <c r="A478" s="51" t="s">
        <v>56</v>
      </c>
      <c r="B478" s="53"/>
      <c r="C478" s="53" t="s">
        <v>35</v>
      </c>
      <c r="D478" s="53" t="s">
        <v>58</v>
      </c>
      <c r="E478" s="53" t="s">
        <v>562</v>
      </c>
      <c r="F478" s="52">
        <v>200</v>
      </c>
      <c r="G478" s="54">
        <v>1241.9</v>
      </c>
    </row>
    <row r="479" spans="1:7" ht="15.75">
      <c r="A479" s="51" t="s">
        <v>46</v>
      </c>
      <c r="B479" s="53"/>
      <c r="C479" s="53" t="s">
        <v>35</v>
      </c>
      <c r="D479" s="53" t="s">
        <v>58</v>
      </c>
      <c r="E479" s="53" t="s">
        <v>562</v>
      </c>
      <c r="F479" s="52">
        <v>300</v>
      </c>
      <c r="G479" s="54">
        <v>89893.8</v>
      </c>
    </row>
    <row r="480" spans="1:7" ht="31.5">
      <c r="A480" s="51" t="s">
        <v>563</v>
      </c>
      <c r="B480" s="53"/>
      <c r="C480" s="53" t="s">
        <v>35</v>
      </c>
      <c r="D480" s="53" t="s">
        <v>58</v>
      </c>
      <c r="E480" s="53" t="s">
        <v>564</v>
      </c>
      <c r="F480" s="52"/>
      <c r="G480" s="54">
        <f>G481</f>
        <v>613225.7000000001</v>
      </c>
    </row>
    <row r="481" spans="1:7" ht="78.75">
      <c r="A481" s="51" t="s">
        <v>317</v>
      </c>
      <c r="B481" s="53"/>
      <c r="C481" s="53" t="s">
        <v>35</v>
      </c>
      <c r="D481" s="53" t="s">
        <v>58</v>
      </c>
      <c r="E481" s="53" t="s">
        <v>565</v>
      </c>
      <c r="F481" s="52"/>
      <c r="G481" s="54">
        <f>G482+G485+G488+G491+G494+G497+G500+G503+G506+G509+G512+G515+G518+G521+G524+G527</f>
        <v>613225.7000000001</v>
      </c>
    </row>
    <row r="482" spans="1:7" ht="47.25">
      <c r="A482" s="51" t="s">
        <v>566</v>
      </c>
      <c r="B482" s="53"/>
      <c r="C482" s="53" t="s">
        <v>35</v>
      </c>
      <c r="D482" s="53" t="s">
        <v>58</v>
      </c>
      <c r="E482" s="53" t="s">
        <v>567</v>
      </c>
      <c r="F482" s="52"/>
      <c r="G482" s="54">
        <f>G483+G484</f>
        <v>171422.19999999998</v>
      </c>
    </row>
    <row r="483" spans="1:7" ht="31.5">
      <c r="A483" s="51" t="s">
        <v>56</v>
      </c>
      <c r="B483" s="53"/>
      <c r="C483" s="53" t="s">
        <v>35</v>
      </c>
      <c r="D483" s="53" t="s">
        <v>58</v>
      </c>
      <c r="E483" s="53" t="s">
        <v>567</v>
      </c>
      <c r="F483" s="52">
        <v>200</v>
      </c>
      <c r="G483" s="54">
        <v>2555.4</v>
      </c>
    </row>
    <row r="484" spans="1:7" ht="15.75">
      <c r="A484" s="51" t="s">
        <v>46</v>
      </c>
      <c r="B484" s="53"/>
      <c r="C484" s="53" t="s">
        <v>35</v>
      </c>
      <c r="D484" s="53" t="s">
        <v>58</v>
      </c>
      <c r="E484" s="53" t="s">
        <v>567</v>
      </c>
      <c r="F484" s="52">
        <v>300</v>
      </c>
      <c r="G484" s="54">
        <v>168866.8</v>
      </c>
    </row>
    <row r="485" spans="1:7" ht="47.25">
      <c r="A485" s="51" t="s">
        <v>568</v>
      </c>
      <c r="B485" s="53"/>
      <c r="C485" s="53" t="s">
        <v>35</v>
      </c>
      <c r="D485" s="53" t="s">
        <v>58</v>
      </c>
      <c r="E485" s="53" t="s">
        <v>569</v>
      </c>
      <c r="F485" s="53"/>
      <c r="G485" s="54">
        <f>G486+G487</f>
        <v>8404.2</v>
      </c>
    </row>
    <row r="486" spans="1:7" ht="31.5">
      <c r="A486" s="51" t="s">
        <v>56</v>
      </c>
      <c r="B486" s="53"/>
      <c r="C486" s="53" t="s">
        <v>35</v>
      </c>
      <c r="D486" s="53" t="s">
        <v>58</v>
      </c>
      <c r="E486" s="53" t="s">
        <v>569</v>
      </c>
      <c r="F486" s="53" t="s">
        <v>101</v>
      </c>
      <c r="G486" s="54">
        <v>125.5</v>
      </c>
    </row>
    <row r="487" spans="1:7" ht="15.75">
      <c r="A487" s="51" t="s">
        <v>46</v>
      </c>
      <c r="B487" s="53"/>
      <c r="C487" s="53" t="s">
        <v>35</v>
      </c>
      <c r="D487" s="53" t="s">
        <v>58</v>
      </c>
      <c r="E487" s="53" t="s">
        <v>569</v>
      </c>
      <c r="F487" s="53" t="s">
        <v>109</v>
      </c>
      <c r="G487" s="54">
        <v>8278.7</v>
      </c>
    </row>
    <row r="488" spans="1:7" ht="31.5">
      <c r="A488" s="51" t="s">
        <v>570</v>
      </c>
      <c r="B488" s="53"/>
      <c r="C488" s="53" t="s">
        <v>35</v>
      </c>
      <c r="D488" s="53" t="s">
        <v>58</v>
      </c>
      <c r="E488" s="53" t="s">
        <v>571</v>
      </c>
      <c r="F488" s="53"/>
      <c r="G488" s="54">
        <f>G489+G490</f>
        <v>105759.9</v>
      </c>
    </row>
    <row r="489" spans="1:7" ht="31.5">
      <c r="A489" s="51" t="s">
        <v>56</v>
      </c>
      <c r="B489" s="53"/>
      <c r="C489" s="53" t="s">
        <v>35</v>
      </c>
      <c r="D489" s="53" t="s">
        <v>58</v>
      </c>
      <c r="E489" s="53" t="s">
        <v>571</v>
      </c>
      <c r="F489" s="53" t="s">
        <v>101</v>
      </c>
      <c r="G489" s="54">
        <v>1574.4</v>
      </c>
    </row>
    <row r="490" spans="1:7" ht="15.75">
      <c r="A490" s="51" t="s">
        <v>46</v>
      </c>
      <c r="B490" s="53"/>
      <c r="C490" s="53" t="s">
        <v>35</v>
      </c>
      <c r="D490" s="53" t="s">
        <v>58</v>
      </c>
      <c r="E490" s="53" t="s">
        <v>571</v>
      </c>
      <c r="F490" s="53" t="s">
        <v>109</v>
      </c>
      <c r="G490" s="54">
        <v>104185.5</v>
      </c>
    </row>
    <row r="491" spans="1:7" ht="47.25">
      <c r="A491" s="51" t="s">
        <v>572</v>
      </c>
      <c r="B491" s="53"/>
      <c r="C491" s="53" t="s">
        <v>35</v>
      </c>
      <c r="D491" s="53" t="s">
        <v>58</v>
      </c>
      <c r="E491" s="53" t="s">
        <v>573</v>
      </c>
      <c r="F491" s="53"/>
      <c r="G491" s="54">
        <f>G492+G493</f>
        <v>710.9</v>
      </c>
    </row>
    <row r="492" spans="1:7" ht="31.5">
      <c r="A492" s="51" t="s">
        <v>56</v>
      </c>
      <c r="B492" s="53"/>
      <c r="C492" s="53" t="s">
        <v>35</v>
      </c>
      <c r="D492" s="53" t="s">
        <v>58</v>
      </c>
      <c r="E492" s="53" t="s">
        <v>573</v>
      </c>
      <c r="F492" s="53" t="s">
        <v>101</v>
      </c>
      <c r="G492" s="54">
        <v>10.9</v>
      </c>
    </row>
    <row r="493" spans="1:7" ht="15.75">
      <c r="A493" s="51" t="s">
        <v>46</v>
      </c>
      <c r="B493" s="53"/>
      <c r="C493" s="53" t="s">
        <v>35</v>
      </c>
      <c r="D493" s="53" t="s">
        <v>58</v>
      </c>
      <c r="E493" s="53" t="s">
        <v>573</v>
      </c>
      <c r="F493" s="53" t="s">
        <v>109</v>
      </c>
      <c r="G493" s="54">
        <v>700</v>
      </c>
    </row>
    <row r="494" spans="1:7" ht="47.25">
      <c r="A494" s="51" t="s">
        <v>574</v>
      </c>
      <c r="B494" s="53"/>
      <c r="C494" s="53" t="s">
        <v>35</v>
      </c>
      <c r="D494" s="53" t="s">
        <v>58</v>
      </c>
      <c r="E494" s="53" t="s">
        <v>575</v>
      </c>
      <c r="F494" s="53"/>
      <c r="G494" s="54">
        <f>G495+G496</f>
        <v>90</v>
      </c>
    </row>
    <row r="495" spans="1:7" ht="31.5">
      <c r="A495" s="51" t="s">
        <v>56</v>
      </c>
      <c r="B495" s="53"/>
      <c r="C495" s="53" t="s">
        <v>35</v>
      </c>
      <c r="D495" s="53" t="s">
        <v>58</v>
      </c>
      <c r="E495" s="53" t="s">
        <v>575</v>
      </c>
      <c r="F495" s="53" t="s">
        <v>101</v>
      </c>
      <c r="G495" s="54">
        <v>1.5</v>
      </c>
    </row>
    <row r="496" spans="1:7" ht="15.75">
      <c r="A496" s="51" t="s">
        <v>46</v>
      </c>
      <c r="B496" s="53"/>
      <c r="C496" s="53" t="s">
        <v>35</v>
      </c>
      <c r="D496" s="53" t="s">
        <v>58</v>
      </c>
      <c r="E496" s="53" t="s">
        <v>575</v>
      </c>
      <c r="F496" s="53" t="s">
        <v>109</v>
      </c>
      <c r="G496" s="54">
        <v>88.5</v>
      </c>
    </row>
    <row r="497" spans="1:7" ht="63">
      <c r="A497" s="51" t="s">
        <v>576</v>
      </c>
      <c r="B497" s="53"/>
      <c r="C497" s="53" t="s">
        <v>35</v>
      </c>
      <c r="D497" s="53" t="s">
        <v>58</v>
      </c>
      <c r="E497" s="53" t="s">
        <v>577</v>
      </c>
      <c r="F497" s="53"/>
      <c r="G497" s="54">
        <f>G498+G499</f>
        <v>3260.2000000000003</v>
      </c>
    </row>
    <row r="498" spans="1:7" ht="31.5">
      <c r="A498" s="51" t="s">
        <v>56</v>
      </c>
      <c r="B498" s="53"/>
      <c r="C498" s="53" t="s">
        <v>35</v>
      </c>
      <c r="D498" s="53" t="s">
        <v>58</v>
      </c>
      <c r="E498" s="53" t="s">
        <v>577</v>
      </c>
      <c r="F498" s="53" t="s">
        <v>101</v>
      </c>
      <c r="G498" s="54">
        <v>192.9</v>
      </c>
    </row>
    <row r="499" spans="1:7" ht="15.75">
      <c r="A499" s="51" t="s">
        <v>46</v>
      </c>
      <c r="B499" s="53"/>
      <c r="C499" s="53" t="s">
        <v>35</v>
      </c>
      <c r="D499" s="53" t="s">
        <v>58</v>
      </c>
      <c r="E499" s="53" t="s">
        <v>577</v>
      </c>
      <c r="F499" s="53" t="s">
        <v>109</v>
      </c>
      <c r="G499" s="54">
        <v>3067.3</v>
      </c>
    </row>
    <row r="500" spans="1:7" ht="31.5">
      <c r="A500" s="51" t="s">
        <v>578</v>
      </c>
      <c r="B500" s="53"/>
      <c r="C500" s="53" t="s">
        <v>35</v>
      </c>
      <c r="D500" s="53" t="s">
        <v>58</v>
      </c>
      <c r="E500" s="53" t="s">
        <v>579</v>
      </c>
      <c r="F500" s="53"/>
      <c r="G500" s="54">
        <f>G501+G502</f>
        <v>160047.2</v>
      </c>
    </row>
    <row r="501" spans="1:7" ht="31.5">
      <c r="A501" s="51" t="s">
        <v>56</v>
      </c>
      <c r="B501" s="53"/>
      <c r="C501" s="53" t="s">
        <v>35</v>
      </c>
      <c r="D501" s="53" t="s">
        <v>58</v>
      </c>
      <c r="E501" s="53" t="s">
        <v>579</v>
      </c>
      <c r="F501" s="53" t="s">
        <v>101</v>
      </c>
      <c r="G501" s="54">
        <v>2373.6</v>
      </c>
    </row>
    <row r="502" spans="1:7" ht="15.75">
      <c r="A502" s="51" t="s">
        <v>46</v>
      </c>
      <c r="B502" s="53"/>
      <c r="C502" s="53" t="s">
        <v>35</v>
      </c>
      <c r="D502" s="53" t="s">
        <v>58</v>
      </c>
      <c r="E502" s="53" t="s">
        <v>579</v>
      </c>
      <c r="F502" s="53" t="s">
        <v>109</v>
      </c>
      <c r="G502" s="54">
        <v>157673.6</v>
      </c>
    </row>
    <row r="503" spans="1:7" ht="31.5">
      <c r="A503" s="51" t="s">
        <v>580</v>
      </c>
      <c r="B503" s="53"/>
      <c r="C503" s="53" t="s">
        <v>35</v>
      </c>
      <c r="D503" s="53" t="s">
        <v>58</v>
      </c>
      <c r="E503" s="53" t="s">
        <v>581</v>
      </c>
      <c r="F503" s="53"/>
      <c r="G503" s="54">
        <f>G504+G505</f>
        <v>1971.5</v>
      </c>
    </row>
    <row r="504" spans="1:7" ht="31.5">
      <c r="A504" s="51" t="s">
        <v>56</v>
      </c>
      <c r="B504" s="53"/>
      <c r="C504" s="53" t="s">
        <v>35</v>
      </c>
      <c r="D504" s="53" t="s">
        <v>58</v>
      </c>
      <c r="E504" s="53" t="s">
        <v>581</v>
      </c>
      <c r="F504" s="53" t="s">
        <v>101</v>
      </c>
      <c r="G504" s="54">
        <v>29</v>
      </c>
    </row>
    <row r="505" spans="1:7" ht="15.75">
      <c r="A505" s="51" t="s">
        <v>46</v>
      </c>
      <c r="B505" s="53"/>
      <c r="C505" s="53" t="s">
        <v>35</v>
      </c>
      <c r="D505" s="53" t="s">
        <v>58</v>
      </c>
      <c r="E505" s="53" t="s">
        <v>581</v>
      </c>
      <c r="F505" s="53" t="s">
        <v>109</v>
      </c>
      <c r="G505" s="54">
        <v>1942.5</v>
      </c>
    </row>
    <row r="506" spans="1:7" ht="47.25">
      <c r="A506" s="51" t="s">
        <v>582</v>
      </c>
      <c r="B506" s="53"/>
      <c r="C506" s="53" t="s">
        <v>35</v>
      </c>
      <c r="D506" s="53" t="s">
        <v>58</v>
      </c>
      <c r="E506" s="53" t="s">
        <v>583</v>
      </c>
      <c r="F506" s="53"/>
      <c r="G506" s="54">
        <f>G507+G508</f>
        <v>13459.8</v>
      </c>
    </row>
    <row r="507" spans="1:7" ht="31.5">
      <c r="A507" s="51" t="s">
        <v>56</v>
      </c>
      <c r="B507" s="53"/>
      <c r="C507" s="53" t="s">
        <v>35</v>
      </c>
      <c r="D507" s="53" t="s">
        <v>58</v>
      </c>
      <c r="E507" s="53" t="s">
        <v>583</v>
      </c>
      <c r="F507" s="53" t="s">
        <v>101</v>
      </c>
      <c r="G507" s="54">
        <v>198.9</v>
      </c>
    </row>
    <row r="508" spans="1:7" ht="15.75">
      <c r="A508" s="51" t="s">
        <v>46</v>
      </c>
      <c r="B508" s="53"/>
      <c r="C508" s="53" t="s">
        <v>35</v>
      </c>
      <c r="D508" s="53" t="s">
        <v>58</v>
      </c>
      <c r="E508" s="53" t="s">
        <v>583</v>
      </c>
      <c r="F508" s="53" t="s">
        <v>109</v>
      </c>
      <c r="G508" s="54">
        <v>13260.9</v>
      </c>
    </row>
    <row r="509" spans="1:7" ht="31.5">
      <c r="A509" s="51" t="s">
        <v>584</v>
      </c>
      <c r="B509" s="53"/>
      <c r="C509" s="53" t="s">
        <v>35</v>
      </c>
      <c r="D509" s="53" t="s">
        <v>58</v>
      </c>
      <c r="E509" s="53" t="s">
        <v>585</v>
      </c>
      <c r="F509" s="53"/>
      <c r="G509" s="54">
        <f>G510+G511</f>
        <v>127639.90000000001</v>
      </c>
    </row>
    <row r="510" spans="1:7" ht="31.5">
      <c r="A510" s="51" t="s">
        <v>56</v>
      </c>
      <c r="B510" s="53"/>
      <c r="C510" s="53" t="s">
        <v>35</v>
      </c>
      <c r="D510" s="53" t="s">
        <v>58</v>
      </c>
      <c r="E510" s="53" t="s">
        <v>585</v>
      </c>
      <c r="F510" s="53" t="s">
        <v>101</v>
      </c>
      <c r="G510" s="54">
        <v>1886.3</v>
      </c>
    </row>
    <row r="511" spans="1:7" ht="15.75">
      <c r="A511" s="51" t="s">
        <v>46</v>
      </c>
      <c r="B511" s="53"/>
      <c r="C511" s="53" t="s">
        <v>35</v>
      </c>
      <c r="D511" s="53" t="s">
        <v>58</v>
      </c>
      <c r="E511" s="53" t="s">
        <v>585</v>
      </c>
      <c r="F511" s="53" t="s">
        <v>109</v>
      </c>
      <c r="G511" s="54">
        <v>125753.6</v>
      </c>
    </row>
    <row r="512" spans="1:7" ht="94.5">
      <c r="A512" s="51" t="s">
        <v>586</v>
      </c>
      <c r="B512" s="53"/>
      <c r="C512" s="53" t="s">
        <v>35</v>
      </c>
      <c r="D512" s="53" t="s">
        <v>58</v>
      </c>
      <c r="E512" s="53" t="s">
        <v>587</v>
      </c>
      <c r="F512" s="53"/>
      <c r="G512" s="54">
        <f>G513+G514</f>
        <v>14</v>
      </c>
    </row>
    <row r="513" spans="1:7" ht="31.5">
      <c r="A513" s="51" t="s">
        <v>56</v>
      </c>
      <c r="B513" s="53"/>
      <c r="C513" s="53" t="s">
        <v>35</v>
      </c>
      <c r="D513" s="53" t="s">
        <v>58</v>
      </c>
      <c r="E513" s="53" t="s">
        <v>587</v>
      </c>
      <c r="F513" s="53" t="s">
        <v>101</v>
      </c>
      <c r="G513" s="54">
        <v>0.2</v>
      </c>
    </row>
    <row r="514" spans="1:7" ht="15.75">
      <c r="A514" s="51" t="s">
        <v>46</v>
      </c>
      <c r="B514" s="53"/>
      <c r="C514" s="53" t="s">
        <v>35</v>
      </c>
      <c r="D514" s="53" t="s">
        <v>58</v>
      </c>
      <c r="E514" s="53" t="s">
        <v>587</v>
      </c>
      <c r="F514" s="53" t="s">
        <v>109</v>
      </c>
      <c r="G514" s="54">
        <v>13.8</v>
      </c>
    </row>
    <row r="515" spans="1:7" ht="47.25">
      <c r="A515" s="51" t="s">
        <v>588</v>
      </c>
      <c r="B515" s="53"/>
      <c r="C515" s="53" t="s">
        <v>35</v>
      </c>
      <c r="D515" s="53" t="s">
        <v>58</v>
      </c>
      <c r="E515" s="53" t="s">
        <v>589</v>
      </c>
      <c r="F515" s="53"/>
      <c r="G515" s="54">
        <f>G516+G517</f>
        <v>2553.2999999999997</v>
      </c>
    </row>
    <row r="516" spans="1:7" ht="31.5">
      <c r="A516" s="51" t="s">
        <v>56</v>
      </c>
      <c r="B516" s="53"/>
      <c r="C516" s="53" t="s">
        <v>35</v>
      </c>
      <c r="D516" s="53" t="s">
        <v>58</v>
      </c>
      <c r="E516" s="53" t="s">
        <v>589</v>
      </c>
      <c r="F516" s="53" t="s">
        <v>101</v>
      </c>
      <c r="G516" s="54">
        <v>28.7</v>
      </c>
    </row>
    <row r="517" spans="1:7" ht="15.75">
      <c r="A517" s="51" t="s">
        <v>46</v>
      </c>
      <c r="B517" s="53"/>
      <c r="C517" s="53" t="s">
        <v>35</v>
      </c>
      <c r="D517" s="53" t="s">
        <v>58</v>
      </c>
      <c r="E517" s="53" t="s">
        <v>589</v>
      </c>
      <c r="F517" s="53" t="s">
        <v>109</v>
      </c>
      <c r="G517" s="54">
        <v>2524.6</v>
      </c>
    </row>
    <row r="518" spans="1:7" ht="63">
      <c r="A518" s="51" t="s">
        <v>590</v>
      </c>
      <c r="B518" s="53"/>
      <c r="C518" s="53" t="s">
        <v>35</v>
      </c>
      <c r="D518" s="53" t="s">
        <v>58</v>
      </c>
      <c r="E518" s="53" t="s">
        <v>591</v>
      </c>
      <c r="F518" s="53"/>
      <c r="G518" s="54">
        <f>G519+G520</f>
        <v>1635.2</v>
      </c>
    </row>
    <row r="519" spans="1:7" ht="31.5">
      <c r="A519" s="51" t="s">
        <v>56</v>
      </c>
      <c r="B519" s="53"/>
      <c r="C519" s="53" t="s">
        <v>35</v>
      </c>
      <c r="D519" s="53" t="s">
        <v>58</v>
      </c>
      <c r="E519" s="53" t="s">
        <v>591</v>
      </c>
      <c r="F519" s="53" t="s">
        <v>101</v>
      </c>
      <c r="G519" s="54">
        <v>28.4</v>
      </c>
    </row>
    <row r="520" spans="1:7" ht="15.75">
      <c r="A520" s="51" t="s">
        <v>46</v>
      </c>
      <c r="B520" s="53"/>
      <c r="C520" s="53" t="s">
        <v>35</v>
      </c>
      <c r="D520" s="53" t="s">
        <v>58</v>
      </c>
      <c r="E520" s="53" t="s">
        <v>591</v>
      </c>
      <c r="F520" s="53" t="s">
        <v>109</v>
      </c>
      <c r="G520" s="54">
        <v>1606.8</v>
      </c>
    </row>
    <row r="521" spans="1:7" ht="15.75">
      <c r="A521" s="51" t="s">
        <v>592</v>
      </c>
      <c r="B521" s="53"/>
      <c r="C521" s="53" t="s">
        <v>35</v>
      </c>
      <c r="D521" s="53" t="s">
        <v>58</v>
      </c>
      <c r="E521" s="53" t="s">
        <v>593</v>
      </c>
      <c r="F521" s="53"/>
      <c r="G521" s="54">
        <f>G522+G523</f>
        <v>69.3</v>
      </c>
    </row>
    <row r="522" spans="1:7" ht="31.5">
      <c r="A522" s="51" t="s">
        <v>56</v>
      </c>
      <c r="B522" s="53"/>
      <c r="C522" s="53" t="s">
        <v>35</v>
      </c>
      <c r="D522" s="53" t="s">
        <v>58</v>
      </c>
      <c r="E522" s="53" t="s">
        <v>593</v>
      </c>
      <c r="F522" s="53" t="s">
        <v>101</v>
      </c>
      <c r="G522" s="54">
        <v>1</v>
      </c>
    </row>
    <row r="523" spans="1:7" ht="15.75">
      <c r="A523" s="51" t="s">
        <v>46</v>
      </c>
      <c r="B523" s="53"/>
      <c r="C523" s="53" t="s">
        <v>35</v>
      </c>
      <c r="D523" s="53" t="s">
        <v>58</v>
      </c>
      <c r="E523" s="53" t="s">
        <v>593</v>
      </c>
      <c r="F523" s="53" t="s">
        <v>109</v>
      </c>
      <c r="G523" s="54">
        <v>68.3</v>
      </c>
    </row>
    <row r="524" spans="1:7" ht="47.25">
      <c r="A524" s="51" t="s">
        <v>594</v>
      </c>
      <c r="B524" s="53"/>
      <c r="C524" s="53" t="s">
        <v>35</v>
      </c>
      <c r="D524" s="53" t="s">
        <v>58</v>
      </c>
      <c r="E524" s="53" t="s">
        <v>595</v>
      </c>
      <c r="F524" s="53"/>
      <c r="G524" s="54">
        <f>G525+G526</f>
        <v>690.9000000000001</v>
      </c>
    </row>
    <row r="525" spans="1:7" ht="31.5">
      <c r="A525" s="51" t="s">
        <v>56</v>
      </c>
      <c r="B525" s="53"/>
      <c r="C525" s="53" t="s">
        <v>35</v>
      </c>
      <c r="D525" s="53" t="s">
        <v>58</v>
      </c>
      <c r="E525" s="53" t="s">
        <v>595</v>
      </c>
      <c r="F525" s="53" t="s">
        <v>101</v>
      </c>
      <c r="G525" s="54">
        <v>16.2</v>
      </c>
    </row>
    <row r="526" spans="1:7" ht="15.75">
      <c r="A526" s="51" t="s">
        <v>46</v>
      </c>
      <c r="B526" s="53"/>
      <c r="C526" s="53" t="s">
        <v>35</v>
      </c>
      <c r="D526" s="53" t="s">
        <v>58</v>
      </c>
      <c r="E526" s="53" t="s">
        <v>595</v>
      </c>
      <c r="F526" s="53" t="s">
        <v>109</v>
      </c>
      <c r="G526" s="54">
        <v>674.7</v>
      </c>
    </row>
    <row r="527" spans="1:7" ht="31.5">
      <c r="A527" s="51" t="s">
        <v>705</v>
      </c>
      <c r="B527" s="53"/>
      <c r="C527" s="53" t="s">
        <v>35</v>
      </c>
      <c r="D527" s="53" t="s">
        <v>58</v>
      </c>
      <c r="E527" s="53" t="s">
        <v>706</v>
      </c>
      <c r="F527" s="53"/>
      <c r="G527" s="54">
        <f>SUM(G528:G529)</f>
        <v>15497.2</v>
      </c>
    </row>
    <row r="528" spans="1:7" ht="31.5">
      <c r="A528" s="51" t="s">
        <v>56</v>
      </c>
      <c r="B528" s="53"/>
      <c r="C528" s="53" t="s">
        <v>35</v>
      </c>
      <c r="D528" s="53" t="s">
        <v>58</v>
      </c>
      <c r="E528" s="53" t="s">
        <v>706</v>
      </c>
      <c r="F528" s="53" t="s">
        <v>101</v>
      </c>
      <c r="G528" s="54">
        <v>491.5</v>
      </c>
    </row>
    <row r="529" spans="1:7" ht="15.75">
      <c r="A529" s="51" t="s">
        <v>46</v>
      </c>
      <c r="B529" s="53"/>
      <c r="C529" s="53" t="s">
        <v>35</v>
      </c>
      <c r="D529" s="53" t="s">
        <v>58</v>
      </c>
      <c r="E529" s="53" t="s">
        <v>706</v>
      </c>
      <c r="F529" s="53" t="s">
        <v>109</v>
      </c>
      <c r="G529" s="54">
        <v>15005.7</v>
      </c>
    </row>
    <row r="530" spans="1:7" ht="31.5">
      <c r="A530" s="51" t="s">
        <v>88</v>
      </c>
      <c r="B530" s="53"/>
      <c r="C530" s="53" t="s">
        <v>35</v>
      </c>
      <c r="D530" s="53" t="s">
        <v>58</v>
      </c>
      <c r="E530" s="52" t="s">
        <v>20</v>
      </c>
      <c r="F530" s="52"/>
      <c r="G530" s="54">
        <f>G531+G542+G547</f>
        <v>5227.6</v>
      </c>
    </row>
    <row r="531" spans="1:7" ht="31.5">
      <c r="A531" s="51" t="s">
        <v>89</v>
      </c>
      <c r="B531" s="53"/>
      <c r="C531" s="53" t="s">
        <v>35</v>
      </c>
      <c r="D531" s="53" t="s">
        <v>58</v>
      </c>
      <c r="E531" s="52" t="s">
        <v>21</v>
      </c>
      <c r="F531" s="52"/>
      <c r="G531" s="54">
        <f>G532</f>
        <v>3790.3</v>
      </c>
    </row>
    <row r="532" spans="1:7" ht="15.75">
      <c r="A532" s="51" t="s">
        <v>39</v>
      </c>
      <c r="B532" s="53"/>
      <c r="C532" s="53" t="s">
        <v>35</v>
      </c>
      <c r="D532" s="53" t="s">
        <v>58</v>
      </c>
      <c r="E532" s="52" t="s">
        <v>40</v>
      </c>
      <c r="F532" s="52"/>
      <c r="G532" s="54">
        <f>SUM(G533+G538)</f>
        <v>3790.3</v>
      </c>
    </row>
    <row r="533" spans="1:7" ht="15.75">
      <c r="A533" s="51" t="s">
        <v>59</v>
      </c>
      <c r="B533" s="53"/>
      <c r="C533" s="53" t="s">
        <v>35</v>
      </c>
      <c r="D533" s="53" t="s">
        <v>58</v>
      </c>
      <c r="E533" s="52" t="s">
        <v>60</v>
      </c>
      <c r="F533" s="52"/>
      <c r="G533" s="54">
        <f>G534+G536</f>
        <v>2602.1000000000004</v>
      </c>
    </row>
    <row r="534" spans="1:7" ht="15.75">
      <c r="A534" s="51" t="s">
        <v>61</v>
      </c>
      <c r="B534" s="53"/>
      <c r="C534" s="53" t="s">
        <v>35</v>
      </c>
      <c r="D534" s="53" t="s">
        <v>58</v>
      </c>
      <c r="E534" s="52" t="s">
        <v>62</v>
      </c>
      <c r="F534" s="52"/>
      <c r="G534" s="54">
        <f>G535</f>
        <v>1218.7</v>
      </c>
    </row>
    <row r="535" spans="1:7" ht="15.75">
      <c r="A535" s="51" t="s">
        <v>46</v>
      </c>
      <c r="B535" s="53"/>
      <c r="C535" s="53" t="s">
        <v>35</v>
      </c>
      <c r="D535" s="53" t="s">
        <v>58</v>
      </c>
      <c r="E535" s="52" t="s">
        <v>62</v>
      </c>
      <c r="F535" s="52">
        <v>300</v>
      </c>
      <c r="G535" s="54">
        <v>1218.7</v>
      </c>
    </row>
    <row r="536" spans="1:7" ht="31.5">
      <c r="A536" s="51" t="s">
        <v>63</v>
      </c>
      <c r="B536" s="53"/>
      <c r="C536" s="53" t="s">
        <v>35</v>
      </c>
      <c r="D536" s="53" t="s">
        <v>58</v>
      </c>
      <c r="E536" s="52" t="s">
        <v>64</v>
      </c>
      <c r="F536" s="52"/>
      <c r="G536" s="54">
        <f>G537</f>
        <v>1383.4</v>
      </c>
    </row>
    <row r="537" spans="1:7" ht="15.75">
      <c r="A537" s="51" t="s">
        <v>46</v>
      </c>
      <c r="B537" s="53"/>
      <c r="C537" s="53" t="s">
        <v>35</v>
      </c>
      <c r="D537" s="53" t="s">
        <v>58</v>
      </c>
      <c r="E537" s="52" t="s">
        <v>64</v>
      </c>
      <c r="F537" s="52">
        <v>300</v>
      </c>
      <c r="G537" s="54">
        <v>1383.4</v>
      </c>
    </row>
    <row r="538" spans="1:7" ht="15.75">
      <c r="A538" s="51" t="s">
        <v>65</v>
      </c>
      <c r="B538" s="53"/>
      <c r="C538" s="53" t="s">
        <v>35</v>
      </c>
      <c r="D538" s="53" t="s">
        <v>58</v>
      </c>
      <c r="E538" s="52" t="s">
        <v>66</v>
      </c>
      <c r="F538" s="52"/>
      <c r="G538" s="54">
        <f>G539</f>
        <v>1188.2</v>
      </c>
    </row>
    <row r="539" spans="1:7" ht="15.75">
      <c r="A539" s="51" t="s">
        <v>67</v>
      </c>
      <c r="B539" s="53"/>
      <c r="C539" s="53" t="s">
        <v>35</v>
      </c>
      <c r="D539" s="53" t="s">
        <v>58</v>
      </c>
      <c r="E539" s="52" t="s">
        <v>68</v>
      </c>
      <c r="F539" s="52"/>
      <c r="G539" s="54">
        <f>G540+G541</f>
        <v>1188.2</v>
      </c>
    </row>
    <row r="540" spans="1:7" ht="31.5">
      <c r="A540" s="51" t="s">
        <v>56</v>
      </c>
      <c r="B540" s="53"/>
      <c r="C540" s="53" t="s">
        <v>35</v>
      </c>
      <c r="D540" s="53" t="s">
        <v>58</v>
      </c>
      <c r="E540" s="52" t="s">
        <v>68</v>
      </c>
      <c r="F540" s="52">
        <v>200</v>
      </c>
      <c r="G540" s="54">
        <v>786.2</v>
      </c>
    </row>
    <row r="541" spans="1:7" ht="15.75">
      <c r="A541" s="51" t="s">
        <v>46</v>
      </c>
      <c r="B541" s="53"/>
      <c r="C541" s="53" t="s">
        <v>35</v>
      </c>
      <c r="D541" s="53" t="s">
        <v>58</v>
      </c>
      <c r="E541" s="52" t="s">
        <v>68</v>
      </c>
      <c r="F541" s="52">
        <v>300</v>
      </c>
      <c r="G541" s="54">
        <v>402</v>
      </c>
    </row>
    <row r="542" spans="1:7" ht="15.75">
      <c r="A542" s="51" t="s">
        <v>91</v>
      </c>
      <c r="B542" s="53"/>
      <c r="C542" s="53" t="s">
        <v>35</v>
      </c>
      <c r="D542" s="53" t="s">
        <v>58</v>
      </c>
      <c r="E542" s="52" t="s">
        <v>69</v>
      </c>
      <c r="F542" s="52"/>
      <c r="G542" s="54">
        <f>G543</f>
        <v>150.5</v>
      </c>
    </row>
    <row r="543" spans="1:7" ht="15.75">
      <c r="A543" s="51" t="s">
        <v>39</v>
      </c>
      <c r="B543" s="53"/>
      <c r="C543" s="53" t="s">
        <v>35</v>
      </c>
      <c r="D543" s="53" t="s">
        <v>58</v>
      </c>
      <c r="E543" s="52" t="s">
        <v>70</v>
      </c>
      <c r="F543" s="52"/>
      <c r="G543" s="54">
        <f>G544</f>
        <v>150.5</v>
      </c>
    </row>
    <row r="544" spans="1:7" ht="15.75">
      <c r="A544" s="51" t="s">
        <v>41</v>
      </c>
      <c r="B544" s="53"/>
      <c r="C544" s="53" t="s">
        <v>35</v>
      </c>
      <c r="D544" s="53" t="s">
        <v>58</v>
      </c>
      <c r="E544" s="52" t="s">
        <v>71</v>
      </c>
      <c r="F544" s="52"/>
      <c r="G544" s="54">
        <f>G545+G546</f>
        <v>150.5</v>
      </c>
    </row>
    <row r="545" spans="1:7" ht="31.5">
      <c r="A545" s="51" t="s">
        <v>56</v>
      </c>
      <c r="B545" s="53"/>
      <c r="C545" s="53" t="s">
        <v>35</v>
      </c>
      <c r="D545" s="53" t="s">
        <v>58</v>
      </c>
      <c r="E545" s="52" t="s">
        <v>71</v>
      </c>
      <c r="F545" s="52">
        <v>200</v>
      </c>
      <c r="G545" s="54">
        <v>83.5</v>
      </c>
    </row>
    <row r="546" spans="1:7" ht="15.75">
      <c r="A546" s="51" t="s">
        <v>46</v>
      </c>
      <c r="B546" s="53"/>
      <c r="C546" s="53" t="s">
        <v>35</v>
      </c>
      <c r="D546" s="53" t="s">
        <v>58</v>
      </c>
      <c r="E546" s="52" t="s">
        <v>71</v>
      </c>
      <c r="F546" s="52">
        <v>300</v>
      </c>
      <c r="G546" s="54">
        <v>67</v>
      </c>
    </row>
    <row r="547" spans="1:7" ht="15.75">
      <c r="A547" s="51" t="s">
        <v>92</v>
      </c>
      <c r="B547" s="53"/>
      <c r="C547" s="53" t="s">
        <v>35</v>
      </c>
      <c r="D547" s="53" t="s">
        <v>58</v>
      </c>
      <c r="E547" s="52" t="s">
        <v>72</v>
      </c>
      <c r="F547" s="52"/>
      <c r="G547" s="54">
        <f>G551+G548</f>
        <v>1286.8</v>
      </c>
    </row>
    <row r="548" spans="1:7" ht="15.75">
      <c r="A548" s="51" t="s">
        <v>39</v>
      </c>
      <c r="B548" s="53"/>
      <c r="C548" s="53" t="s">
        <v>35</v>
      </c>
      <c r="D548" s="53" t="s">
        <v>58</v>
      </c>
      <c r="E548" s="52" t="s">
        <v>678</v>
      </c>
      <c r="F548" s="52"/>
      <c r="G548" s="54">
        <f>G549</f>
        <v>411.8</v>
      </c>
    </row>
    <row r="549" spans="1:7" ht="15.75">
      <c r="A549" s="51" t="s">
        <v>41</v>
      </c>
      <c r="B549" s="53"/>
      <c r="C549" s="53" t="s">
        <v>35</v>
      </c>
      <c r="D549" s="53" t="s">
        <v>58</v>
      </c>
      <c r="E549" s="52" t="s">
        <v>679</v>
      </c>
      <c r="F549" s="52"/>
      <c r="G549" s="54">
        <f>SUM(G550)</f>
        <v>411.8</v>
      </c>
    </row>
    <row r="550" spans="1:7" ht="31.5">
      <c r="A550" s="51" t="s">
        <v>56</v>
      </c>
      <c r="B550" s="53"/>
      <c r="C550" s="53" t="s">
        <v>35</v>
      </c>
      <c r="D550" s="53" t="s">
        <v>58</v>
      </c>
      <c r="E550" s="52" t="s">
        <v>679</v>
      </c>
      <c r="F550" s="52">
        <v>200</v>
      </c>
      <c r="G550" s="54">
        <v>411.8</v>
      </c>
    </row>
    <row r="551" spans="1:7" ht="31.5">
      <c r="A551" s="51" t="s">
        <v>73</v>
      </c>
      <c r="B551" s="53"/>
      <c r="C551" s="53" t="s">
        <v>35</v>
      </c>
      <c r="D551" s="53" t="s">
        <v>58</v>
      </c>
      <c r="E551" s="52" t="s">
        <v>74</v>
      </c>
      <c r="F551" s="52"/>
      <c r="G551" s="54">
        <f>G552</f>
        <v>875</v>
      </c>
    </row>
    <row r="552" spans="1:7" ht="15.75">
      <c r="A552" s="51" t="s">
        <v>41</v>
      </c>
      <c r="B552" s="53"/>
      <c r="C552" s="53" t="s">
        <v>35</v>
      </c>
      <c r="D552" s="53" t="s">
        <v>58</v>
      </c>
      <c r="E552" s="52" t="s">
        <v>75</v>
      </c>
      <c r="F552" s="52"/>
      <c r="G552" s="54">
        <f>SUM(G553:G554)</f>
        <v>875</v>
      </c>
    </row>
    <row r="553" spans="1:7" ht="31.5" hidden="1">
      <c r="A553" s="51" t="s">
        <v>56</v>
      </c>
      <c r="B553" s="53"/>
      <c r="C553" s="53" t="s">
        <v>35</v>
      </c>
      <c r="D553" s="53" t="s">
        <v>58</v>
      </c>
      <c r="E553" s="52" t="s">
        <v>75</v>
      </c>
      <c r="F553" s="52">
        <v>200</v>
      </c>
      <c r="G553" s="54"/>
    </row>
    <row r="554" spans="1:7" ht="31.5">
      <c r="A554" s="51" t="s">
        <v>76</v>
      </c>
      <c r="B554" s="53"/>
      <c r="C554" s="53" t="s">
        <v>35</v>
      </c>
      <c r="D554" s="53" t="s">
        <v>58</v>
      </c>
      <c r="E554" s="52" t="s">
        <v>75</v>
      </c>
      <c r="F554" s="52">
        <v>600</v>
      </c>
      <c r="G554" s="54">
        <v>875</v>
      </c>
    </row>
    <row r="555" spans="1:7" ht="47.25">
      <c r="A555" s="51" t="s">
        <v>93</v>
      </c>
      <c r="B555" s="53"/>
      <c r="C555" s="53" t="s">
        <v>35</v>
      </c>
      <c r="D555" s="53" t="s">
        <v>58</v>
      </c>
      <c r="E555" s="52" t="s">
        <v>77</v>
      </c>
      <c r="F555" s="52"/>
      <c r="G555" s="54">
        <f>G556</f>
        <v>3587.4</v>
      </c>
    </row>
    <row r="556" spans="1:7" ht="15.75">
      <c r="A556" s="51" t="s">
        <v>39</v>
      </c>
      <c r="B556" s="53"/>
      <c r="C556" s="53" t="s">
        <v>35</v>
      </c>
      <c r="D556" s="53" t="s">
        <v>58</v>
      </c>
      <c r="E556" s="52" t="s">
        <v>78</v>
      </c>
      <c r="F556" s="52"/>
      <c r="G556" s="54">
        <f>SUM(G557)</f>
        <v>3587.4</v>
      </c>
    </row>
    <row r="557" spans="1:7" ht="31.5">
      <c r="A557" s="51" t="s">
        <v>79</v>
      </c>
      <c r="B557" s="53"/>
      <c r="C557" s="53" t="s">
        <v>35</v>
      </c>
      <c r="D557" s="53" t="s">
        <v>58</v>
      </c>
      <c r="E557" s="52" t="s">
        <v>80</v>
      </c>
      <c r="F557" s="52"/>
      <c r="G557" s="54">
        <f>G558</f>
        <v>3587.4</v>
      </c>
    </row>
    <row r="558" spans="1:7" ht="29.25" customHeight="1">
      <c r="A558" s="51" t="s">
        <v>56</v>
      </c>
      <c r="B558" s="53"/>
      <c r="C558" s="53" t="s">
        <v>35</v>
      </c>
      <c r="D558" s="53" t="s">
        <v>58</v>
      </c>
      <c r="E558" s="52" t="s">
        <v>80</v>
      </c>
      <c r="F558" s="52">
        <v>200</v>
      </c>
      <c r="G558" s="54">
        <v>3587.4</v>
      </c>
    </row>
    <row r="559" spans="1:7" ht="47.25">
      <c r="A559" s="51" t="s">
        <v>707</v>
      </c>
      <c r="B559" s="53"/>
      <c r="C559" s="53" t="s">
        <v>35</v>
      </c>
      <c r="D559" s="53" t="s">
        <v>58</v>
      </c>
      <c r="E559" s="52" t="s">
        <v>708</v>
      </c>
      <c r="F559" s="52"/>
      <c r="G559" s="54">
        <f>SUM(G560)</f>
        <v>1600</v>
      </c>
    </row>
    <row r="560" spans="1:7" ht="15.75">
      <c r="A560" s="51" t="s">
        <v>39</v>
      </c>
      <c r="B560" s="53"/>
      <c r="C560" s="53" t="s">
        <v>35</v>
      </c>
      <c r="D560" s="53" t="s">
        <v>58</v>
      </c>
      <c r="E560" s="52" t="s">
        <v>709</v>
      </c>
      <c r="F560" s="52"/>
      <c r="G560" s="54">
        <f>SUM(G561)</f>
        <v>1600</v>
      </c>
    </row>
    <row r="561" spans="1:7" ht="15.75">
      <c r="A561" s="51" t="s">
        <v>59</v>
      </c>
      <c r="B561" s="53"/>
      <c r="C561" s="53" t="s">
        <v>35</v>
      </c>
      <c r="D561" s="53" t="s">
        <v>58</v>
      </c>
      <c r="E561" s="52" t="s">
        <v>710</v>
      </c>
      <c r="F561" s="52"/>
      <c r="G561" s="54">
        <f>SUM(G562)</f>
        <v>1600</v>
      </c>
    </row>
    <row r="562" spans="1:7" ht="94.5">
      <c r="A562" s="51" t="s">
        <v>1199</v>
      </c>
      <c r="B562" s="53"/>
      <c r="C562" s="53" t="s">
        <v>35</v>
      </c>
      <c r="D562" s="53" t="s">
        <v>58</v>
      </c>
      <c r="E562" s="52" t="s">
        <v>711</v>
      </c>
      <c r="F562" s="52"/>
      <c r="G562" s="54">
        <f>SUM(G563)</f>
        <v>1600</v>
      </c>
    </row>
    <row r="563" spans="1:7" ht="15.75">
      <c r="A563" s="51" t="s">
        <v>46</v>
      </c>
      <c r="B563" s="53"/>
      <c r="C563" s="53" t="s">
        <v>35</v>
      </c>
      <c r="D563" s="53" t="s">
        <v>58</v>
      </c>
      <c r="E563" s="52" t="s">
        <v>711</v>
      </c>
      <c r="F563" s="52">
        <v>300</v>
      </c>
      <c r="G563" s="54">
        <v>1600</v>
      </c>
    </row>
    <row r="564" spans="1:7" ht="15.75">
      <c r="A564" s="51" t="s">
        <v>209</v>
      </c>
      <c r="B564" s="53"/>
      <c r="C564" s="53" t="s">
        <v>35</v>
      </c>
      <c r="D564" s="53" t="s">
        <v>17</v>
      </c>
      <c r="E564" s="52"/>
      <c r="F564" s="52"/>
      <c r="G564" s="54">
        <f>G565+G588</f>
        <v>198621.50000000003</v>
      </c>
    </row>
    <row r="565" spans="1:7" ht="31.5">
      <c r="A565" s="51" t="s">
        <v>554</v>
      </c>
      <c r="B565" s="53"/>
      <c r="C565" s="53" t="s">
        <v>35</v>
      </c>
      <c r="D565" s="53" t="s">
        <v>17</v>
      </c>
      <c r="E565" s="53" t="s">
        <v>540</v>
      </c>
      <c r="F565" s="52"/>
      <c r="G565" s="54">
        <f>G566</f>
        <v>198621.50000000003</v>
      </c>
    </row>
    <row r="566" spans="1:7" ht="15.75">
      <c r="A566" s="51" t="s">
        <v>560</v>
      </c>
      <c r="B566" s="53"/>
      <c r="C566" s="53" t="s">
        <v>35</v>
      </c>
      <c r="D566" s="53" t="s">
        <v>17</v>
      </c>
      <c r="E566" s="53" t="s">
        <v>541</v>
      </c>
      <c r="F566" s="52"/>
      <c r="G566" s="54">
        <f>G567</f>
        <v>198621.50000000003</v>
      </c>
    </row>
    <row r="567" spans="1:7" ht="78.75">
      <c r="A567" s="51" t="s">
        <v>317</v>
      </c>
      <c r="B567" s="53"/>
      <c r="C567" s="53" t="s">
        <v>35</v>
      </c>
      <c r="D567" s="53" t="s">
        <v>17</v>
      </c>
      <c r="E567" s="53" t="s">
        <v>542</v>
      </c>
      <c r="F567" s="52"/>
      <c r="G567" s="54">
        <f>G568+G573+G576+G579+G582+G585</f>
        <v>198621.50000000003</v>
      </c>
    </row>
    <row r="568" spans="1:7" ht="47.25">
      <c r="A568" s="51" t="s">
        <v>596</v>
      </c>
      <c r="B568" s="53"/>
      <c r="C568" s="53" t="s">
        <v>35</v>
      </c>
      <c r="D568" s="53" t="s">
        <v>17</v>
      </c>
      <c r="E568" s="52" t="s">
        <v>597</v>
      </c>
      <c r="F568" s="52"/>
      <c r="G568" s="54">
        <f>G569+G570+G572+G571</f>
        <v>65814.2</v>
      </c>
    </row>
    <row r="569" spans="1:7" ht="47.25">
      <c r="A569" s="51" t="s">
        <v>55</v>
      </c>
      <c r="B569" s="53"/>
      <c r="C569" s="53" t="s">
        <v>35</v>
      </c>
      <c r="D569" s="53" t="s">
        <v>17</v>
      </c>
      <c r="E569" s="52" t="s">
        <v>597</v>
      </c>
      <c r="F569" s="52">
        <v>100</v>
      </c>
      <c r="G569" s="54">
        <v>44526.3</v>
      </c>
    </row>
    <row r="570" spans="1:7" ht="31.5">
      <c r="A570" s="51" t="s">
        <v>56</v>
      </c>
      <c r="B570" s="53"/>
      <c r="C570" s="53" t="s">
        <v>35</v>
      </c>
      <c r="D570" s="53" t="s">
        <v>17</v>
      </c>
      <c r="E570" s="52" t="s">
        <v>597</v>
      </c>
      <c r="F570" s="52">
        <v>200</v>
      </c>
      <c r="G570" s="54">
        <v>20564.6</v>
      </c>
    </row>
    <row r="571" spans="1:7" ht="15.75">
      <c r="A571" s="51" t="s">
        <v>46</v>
      </c>
      <c r="B571" s="53"/>
      <c r="C571" s="53" t="s">
        <v>35</v>
      </c>
      <c r="D571" s="53" t="s">
        <v>17</v>
      </c>
      <c r="E571" s="52" t="s">
        <v>597</v>
      </c>
      <c r="F571" s="52">
        <v>300</v>
      </c>
      <c r="G571" s="54">
        <v>185.5</v>
      </c>
    </row>
    <row r="572" spans="1:7" ht="15.75">
      <c r="A572" s="51" t="s">
        <v>26</v>
      </c>
      <c r="B572" s="53"/>
      <c r="C572" s="53" t="s">
        <v>35</v>
      </c>
      <c r="D572" s="53" t="s">
        <v>17</v>
      </c>
      <c r="E572" s="52" t="s">
        <v>597</v>
      </c>
      <c r="F572" s="52">
        <v>800</v>
      </c>
      <c r="G572" s="54">
        <v>537.8</v>
      </c>
    </row>
    <row r="573" spans="1:7" ht="47.25">
      <c r="A573" s="51" t="s">
        <v>598</v>
      </c>
      <c r="B573" s="53"/>
      <c r="C573" s="53" t="s">
        <v>35</v>
      </c>
      <c r="D573" s="53" t="s">
        <v>17</v>
      </c>
      <c r="E573" s="52" t="s">
        <v>599</v>
      </c>
      <c r="F573" s="52"/>
      <c r="G573" s="54">
        <f>G574+G575</f>
        <v>14118.5</v>
      </c>
    </row>
    <row r="574" spans="1:7" ht="31.5">
      <c r="A574" s="51" t="s">
        <v>56</v>
      </c>
      <c r="B574" s="53"/>
      <c r="C574" s="53" t="s">
        <v>35</v>
      </c>
      <c r="D574" s="53" t="s">
        <v>17</v>
      </c>
      <c r="E574" s="52" t="s">
        <v>599</v>
      </c>
      <c r="F574" s="52">
        <v>200</v>
      </c>
      <c r="G574" s="54">
        <v>197.1</v>
      </c>
    </row>
    <row r="575" spans="1:7" ht="15.75">
      <c r="A575" s="51" t="s">
        <v>46</v>
      </c>
      <c r="B575" s="53"/>
      <c r="C575" s="53" t="s">
        <v>35</v>
      </c>
      <c r="D575" s="53" t="s">
        <v>17</v>
      </c>
      <c r="E575" s="52" t="s">
        <v>599</v>
      </c>
      <c r="F575" s="52">
        <v>300</v>
      </c>
      <c r="G575" s="54">
        <v>13921.4</v>
      </c>
    </row>
    <row r="576" spans="1:7" ht="31.5">
      <c r="A576" s="51" t="s">
        <v>600</v>
      </c>
      <c r="B576" s="53"/>
      <c r="C576" s="53" t="s">
        <v>35</v>
      </c>
      <c r="D576" s="53" t="s">
        <v>17</v>
      </c>
      <c r="E576" s="52" t="s">
        <v>601</v>
      </c>
      <c r="F576" s="52"/>
      <c r="G576" s="54">
        <f>G577+G578</f>
        <v>52185.4</v>
      </c>
    </row>
    <row r="577" spans="1:7" ht="31.5">
      <c r="A577" s="51" t="s">
        <v>56</v>
      </c>
      <c r="B577" s="53"/>
      <c r="C577" s="53" t="s">
        <v>35</v>
      </c>
      <c r="D577" s="53" t="s">
        <v>17</v>
      </c>
      <c r="E577" s="52" t="s">
        <v>601</v>
      </c>
      <c r="F577" s="52">
        <v>200</v>
      </c>
      <c r="G577" s="54">
        <v>775.3</v>
      </c>
    </row>
    <row r="578" spans="1:7" ht="15.75">
      <c r="A578" s="51" t="s">
        <v>46</v>
      </c>
      <c r="B578" s="53"/>
      <c r="C578" s="53" t="s">
        <v>35</v>
      </c>
      <c r="D578" s="53" t="s">
        <v>17</v>
      </c>
      <c r="E578" s="52" t="s">
        <v>601</v>
      </c>
      <c r="F578" s="52">
        <v>300</v>
      </c>
      <c r="G578" s="54">
        <v>51410.1</v>
      </c>
    </row>
    <row r="579" spans="1:7" ht="47.25">
      <c r="A579" s="51" t="s">
        <v>602</v>
      </c>
      <c r="B579" s="53"/>
      <c r="C579" s="53" t="s">
        <v>35</v>
      </c>
      <c r="D579" s="53" t="s">
        <v>17</v>
      </c>
      <c r="E579" s="52" t="s">
        <v>603</v>
      </c>
      <c r="F579" s="52"/>
      <c r="G579" s="54">
        <f>G580+G581</f>
        <v>5357.2</v>
      </c>
    </row>
    <row r="580" spans="1:7" ht="31.5">
      <c r="A580" s="51" t="s">
        <v>56</v>
      </c>
      <c r="B580" s="53"/>
      <c r="C580" s="53" t="s">
        <v>35</v>
      </c>
      <c r="D580" s="53" t="s">
        <v>17</v>
      </c>
      <c r="E580" s="52" t="s">
        <v>603</v>
      </c>
      <c r="F580" s="52">
        <v>200</v>
      </c>
      <c r="G580" s="54">
        <v>79.2</v>
      </c>
    </row>
    <row r="581" spans="1:7" ht="15.75">
      <c r="A581" s="51" t="s">
        <v>46</v>
      </c>
      <c r="B581" s="53"/>
      <c r="C581" s="53" t="s">
        <v>35</v>
      </c>
      <c r="D581" s="53" t="s">
        <v>17</v>
      </c>
      <c r="E581" s="52" t="s">
        <v>603</v>
      </c>
      <c r="F581" s="52">
        <v>300</v>
      </c>
      <c r="G581" s="54">
        <v>5278</v>
      </c>
    </row>
    <row r="582" spans="1:7" ht="78.75">
      <c r="A582" s="51" t="s">
        <v>604</v>
      </c>
      <c r="B582" s="53"/>
      <c r="C582" s="53" t="s">
        <v>35</v>
      </c>
      <c r="D582" s="53" t="s">
        <v>17</v>
      </c>
      <c r="E582" s="52" t="s">
        <v>605</v>
      </c>
      <c r="F582" s="52"/>
      <c r="G582" s="54">
        <f>G583+G584</f>
        <v>51036</v>
      </c>
    </row>
    <row r="583" spans="1:7" ht="31.5">
      <c r="A583" s="51" t="s">
        <v>56</v>
      </c>
      <c r="B583" s="53"/>
      <c r="C583" s="53" t="s">
        <v>35</v>
      </c>
      <c r="D583" s="53" t="s">
        <v>17</v>
      </c>
      <c r="E583" s="52" t="s">
        <v>605</v>
      </c>
      <c r="F583" s="52">
        <v>200</v>
      </c>
      <c r="G583" s="54">
        <v>753.9</v>
      </c>
    </row>
    <row r="584" spans="1:7" ht="15.75">
      <c r="A584" s="51" t="s">
        <v>46</v>
      </c>
      <c r="B584" s="53"/>
      <c r="C584" s="53" t="s">
        <v>35</v>
      </c>
      <c r="D584" s="53" t="s">
        <v>17</v>
      </c>
      <c r="E584" s="52" t="s">
        <v>605</v>
      </c>
      <c r="F584" s="52">
        <v>300</v>
      </c>
      <c r="G584" s="54">
        <v>50282.1</v>
      </c>
    </row>
    <row r="585" spans="1:7" ht="63">
      <c r="A585" s="51" t="s">
        <v>606</v>
      </c>
      <c r="B585" s="53"/>
      <c r="C585" s="53" t="s">
        <v>35</v>
      </c>
      <c r="D585" s="53" t="s">
        <v>17</v>
      </c>
      <c r="E585" s="52" t="s">
        <v>607</v>
      </c>
      <c r="F585" s="52"/>
      <c r="G585" s="54">
        <f>G586+G587</f>
        <v>10110.199999999999</v>
      </c>
    </row>
    <row r="586" spans="1:7" ht="31.5">
      <c r="A586" s="51" t="s">
        <v>56</v>
      </c>
      <c r="B586" s="53"/>
      <c r="C586" s="53" t="s">
        <v>35</v>
      </c>
      <c r="D586" s="53" t="s">
        <v>17</v>
      </c>
      <c r="E586" s="52" t="s">
        <v>607</v>
      </c>
      <c r="F586" s="52">
        <v>200</v>
      </c>
      <c r="G586" s="54">
        <v>149.9</v>
      </c>
    </row>
    <row r="587" spans="1:7" ht="15" customHeight="1">
      <c r="A587" s="51" t="s">
        <v>46</v>
      </c>
      <c r="B587" s="53"/>
      <c r="C587" s="53" t="s">
        <v>35</v>
      </c>
      <c r="D587" s="53" t="s">
        <v>17</v>
      </c>
      <c r="E587" s="52" t="s">
        <v>607</v>
      </c>
      <c r="F587" s="52">
        <v>300</v>
      </c>
      <c r="G587" s="54">
        <v>9960.3</v>
      </c>
    </row>
    <row r="588" spans="1:7" ht="31.5" hidden="1">
      <c r="A588" s="51" t="s">
        <v>88</v>
      </c>
      <c r="B588" s="53"/>
      <c r="C588" s="53" t="s">
        <v>35</v>
      </c>
      <c r="D588" s="53" t="s">
        <v>17</v>
      </c>
      <c r="E588" s="52" t="s">
        <v>20</v>
      </c>
      <c r="F588" s="52"/>
      <c r="G588" s="54">
        <f>SUM(G589)</f>
        <v>0</v>
      </c>
    </row>
    <row r="589" spans="1:7" ht="31.5" hidden="1">
      <c r="A589" s="51" t="s">
        <v>89</v>
      </c>
      <c r="B589" s="53"/>
      <c r="C589" s="53" t="s">
        <v>35</v>
      </c>
      <c r="D589" s="53" t="s">
        <v>17</v>
      </c>
      <c r="E589" s="52" t="s">
        <v>21</v>
      </c>
      <c r="F589" s="52"/>
      <c r="G589" s="54">
        <f>G590</f>
        <v>0</v>
      </c>
    </row>
    <row r="590" spans="1:7" ht="31.5" hidden="1">
      <c r="A590" s="51" t="s">
        <v>49</v>
      </c>
      <c r="B590" s="53"/>
      <c r="C590" s="53" t="s">
        <v>35</v>
      </c>
      <c r="D590" s="53" t="s">
        <v>17</v>
      </c>
      <c r="E590" s="52" t="s">
        <v>50</v>
      </c>
      <c r="F590" s="52"/>
      <c r="G590" s="54">
        <f>G591</f>
        <v>0</v>
      </c>
    </row>
    <row r="591" spans="1:7" ht="15.75" hidden="1">
      <c r="A591" s="51" t="s">
        <v>714</v>
      </c>
      <c r="B591" s="53"/>
      <c r="C591" s="53" t="s">
        <v>35</v>
      </c>
      <c r="D591" s="53" t="s">
        <v>17</v>
      </c>
      <c r="E591" s="52" t="s">
        <v>715</v>
      </c>
      <c r="F591" s="52"/>
      <c r="G591" s="54">
        <f>G592</f>
        <v>0</v>
      </c>
    </row>
    <row r="592" spans="1:7" ht="31.5" hidden="1">
      <c r="A592" s="51" t="s">
        <v>53</v>
      </c>
      <c r="B592" s="53"/>
      <c r="C592" s="53" t="s">
        <v>35</v>
      </c>
      <c r="D592" s="53" t="s">
        <v>17</v>
      </c>
      <c r="E592" s="52" t="s">
        <v>716</v>
      </c>
      <c r="F592" s="52"/>
      <c r="G592" s="54">
        <f>G593</f>
        <v>0</v>
      </c>
    </row>
    <row r="593" spans="1:7" ht="31.5" hidden="1">
      <c r="A593" s="51" t="s">
        <v>56</v>
      </c>
      <c r="B593" s="53"/>
      <c r="C593" s="53" t="s">
        <v>35</v>
      </c>
      <c r="D593" s="53" t="s">
        <v>17</v>
      </c>
      <c r="E593" s="52" t="s">
        <v>716</v>
      </c>
      <c r="F593" s="52">
        <v>200</v>
      </c>
      <c r="G593" s="54"/>
    </row>
    <row r="594" spans="1:7" ht="15.75">
      <c r="A594" s="51" t="s">
        <v>81</v>
      </c>
      <c r="B594" s="53"/>
      <c r="C594" s="53" t="s">
        <v>35</v>
      </c>
      <c r="D594" s="53" t="s">
        <v>82</v>
      </c>
      <c r="E594" s="52"/>
      <c r="F594" s="52"/>
      <c r="G594" s="54">
        <f>G611+G595</f>
        <v>30592.899999999998</v>
      </c>
    </row>
    <row r="595" spans="1:7" ht="31.5">
      <c r="A595" s="51" t="s">
        <v>554</v>
      </c>
      <c r="B595" s="53"/>
      <c r="C595" s="53" t="s">
        <v>35</v>
      </c>
      <c r="D595" s="53" t="s">
        <v>82</v>
      </c>
      <c r="E595" s="53" t="s">
        <v>540</v>
      </c>
      <c r="F595" s="52"/>
      <c r="G595" s="54">
        <f>G596+G601+G605</f>
        <v>26987.8</v>
      </c>
    </row>
    <row r="596" spans="1:7" ht="15.75">
      <c r="A596" s="51" t="s">
        <v>560</v>
      </c>
      <c r="B596" s="53"/>
      <c r="C596" s="53" t="s">
        <v>35</v>
      </c>
      <c r="D596" s="53" t="s">
        <v>82</v>
      </c>
      <c r="E596" s="53" t="s">
        <v>541</v>
      </c>
      <c r="F596" s="52"/>
      <c r="G596" s="54">
        <f>G597</f>
        <v>5528</v>
      </c>
    </row>
    <row r="597" spans="1:7" ht="78.75">
      <c r="A597" s="51" t="s">
        <v>317</v>
      </c>
      <c r="B597" s="53"/>
      <c r="C597" s="53" t="s">
        <v>35</v>
      </c>
      <c r="D597" s="53" t="s">
        <v>82</v>
      </c>
      <c r="E597" s="53" t="s">
        <v>542</v>
      </c>
      <c r="F597" s="52"/>
      <c r="G597" s="54">
        <f>G598</f>
        <v>5528</v>
      </c>
    </row>
    <row r="598" spans="1:7" ht="15.75">
      <c r="A598" s="51" t="s">
        <v>608</v>
      </c>
      <c r="B598" s="53"/>
      <c r="C598" s="53" t="s">
        <v>35</v>
      </c>
      <c r="D598" s="53" t="s">
        <v>82</v>
      </c>
      <c r="E598" s="52" t="s">
        <v>609</v>
      </c>
      <c r="F598" s="52"/>
      <c r="G598" s="54">
        <f>G599+G600</f>
        <v>5528</v>
      </c>
    </row>
    <row r="599" spans="1:7" ht="47.25">
      <c r="A599" s="51" t="s">
        <v>55</v>
      </c>
      <c r="B599" s="53"/>
      <c r="C599" s="53" t="s">
        <v>35</v>
      </c>
      <c r="D599" s="53" t="s">
        <v>82</v>
      </c>
      <c r="E599" s="52" t="s">
        <v>609</v>
      </c>
      <c r="F599" s="52">
        <v>100</v>
      </c>
      <c r="G599" s="54">
        <v>4948.6</v>
      </c>
    </row>
    <row r="600" spans="1:7" ht="31.5">
      <c r="A600" s="51" t="s">
        <v>56</v>
      </c>
      <c r="B600" s="53"/>
      <c r="C600" s="53" t="s">
        <v>35</v>
      </c>
      <c r="D600" s="53" t="s">
        <v>82</v>
      </c>
      <c r="E600" s="52" t="s">
        <v>609</v>
      </c>
      <c r="F600" s="52">
        <v>200</v>
      </c>
      <c r="G600" s="54">
        <v>579.4</v>
      </c>
    </row>
    <row r="601" spans="1:7" ht="31.5">
      <c r="A601" s="51" t="s">
        <v>563</v>
      </c>
      <c r="B601" s="53"/>
      <c r="C601" s="53" t="s">
        <v>35</v>
      </c>
      <c r="D601" s="53" t="s">
        <v>82</v>
      </c>
      <c r="E601" s="52" t="s">
        <v>564</v>
      </c>
      <c r="F601" s="52"/>
      <c r="G601" s="54">
        <f>G602</f>
        <v>4237.2</v>
      </c>
    </row>
    <row r="602" spans="1:7" ht="31.5">
      <c r="A602" s="51" t="s">
        <v>610</v>
      </c>
      <c r="B602" s="53"/>
      <c r="C602" s="53" t="s">
        <v>35</v>
      </c>
      <c r="D602" s="53" t="s">
        <v>82</v>
      </c>
      <c r="E602" s="52" t="s">
        <v>611</v>
      </c>
      <c r="F602" s="52"/>
      <c r="G602" s="54">
        <f>G603+G604</f>
        <v>4237.2</v>
      </c>
    </row>
    <row r="603" spans="1:7" ht="47.25">
      <c r="A603" s="51" t="s">
        <v>55</v>
      </c>
      <c r="B603" s="53"/>
      <c r="C603" s="53" t="s">
        <v>35</v>
      </c>
      <c r="D603" s="53" t="s">
        <v>82</v>
      </c>
      <c r="E603" s="52" t="s">
        <v>611</v>
      </c>
      <c r="F603" s="52">
        <v>100</v>
      </c>
      <c r="G603" s="54">
        <v>3602.4</v>
      </c>
    </row>
    <row r="604" spans="1:7" ht="31.5">
      <c r="A604" s="51" t="s">
        <v>56</v>
      </c>
      <c r="B604" s="53"/>
      <c r="C604" s="53" t="s">
        <v>35</v>
      </c>
      <c r="D604" s="53" t="s">
        <v>82</v>
      </c>
      <c r="E604" s="52" t="s">
        <v>611</v>
      </c>
      <c r="F604" s="52">
        <v>200</v>
      </c>
      <c r="G604" s="54">
        <v>634.8</v>
      </c>
    </row>
    <row r="605" spans="1:7" ht="31.5">
      <c r="A605" s="51" t="s">
        <v>555</v>
      </c>
      <c r="B605" s="53"/>
      <c r="C605" s="53" t="s">
        <v>35</v>
      </c>
      <c r="D605" s="53" t="s">
        <v>82</v>
      </c>
      <c r="E605" s="53" t="s">
        <v>556</v>
      </c>
      <c r="F605" s="52"/>
      <c r="G605" s="54">
        <f>G606</f>
        <v>17222.6</v>
      </c>
    </row>
    <row r="606" spans="1:7" ht="47.25">
      <c r="A606" s="51" t="s">
        <v>612</v>
      </c>
      <c r="B606" s="53"/>
      <c r="C606" s="53" t="s">
        <v>35</v>
      </c>
      <c r="D606" s="53" t="s">
        <v>82</v>
      </c>
      <c r="E606" s="52" t="s">
        <v>613</v>
      </c>
      <c r="F606" s="52"/>
      <c r="G606" s="54">
        <f>G607</f>
        <v>17222.6</v>
      </c>
    </row>
    <row r="607" spans="1:7" ht="31.5">
      <c r="A607" s="51" t="s">
        <v>614</v>
      </c>
      <c r="B607" s="53"/>
      <c r="C607" s="53" t="s">
        <v>35</v>
      </c>
      <c r="D607" s="53" t="s">
        <v>82</v>
      </c>
      <c r="E607" s="52" t="s">
        <v>615</v>
      </c>
      <c r="F607" s="52"/>
      <c r="G607" s="54">
        <f>G608+G609+G610</f>
        <v>17222.6</v>
      </c>
    </row>
    <row r="608" spans="1:7" ht="47.25">
      <c r="A608" s="51" t="s">
        <v>55</v>
      </c>
      <c r="B608" s="53"/>
      <c r="C608" s="53" t="s">
        <v>35</v>
      </c>
      <c r="D608" s="53" t="s">
        <v>82</v>
      </c>
      <c r="E608" s="52" t="s">
        <v>615</v>
      </c>
      <c r="F608" s="52">
        <v>100</v>
      </c>
      <c r="G608" s="54">
        <v>14583.1</v>
      </c>
    </row>
    <row r="609" spans="1:7" ht="31.5">
      <c r="A609" s="51" t="s">
        <v>56</v>
      </c>
      <c r="B609" s="53"/>
      <c r="C609" s="53" t="s">
        <v>35</v>
      </c>
      <c r="D609" s="53" t="s">
        <v>82</v>
      </c>
      <c r="E609" s="52" t="s">
        <v>615</v>
      </c>
      <c r="F609" s="52">
        <v>200</v>
      </c>
      <c r="G609" s="54">
        <v>2321.2</v>
      </c>
    </row>
    <row r="610" spans="1:7" ht="15.75">
      <c r="A610" s="51" t="s">
        <v>26</v>
      </c>
      <c r="B610" s="53"/>
      <c r="C610" s="53" t="s">
        <v>35</v>
      </c>
      <c r="D610" s="53" t="s">
        <v>82</v>
      </c>
      <c r="E610" s="52" t="s">
        <v>615</v>
      </c>
      <c r="F610" s="52">
        <v>800</v>
      </c>
      <c r="G610" s="54">
        <v>318.3</v>
      </c>
    </row>
    <row r="611" spans="1:7" ht="31.5">
      <c r="A611" s="51" t="s">
        <v>88</v>
      </c>
      <c r="B611" s="53"/>
      <c r="C611" s="53" t="s">
        <v>35</v>
      </c>
      <c r="D611" s="53" t="s">
        <v>82</v>
      </c>
      <c r="E611" s="52" t="s">
        <v>20</v>
      </c>
      <c r="F611" s="52"/>
      <c r="G611" s="54">
        <f>G612</f>
        <v>3605.1</v>
      </c>
    </row>
    <row r="612" spans="1:7" ht="47.25">
      <c r="A612" s="51" t="s">
        <v>94</v>
      </c>
      <c r="B612" s="53"/>
      <c r="C612" s="53" t="s">
        <v>35</v>
      </c>
      <c r="D612" s="53" t="s">
        <v>82</v>
      </c>
      <c r="E612" s="52" t="s">
        <v>83</v>
      </c>
      <c r="F612" s="52"/>
      <c r="G612" s="54">
        <f>G613</f>
        <v>3605.1</v>
      </c>
    </row>
    <row r="613" spans="1:7" ht="31.5">
      <c r="A613" s="51" t="s">
        <v>84</v>
      </c>
      <c r="B613" s="53"/>
      <c r="C613" s="53" t="s">
        <v>35</v>
      </c>
      <c r="D613" s="53" t="s">
        <v>82</v>
      </c>
      <c r="E613" s="52" t="s">
        <v>85</v>
      </c>
      <c r="F613" s="52"/>
      <c r="G613" s="54">
        <f>G614</f>
        <v>3605.1</v>
      </c>
    </row>
    <row r="614" spans="1:7" ht="15.75">
      <c r="A614" s="51" t="s">
        <v>86</v>
      </c>
      <c r="B614" s="53"/>
      <c r="C614" s="53" t="s">
        <v>35</v>
      </c>
      <c r="D614" s="53" t="s">
        <v>82</v>
      </c>
      <c r="E614" s="52" t="s">
        <v>87</v>
      </c>
      <c r="F614" s="52"/>
      <c r="G614" s="54">
        <f>G615+G616</f>
        <v>3605.1</v>
      </c>
    </row>
    <row r="615" spans="1:7" ht="47.25">
      <c r="A615" s="51" t="s">
        <v>55</v>
      </c>
      <c r="B615" s="53"/>
      <c r="C615" s="53" t="s">
        <v>35</v>
      </c>
      <c r="D615" s="53" t="s">
        <v>82</v>
      </c>
      <c r="E615" s="52" t="s">
        <v>87</v>
      </c>
      <c r="F615" s="52">
        <v>100</v>
      </c>
      <c r="G615" s="54">
        <v>3593.1</v>
      </c>
    </row>
    <row r="616" spans="1:7" ht="31.5">
      <c r="A616" s="51" t="s">
        <v>56</v>
      </c>
      <c r="B616" s="53"/>
      <c r="C616" s="53" t="s">
        <v>35</v>
      </c>
      <c r="D616" s="53" t="s">
        <v>82</v>
      </c>
      <c r="E616" s="52" t="s">
        <v>87</v>
      </c>
      <c r="F616" s="52">
        <v>200</v>
      </c>
      <c r="G616" s="54">
        <v>12</v>
      </c>
    </row>
    <row r="617" spans="1:7" s="122" customFormat="1" ht="31.5">
      <c r="A617" s="119" t="s">
        <v>676</v>
      </c>
      <c r="B617" s="96" t="s">
        <v>321</v>
      </c>
      <c r="C617" s="120"/>
      <c r="D617" s="120"/>
      <c r="E617" s="120"/>
      <c r="F617" s="120"/>
      <c r="G617" s="121">
        <f>G632+G618+G625</f>
        <v>109384.2</v>
      </c>
    </row>
    <row r="618" spans="1:7" s="122" customFormat="1" ht="15.75">
      <c r="A618" s="166" t="s">
        <v>124</v>
      </c>
      <c r="B618" s="80"/>
      <c r="C618" s="80" t="s">
        <v>125</v>
      </c>
      <c r="D618" s="80"/>
      <c r="E618" s="80"/>
      <c r="F618" s="80"/>
      <c r="G618" s="64">
        <f aca="true" t="shared" si="1" ref="G618:G623">SUM(G619)</f>
        <v>326</v>
      </c>
    </row>
    <row r="619" spans="1:7" s="122" customFormat="1" ht="15.75">
      <c r="A619" s="166" t="s">
        <v>488</v>
      </c>
      <c r="B619" s="80"/>
      <c r="C619" s="80" t="s">
        <v>125</v>
      </c>
      <c r="D619" s="80" t="s">
        <v>125</v>
      </c>
      <c r="E619" s="52"/>
      <c r="F619" s="52"/>
      <c r="G619" s="64">
        <f t="shared" si="1"/>
        <v>326</v>
      </c>
    </row>
    <row r="620" spans="1:7" s="122" customFormat="1" ht="31.5">
      <c r="A620" s="166" t="s">
        <v>444</v>
      </c>
      <c r="B620" s="167"/>
      <c r="C620" s="167" t="s">
        <v>125</v>
      </c>
      <c r="D620" s="167" t="s">
        <v>125</v>
      </c>
      <c r="E620" s="52" t="s">
        <v>445</v>
      </c>
      <c r="F620" s="52"/>
      <c r="G620" s="64">
        <f t="shared" si="1"/>
        <v>326</v>
      </c>
    </row>
    <row r="621" spans="1:7" s="122" customFormat="1" ht="31.5">
      <c r="A621" s="166" t="s">
        <v>501</v>
      </c>
      <c r="B621" s="80"/>
      <c r="C621" s="80" t="s">
        <v>125</v>
      </c>
      <c r="D621" s="80" t="s">
        <v>125</v>
      </c>
      <c r="E621" s="80" t="s">
        <v>502</v>
      </c>
      <c r="F621" s="80"/>
      <c r="G621" s="64">
        <f t="shared" si="1"/>
        <v>326</v>
      </c>
    </row>
    <row r="622" spans="1:7" s="122" customFormat="1" ht="15.75">
      <c r="A622" s="166" t="s">
        <v>39</v>
      </c>
      <c r="B622" s="80"/>
      <c r="C622" s="80" t="s">
        <v>125</v>
      </c>
      <c r="D622" s="80" t="s">
        <v>125</v>
      </c>
      <c r="E622" s="80" t="s">
        <v>503</v>
      </c>
      <c r="F622" s="80"/>
      <c r="G622" s="64">
        <f t="shared" si="1"/>
        <v>326</v>
      </c>
    </row>
    <row r="623" spans="1:7" s="122" customFormat="1" ht="31.5">
      <c r="A623" s="166" t="s">
        <v>504</v>
      </c>
      <c r="B623" s="52"/>
      <c r="C623" s="80" t="s">
        <v>125</v>
      </c>
      <c r="D623" s="80" t="s">
        <v>125</v>
      </c>
      <c r="E623" s="80" t="s">
        <v>505</v>
      </c>
      <c r="F623" s="80"/>
      <c r="G623" s="64">
        <f t="shared" si="1"/>
        <v>326</v>
      </c>
    </row>
    <row r="624" spans="1:7" s="122" customFormat="1" ht="31.5">
      <c r="A624" s="166" t="s">
        <v>283</v>
      </c>
      <c r="B624" s="96"/>
      <c r="C624" s="80" t="s">
        <v>125</v>
      </c>
      <c r="D624" s="80" t="s">
        <v>125</v>
      </c>
      <c r="E624" s="80" t="s">
        <v>505</v>
      </c>
      <c r="F624" s="86">
        <v>600</v>
      </c>
      <c r="G624" s="64">
        <v>326</v>
      </c>
    </row>
    <row r="625" spans="1:7" s="122" customFormat="1" ht="15.75">
      <c r="A625" s="166" t="s">
        <v>34</v>
      </c>
      <c r="B625" s="167"/>
      <c r="C625" s="167" t="s">
        <v>35</v>
      </c>
      <c r="D625" s="167" t="s">
        <v>36</v>
      </c>
      <c r="E625" s="52"/>
      <c r="F625" s="52"/>
      <c r="G625" s="54">
        <f aca="true" t="shared" si="2" ref="G625:G630">SUM(G626)</f>
        <v>350</v>
      </c>
    </row>
    <row r="626" spans="1:7" s="122" customFormat="1" ht="15.75">
      <c r="A626" s="79" t="s">
        <v>81</v>
      </c>
      <c r="B626" s="137"/>
      <c r="C626" s="138" t="s">
        <v>35</v>
      </c>
      <c r="D626" s="138" t="s">
        <v>82</v>
      </c>
      <c r="E626" s="138"/>
      <c r="F626" s="139"/>
      <c r="G626" s="211">
        <f t="shared" si="2"/>
        <v>350</v>
      </c>
    </row>
    <row r="627" spans="1:7" s="122" customFormat="1" ht="31.5">
      <c r="A627" s="166" t="s">
        <v>88</v>
      </c>
      <c r="B627" s="137"/>
      <c r="C627" s="138" t="s">
        <v>35</v>
      </c>
      <c r="D627" s="138" t="s">
        <v>82</v>
      </c>
      <c r="E627" s="138" t="s">
        <v>20</v>
      </c>
      <c r="F627" s="139"/>
      <c r="G627" s="211">
        <f t="shared" si="2"/>
        <v>350</v>
      </c>
    </row>
    <row r="628" spans="1:7" s="122" customFormat="1" ht="15.75">
      <c r="A628" s="166" t="s">
        <v>92</v>
      </c>
      <c r="B628" s="137"/>
      <c r="C628" s="138" t="s">
        <v>35</v>
      </c>
      <c r="D628" s="138" t="s">
        <v>82</v>
      </c>
      <c r="E628" s="138" t="s">
        <v>72</v>
      </c>
      <c r="F628" s="139"/>
      <c r="G628" s="211">
        <f t="shared" si="2"/>
        <v>350</v>
      </c>
    </row>
    <row r="629" spans="1:7" s="122" customFormat="1" ht="15.75">
      <c r="A629" s="166" t="s">
        <v>39</v>
      </c>
      <c r="B629" s="137"/>
      <c r="C629" s="138" t="s">
        <v>35</v>
      </c>
      <c r="D629" s="138" t="s">
        <v>82</v>
      </c>
      <c r="E629" s="138" t="s">
        <v>678</v>
      </c>
      <c r="F629" s="139"/>
      <c r="G629" s="211">
        <f t="shared" si="2"/>
        <v>350</v>
      </c>
    </row>
    <row r="630" spans="1:7" s="122" customFormat="1" ht="15.75">
      <c r="A630" s="166" t="s">
        <v>41</v>
      </c>
      <c r="B630" s="137"/>
      <c r="C630" s="138" t="s">
        <v>35</v>
      </c>
      <c r="D630" s="138" t="s">
        <v>82</v>
      </c>
      <c r="E630" s="138" t="s">
        <v>679</v>
      </c>
      <c r="F630" s="139"/>
      <c r="G630" s="211">
        <f t="shared" si="2"/>
        <v>350</v>
      </c>
    </row>
    <row r="631" spans="1:7" s="122" customFormat="1" ht="31.5">
      <c r="A631" s="77" t="s">
        <v>134</v>
      </c>
      <c r="B631" s="137"/>
      <c r="C631" s="138" t="s">
        <v>35</v>
      </c>
      <c r="D631" s="138" t="s">
        <v>82</v>
      </c>
      <c r="E631" s="138" t="s">
        <v>679</v>
      </c>
      <c r="F631" s="139">
        <v>600</v>
      </c>
      <c r="G631" s="211">
        <v>350</v>
      </c>
    </row>
    <row r="632" spans="1:7" ht="15.75">
      <c r="A632" s="51" t="s">
        <v>322</v>
      </c>
      <c r="B632" s="80"/>
      <c r="C632" s="80" t="s">
        <v>189</v>
      </c>
      <c r="D632" s="80"/>
      <c r="E632" s="80"/>
      <c r="F632" s="80"/>
      <c r="G632" s="64">
        <f>+G633+G680+G692</f>
        <v>108708.2</v>
      </c>
    </row>
    <row r="633" spans="1:7" ht="15.75">
      <c r="A633" s="51" t="s">
        <v>323</v>
      </c>
      <c r="B633" s="80"/>
      <c r="C633" s="80" t="s">
        <v>189</v>
      </c>
      <c r="D633" s="80" t="s">
        <v>38</v>
      </c>
      <c r="E633" s="80"/>
      <c r="F633" s="80"/>
      <c r="G633" s="64">
        <f>+G634</f>
        <v>84568.40000000001</v>
      </c>
    </row>
    <row r="634" spans="1:7" ht="31.5">
      <c r="A634" s="51" t="s">
        <v>324</v>
      </c>
      <c r="B634" s="80"/>
      <c r="C634" s="80" t="s">
        <v>189</v>
      </c>
      <c r="D634" s="80" t="s">
        <v>38</v>
      </c>
      <c r="E634" s="80" t="s">
        <v>325</v>
      </c>
      <c r="F634" s="80"/>
      <c r="G634" s="64">
        <f>G635+G641+G655+G659</f>
        <v>84568.40000000001</v>
      </c>
    </row>
    <row r="635" spans="1:7" ht="31.5">
      <c r="A635" s="51" t="s">
        <v>426</v>
      </c>
      <c r="B635" s="80"/>
      <c r="C635" s="80" t="s">
        <v>189</v>
      </c>
      <c r="D635" s="80" t="s">
        <v>38</v>
      </c>
      <c r="E635" s="80" t="s">
        <v>326</v>
      </c>
      <c r="F635" s="80"/>
      <c r="G635" s="64">
        <f>G636</f>
        <v>5751.1</v>
      </c>
    </row>
    <row r="636" spans="1:7" ht="31.5">
      <c r="A636" s="51" t="s">
        <v>49</v>
      </c>
      <c r="B636" s="80"/>
      <c r="C636" s="80" t="s">
        <v>189</v>
      </c>
      <c r="D636" s="80" t="s">
        <v>38</v>
      </c>
      <c r="E636" s="80" t="s">
        <v>327</v>
      </c>
      <c r="F636" s="80"/>
      <c r="G636" s="64">
        <f>G637</f>
        <v>5751.1</v>
      </c>
    </row>
    <row r="637" spans="1:7" ht="15.75">
      <c r="A637" s="51" t="s">
        <v>328</v>
      </c>
      <c r="B637" s="80"/>
      <c r="C637" s="80" t="s">
        <v>189</v>
      </c>
      <c r="D637" s="80" t="s">
        <v>38</v>
      </c>
      <c r="E637" s="80" t="s">
        <v>329</v>
      </c>
      <c r="F637" s="80"/>
      <c r="G637" s="64">
        <f>G638+G639+G640</f>
        <v>5751.1</v>
      </c>
    </row>
    <row r="638" spans="1:7" ht="47.25">
      <c r="A638" s="70" t="s">
        <v>55</v>
      </c>
      <c r="B638" s="80"/>
      <c r="C638" s="80" t="s">
        <v>189</v>
      </c>
      <c r="D638" s="80" t="s">
        <v>38</v>
      </c>
      <c r="E638" s="80" t="s">
        <v>329</v>
      </c>
      <c r="F638" s="80" t="s">
        <v>99</v>
      </c>
      <c r="G638" s="64">
        <v>5023.2</v>
      </c>
    </row>
    <row r="639" spans="1:7" ht="31.5">
      <c r="A639" s="51" t="s">
        <v>56</v>
      </c>
      <c r="B639" s="80"/>
      <c r="C639" s="80" t="s">
        <v>189</v>
      </c>
      <c r="D639" s="80" t="s">
        <v>38</v>
      </c>
      <c r="E639" s="80" t="s">
        <v>329</v>
      </c>
      <c r="F639" s="80" t="s">
        <v>101</v>
      </c>
      <c r="G639" s="54">
        <v>726.1</v>
      </c>
    </row>
    <row r="640" spans="1:7" ht="15.75">
      <c r="A640" s="51" t="s">
        <v>26</v>
      </c>
      <c r="B640" s="80"/>
      <c r="C640" s="80" t="s">
        <v>189</v>
      </c>
      <c r="D640" s="80" t="s">
        <v>38</v>
      </c>
      <c r="E640" s="80" t="s">
        <v>329</v>
      </c>
      <c r="F640" s="80" t="s">
        <v>106</v>
      </c>
      <c r="G640" s="64">
        <v>1.8</v>
      </c>
    </row>
    <row r="641" spans="1:7" ht="31.5">
      <c r="A641" s="51" t="s">
        <v>342</v>
      </c>
      <c r="B641" s="80"/>
      <c r="C641" s="80" t="s">
        <v>189</v>
      </c>
      <c r="D641" s="80" t="s">
        <v>38</v>
      </c>
      <c r="E641" s="80" t="s">
        <v>330</v>
      </c>
      <c r="F641" s="80"/>
      <c r="G641" s="64">
        <f>G642</f>
        <v>5733</v>
      </c>
    </row>
    <row r="642" spans="1:7" ht="15.75">
      <c r="A642" s="51" t="s">
        <v>39</v>
      </c>
      <c r="B642" s="80"/>
      <c r="C642" s="80" t="s">
        <v>189</v>
      </c>
      <c r="D642" s="80" t="s">
        <v>38</v>
      </c>
      <c r="E642" s="80" t="s">
        <v>427</v>
      </c>
      <c r="F642" s="80"/>
      <c r="G642" s="64">
        <f>G643+G649+G653+G647+G651</f>
        <v>5733</v>
      </c>
    </row>
    <row r="643" spans="1:7" ht="15.75">
      <c r="A643" s="51" t="s">
        <v>328</v>
      </c>
      <c r="B643" s="80"/>
      <c r="C643" s="80" t="s">
        <v>189</v>
      </c>
      <c r="D643" s="80" t="s">
        <v>38</v>
      </c>
      <c r="E643" s="80" t="s">
        <v>428</v>
      </c>
      <c r="F643" s="80"/>
      <c r="G643" s="64">
        <f>+G644+G645+G646</f>
        <v>3424</v>
      </c>
    </row>
    <row r="644" spans="1:7" ht="59.25" customHeight="1">
      <c r="A644" s="70" t="s">
        <v>55</v>
      </c>
      <c r="B644" s="80"/>
      <c r="C644" s="80" t="s">
        <v>189</v>
      </c>
      <c r="D644" s="80" t="s">
        <v>38</v>
      </c>
      <c r="E644" s="80" t="s">
        <v>428</v>
      </c>
      <c r="F644" s="80" t="s">
        <v>99</v>
      </c>
      <c r="G644" s="64">
        <v>1484</v>
      </c>
    </row>
    <row r="645" spans="1:7" ht="30.75" customHeight="1">
      <c r="A645" s="51" t="s">
        <v>56</v>
      </c>
      <c r="B645" s="80"/>
      <c r="C645" s="80" t="s">
        <v>189</v>
      </c>
      <c r="D645" s="80" t="s">
        <v>38</v>
      </c>
      <c r="E645" s="80" t="s">
        <v>428</v>
      </c>
      <c r="F645" s="80" t="s">
        <v>101</v>
      </c>
      <c r="G645" s="64">
        <v>1820</v>
      </c>
    </row>
    <row r="646" spans="1:7" ht="31.5">
      <c r="A646" s="51" t="s">
        <v>283</v>
      </c>
      <c r="B646" s="80"/>
      <c r="C646" s="80" t="s">
        <v>189</v>
      </c>
      <c r="D646" s="80" t="s">
        <v>38</v>
      </c>
      <c r="E646" s="80" t="s">
        <v>428</v>
      </c>
      <c r="F646" s="80" t="s">
        <v>135</v>
      </c>
      <c r="G646" s="64">
        <v>120</v>
      </c>
    </row>
    <row r="647" spans="1:7" ht="47.25">
      <c r="A647" s="51" t="s">
        <v>683</v>
      </c>
      <c r="B647" s="80"/>
      <c r="C647" s="80" t="s">
        <v>189</v>
      </c>
      <c r="D647" s="80" t="s">
        <v>38</v>
      </c>
      <c r="E647" s="80" t="s">
        <v>684</v>
      </c>
      <c r="F647" s="80"/>
      <c r="G647" s="64">
        <f>SUM(G648)</f>
        <v>1760</v>
      </c>
    </row>
    <row r="648" spans="1:7" ht="31.5">
      <c r="A648" s="51" t="s">
        <v>283</v>
      </c>
      <c r="B648" s="80"/>
      <c r="C648" s="80" t="s">
        <v>189</v>
      </c>
      <c r="D648" s="80" t="s">
        <v>38</v>
      </c>
      <c r="E648" s="80" t="s">
        <v>684</v>
      </c>
      <c r="F648" s="80" t="s">
        <v>135</v>
      </c>
      <c r="G648" s="64">
        <v>1760</v>
      </c>
    </row>
    <row r="649" spans="1:7" ht="31.5">
      <c r="A649" s="51" t="s">
        <v>338</v>
      </c>
      <c r="B649" s="80"/>
      <c r="C649" s="80" t="s">
        <v>189</v>
      </c>
      <c r="D649" s="80" t="s">
        <v>38</v>
      </c>
      <c r="E649" s="80" t="s">
        <v>429</v>
      </c>
      <c r="F649" s="80"/>
      <c r="G649" s="64">
        <f>G650</f>
        <v>499</v>
      </c>
    </row>
    <row r="650" spans="1:7" ht="31.5">
      <c r="A650" s="51" t="s">
        <v>56</v>
      </c>
      <c r="B650" s="80"/>
      <c r="C650" s="80" t="s">
        <v>189</v>
      </c>
      <c r="D650" s="80" t="s">
        <v>38</v>
      </c>
      <c r="E650" s="80" t="s">
        <v>429</v>
      </c>
      <c r="F650" s="80" t="s">
        <v>101</v>
      </c>
      <c r="G650" s="64">
        <v>499</v>
      </c>
    </row>
    <row r="651" spans="1:7" ht="63">
      <c r="A651" s="102" t="s">
        <v>685</v>
      </c>
      <c r="B651" s="57"/>
      <c r="C651" s="57" t="s">
        <v>189</v>
      </c>
      <c r="D651" s="57" t="s">
        <v>38</v>
      </c>
      <c r="E651" s="57" t="s">
        <v>686</v>
      </c>
      <c r="F651" s="57"/>
      <c r="G651" s="60">
        <f>G652</f>
        <v>50</v>
      </c>
    </row>
    <row r="652" spans="1:7" ht="31.5">
      <c r="A652" s="102" t="s">
        <v>283</v>
      </c>
      <c r="B652" s="57"/>
      <c r="C652" s="57" t="s">
        <v>189</v>
      </c>
      <c r="D652" s="57" t="s">
        <v>38</v>
      </c>
      <c r="E652" s="57" t="s">
        <v>686</v>
      </c>
      <c r="F652" s="57" t="s">
        <v>135</v>
      </c>
      <c r="G652" s="60">
        <v>50</v>
      </c>
    </row>
    <row r="653" spans="1:7" ht="47.25" hidden="1">
      <c r="A653" s="51" t="s">
        <v>339</v>
      </c>
      <c r="B653" s="80"/>
      <c r="C653" s="80" t="s">
        <v>189</v>
      </c>
      <c r="D653" s="80" t="s">
        <v>38</v>
      </c>
      <c r="E653" s="80" t="s">
        <v>430</v>
      </c>
      <c r="F653" s="80"/>
      <c r="G653" s="64">
        <f>G654</f>
        <v>0</v>
      </c>
    </row>
    <row r="654" spans="1:7" ht="31.5" hidden="1">
      <c r="A654" s="51" t="s">
        <v>283</v>
      </c>
      <c r="B654" s="80"/>
      <c r="C654" s="80" t="s">
        <v>189</v>
      </c>
      <c r="D654" s="80" t="s">
        <v>38</v>
      </c>
      <c r="E654" s="80" t="s">
        <v>430</v>
      </c>
      <c r="F654" s="80" t="s">
        <v>135</v>
      </c>
      <c r="G654" s="64"/>
    </row>
    <row r="655" spans="1:7" ht="63">
      <c r="A655" s="51" t="s">
        <v>340</v>
      </c>
      <c r="B655" s="80"/>
      <c r="C655" s="80" t="s">
        <v>189</v>
      </c>
      <c r="D655" s="80" t="s">
        <v>38</v>
      </c>
      <c r="E655" s="86" t="s">
        <v>333</v>
      </c>
      <c r="F655" s="80"/>
      <c r="G655" s="64">
        <f>G656</f>
        <v>70957.3</v>
      </c>
    </row>
    <row r="656" spans="1:7" ht="31.5">
      <c r="A656" s="51" t="s">
        <v>331</v>
      </c>
      <c r="B656" s="80"/>
      <c r="C656" s="80" t="s">
        <v>189</v>
      </c>
      <c r="D656" s="80" t="s">
        <v>38</v>
      </c>
      <c r="E656" s="86" t="s">
        <v>431</v>
      </c>
      <c r="F656" s="80"/>
      <c r="G656" s="64">
        <f>G657</f>
        <v>70957.3</v>
      </c>
    </row>
    <row r="657" spans="1:7" ht="15.75">
      <c r="A657" s="51" t="s">
        <v>328</v>
      </c>
      <c r="B657" s="80"/>
      <c r="C657" s="80" t="s">
        <v>189</v>
      </c>
      <c r="D657" s="80" t="s">
        <v>38</v>
      </c>
      <c r="E657" s="86" t="s">
        <v>432</v>
      </c>
      <c r="F657" s="80"/>
      <c r="G657" s="64">
        <f>G658</f>
        <v>70957.3</v>
      </c>
    </row>
    <row r="658" spans="1:7" ht="31.5">
      <c r="A658" s="51" t="s">
        <v>76</v>
      </c>
      <c r="B658" s="80"/>
      <c r="C658" s="80" t="s">
        <v>189</v>
      </c>
      <c r="D658" s="80" t="s">
        <v>38</v>
      </c>
      <c r="E658" s="86" t="s">
        <v>432</v>
      </c>
      <c r="F658" s="80" t="s">
        <v>135</v>
      </c>
      <c r="G658" s="64">
        <v>70957.3</v>
      </c>
    </row>
    <row r="659" spans="1:7" ht="31.5">
      <c r="A659" s="51" t="s">
        <v>341</v>
      </c>
      <c r="B659" s="80"/>
      <c r="C659" s="80" t="s">
        <v>189</v>
      </c>
      <c r="D659" s="80" t="s">
        <v>38</v>
      </c>
      <c r="E659" s="80" t="s">
        <v>337</v>
      </c>
      <c r="F659" s="80"/>
      <c r="G659" s="64">
        <f>SUM(G660)</f>
        <v>2127</v>
      </c>
    </row>
    <row r="660" spans="1:7" ht="15.75">
      <c r="A660" s="51" t="s">
        <v>166</v>
      </c>
      <c r="B660" s="80"/>
      <c r="C660" s="80" t="s">
        <v>189</v>
      </c>
      <c r="D660" s="80" t="s">
        <v>38</v>
      </c>
      <c r="E660" s="80" t="s">
        <v>433</v>
      </c>
      <c r="F660" s="80"/>
      <c r="G660" s="64">
        <f>SUM(G661+G669+G672+G675)</f>
        <v>2127</v>
      </c>
    </row>
    <row r="661" spans="1:7" ht="31.5">
      <c r="A661" s="51" t="s">
        <v>527</v>
      </c>
      <c r="B661" s="80"/>
      <c r="C661" s="80" t="s">
        <v>189</v>
      </c>
      <c r="D661" s="80" t="s">
        <v>38</v>
      </c>
      <c r="E661" s="80" t="s">
        <v>528</v>
      </c>
      <c r="F661" s="80"/>
      <c r="G661" s="64">
        <f>G662+G664</f>
        <v>1000</v>
      </c>
    </row>
    <row r="662" spans="1:7" ht="15.75" hidden="1">
      <c r="A662" s="51" t="s">
        <v>328</v>
      </c>
      <c r="B662" s="80"/>
      <c r="C662" s="80" t="s">
        <v>189</v>
      </c>
      <c r="D662" s="80" t="s">
        <v>38</v>
      </c>
      <c r="E662" s="80" t="s">
        <v>529</v>
      </c>
      <c r="F662" s="80"/>
      <c r="G662" s="64">
        <f>G663</f>
        <v>0</v>
      </c>
    </row>
    <row r="663" spans="1:7" ht="29.25" customHeight="1" hidden="1">
      <c r="A663" s="51" t="s">
        <v>76</v>
      </c>
      <c r="B663" s="80"/>
      <c r="C663" s="80" t="s">
        <v>189</v>
      </c>
      <c r="D663" s="80" t="s">
        <v>38</v>
      </c>
      <c r="E663" s="80" t="s">
        <v>529</v>
      </c>
      <c r="F663" s="80" t="s">
        <v>135</v>
      </c>
      <c r="G663" s="64"/>
    </row>
    <row r="664" spans="1:7" ht="51.75" customHeight="1">
      <c r="A664" s="51" t="s">
        <v>683</v>
      </c>
      <c r="B664" s="80"/>
      <c r="C664" s="80" t="s">
        <v>189</v>
      </c>
      <c r="D664" s="80" t="s">
        <v>38</v>
      </c>
      <c r="E664" s="80" t="s">
        <v>687</v>
      </c>
      <c r="F664" s="80"/>
      <c r="G664" s="64">
        <f>SUM(G665)</f>
        <v>1000</v>
      </c>
    </row>
    <row r="665" spans="1:7" ht="29.25" customHeight="1">
      <c r="A665" s="51" t="s">
        <v>283</v>
      </c>
      <c r="B665" s="80"/>
      <c r="C665" s="80" t="s">
        <v>189</v>
      </c>
      <c r="D665" s="80" t="s">
        <v>38</v>
      </c>
      <c r="E665" s="80" t="s">
        <v>687</v>
      </c>
      <c r="F665" s="80" t="s">
        <v>135</v>
      </c>
      <c r="G665" s="64">
        <v>1000</v>
      </c>
    </row>
    <row r="666" spans="1:7" ht="29.25" customHeight="1" hidden="1">
      <c r="A666" s="51"/>
      <c r="B666" s="80"/>
      <c r="C666" s="80"/>
      <c r="D666" s="80"/>
      <c r="E666" s="80"/>
      <c r="F666" s="80"/>
      <c r="G666" s="64"/>
    </row>
    <row r="667" spans="1:7" ht="29.25" customHeight="1" hidden="1">
      <c r="A667" s="51"/>
      <c r="B667" s="80"/>
      <c r="C667" s="80"/>
      <c r="D667" s="80"/>
      <c r="E667" s="80"/>
      <c r="F667" s="80"/>
      <c r="G667" s="64"/>
    </row>
    <row r="668" spans="1:7" ht="29.25" customHeight="1" hidden="1">
      <c r="A668" s="51"/>
      <c r="B668" s="80"/>
      <c r="C668" s="80"/>
      <c r="D668" s="80"/>
      <c r="E668" s="80"/>
      <c r="F668" s="80"/>
      <c r="G668" s="64"/>
    </row>
    <row r="669" spans="1:7" ht="23.25" customHeight="1">
      <c r="A669" s="51" t="s">
        <v>334</v>
      </c>
      <c r="B669" s="80"/>
      <c r="C669" s="80" t="s">
        <v>189</v>
      </c>
      <c r="D669" s="80" t="s">
        <v>38</v>
      </c>
      <c r="E669" s="80" t="s">
        <v>434</v>
      </c>
      <c r="F669" s="80"/>
      <c r="G669" s="64">
        <f>G670</f>
        <v>657</v>
      </c>
    </row>
    <row r="670" spans="1:7" ht="15.75">
      <c r="A670" s="51" t="s">
        <v>328</v>
      </c>
      <c r="B670" s="80"/>
      <c r="C670" s="80" t="s">
        <v>189</v>
      </c>
      <c r="D670" s="80" t="s">
        <v>38</v>
      </c>
      <c r="E670" s="80" t="s">
        <v>435</v>
      </c>
      <c r="F670" s="80"/>
      <c r="G670" s="64">
        <f>G671</f>
        <v>657</v>
      </c>
    </row>
    <row r="671" spans="1:7" ht="31.5">
      <c r="A671" s="51" t="s">
        <v>76</v>
      </c>
      <c r="B671" s="80"/>
      <c r="C671" s="80" t="s">
        <v>189</v>
      </c>
      <c r="D671" s="80" t="s">
        <v>38</v>
      </c>
      <c r="E671" s="80" t="s">
        <v>435</v>
      </c>
      <c r="F671" s="80" t="s">
        <v>135</v>
      </c>
      <c r="G671" s="64">
        <v>657</v>
      </c>
    </row>
    <row r="672" spans="1:7" ht="31.5" hidden="1">
      <c r="A672" s="51" t="s">
        <v>335</v>
      </c>
      <c r="B672" s="80"/>
      <c r="C672" s="80" t="s">
        <v>189</v>
      </c>
      <c r="D672" s="80" t="s">
        <v>38</v>
      </c>
      <c r="E672" s="80" t="s">
        <v>436</v>
      </c>
      <c r="F672" s="80"/>
      <c r="G672" s="64">
        <f>+G673</f>
        <v>0</v>
      </c>
    </row>
    <row r="673" spans="1:7" ht="15.75" hidden="1">
      <c r="A673" s="51" t="s">
        <v>328</v>
      </c>
      <c r="B673" s="80"/>
      <c r="C673" s="80" t="s">
        <v>189</v>
      </c>
      <c r="D673" s="80" t="s">
        <v>38</v>
      </c>
      <c r="E673" s="80" t="s">
        <v>437</v>
      </c>
      <c r="F673" s="80"/>
      <c r="G673" s="64">
        <f>G674</f>
        <v>0</v>
      </c>
    </row>
    <row r="674" spans="1:7" ht="31.5" hidden="1">
      <c r="A674" s="51" t="s">
        <v>76</v>
      </c>
      <c r="B674" s="80"/>
      <c r="C674" s="80" t="s">
        <v>189</v>
      </c>
      <c r="D674" s="80" t="s">
        <v>38</v>
      </c>
      <c r="E674" s="80" t="s">
        <v>437</v>
      </c>
      <c r="F674" s="80" t="s">
        <v>135</v>
      </c>
      <c r="G674" s="64"/>
    </row>
    <row r="675" spans="1:7" ht="18.75" customHeight="1">
      <c r="A675" s="51" t="s">
        <v>336</v>
      </c>
      <c r="B675" s="80"/>
      <c r="C675" s="80" t="s">
        <v>189</v>
      </c>
      <c r="D675" s="80" t="s">
        <v>38</v>
      </c>
      <c r="E675" s="80" t="s">
        <v>438</v>
      </c>
      <c r="F675" s="80"/>
      <c r="G675" s="64">
        <f>+G678+G676</f>
        <v>470</v>
      </c>
    </row>
    <row r="676" spans="1:7" ht="52.5" customHeight="1">
      <c r="A676" s="51" t="s">
        <v>683</v>
      </c>
      <c r="B676" s="80"/>
      <c r="C676" s="80" t="s">
        <v>189</v>
      </c>
      <c r="D676" s="80" t="s">
        <v>38</v>
      </c>
      <c r="E676" s="80" t="s">
        <v>688</v>
      </c>
      <c r="F676" s="80"/>
      <c r="G676" s="64">
        <f>SUM(G677)</f>
        <v>470</v>
      </c>
    </row>
    <row r="677" spans="1:7" ht="30.75" customHeight="1">
      <c r="A677" s="51" t="s">
        <v>283</v>
      </c>
      <c r="B677" s="80"/>
      <c r="C677" s="80" t="s">
        <v>189</v>
      </c>
      <c r="D677" s="80" t="s">
        <v>38</v>
      </c>
      <c r="E677" s="80" t="s">
        <v>688</v>
      </c>
      <c r="F677" s="80" t="s">
        <v>135</v>
      </c>
      <c r="G677" s="64">
        <v>470</v>
      </c>
    </row>
    <row r="678" spans="1:7" ht="15.75" hidden="1">
      <c r="A678" s="51" t="s">
        <v>328</v>
      </c>
      <c r="B678" s="80"/>
      <c r="C678" s="80" t="s">
        <v>189</v>
      </c>
      <c r="D678" s="80" t="s">
        <v>38</v>
      </c>
      <c r="E678" s="80" t="s">
        <v>439</v>
      </c>
      <c r="F678" s="80"/>
      <c r="G678" s="64">
        <f>G679</f>
        <v>0</v>
      </c>
    </row>
    <row r="679" spans="1:7" ht="15.75" hidden="1">
      <c r="A679" s="51" t="s">
        <v>332</v>
      </c>
      <c r="B679" s="80"/>
      <c r="C679" s="80" t="s">
        <v>189</v>
      </c>
      <c r="D679" s="80" t="s">
        <v>38</v>
      </c>
      <c r="E679" s="80" t="s">
        <v>439</v>
      </c>
      <c r="F679" s="80" t="s">
        <v>135</v>
      </c>
      <c r="G679" s="64"/>
    </row>
    <row r="680" spans="1:7" ht="15.75">
      <c r="A680" s="51" t="s">
        <v>211</v>
      </c>
      <c r="B680" s="80"/>
      <c r="C680" s="57" t="s">
        <v>189</v>
      </c>
      <c r="D680" s="57" t="s">
        <v>48</v>
      </c>
      <c r="E680" s="80"/>
      <c r="F680" s="80"/>
      <c r="G680" s="64">
        <f>SUM(G681)</f>
        <v>22167.6</v>
      </c>
    </row>
    <row r="681" spans="1:7" ht="31.5">
      <c r="A681" s="77" t="s">
        <v>689</v>
      </c>
      <c r="B681" s="57"/>
      <c r="C681" s="57" t="s">
        <v>189</v>
      </c>
      <c r="D681" s="57" t="s">
        <v>48</v>
      </c>
      <c r="E681" s="57" t="s">
        <v>690</v>
      </c>
      <c r="F681" s="57"/>
      <c r="G681" s="60">
        <f>G682+G688</f>
        <v>22167.6</v>
      </c>
    </row>
    <row r="682" spans="1:7" ht="31.5">
      <c r="A682" s="77" t="s">
        <v>691</v>
      </c>
      <c r="B682" s="57"/>
      <c r="C682" s="57" t="s">
        <v>189</v>
      </c>
      <c r="D682" s="57" t="s">
        <v>48</v>
      </c>
      <c r="E682" s="57" t="s">
        <v>692</v>
      </c>
      <c r="F682" s="57"/>
      <c r="G682" s="64">
        <f>+G683</f>
        <v>21463.3</v>
      </c>
    </row>
    <row r="683" spans="1:7" ht="47.25">
      <c r="A683" s="77" t="s">
        <v>700</v>
      </c>
      <c r="B683" s="57"/>
      <c r="C683" s="57" t="s">
        <v>189</v>
      </c>
      <c r="D683" s="57" t="s">
        <v>48</v>
      </c>
      <c r="E683" s="57" t="s">
        <v>693</v>
      </c>
      <c r="F683" s="57"/>
      <c r="G683" s="64">
        <f>G686+G684</f>
        <v>21463.3</v>
      </c>
    </row>
    <row r="684" spans="1:7" ht="15.75">
      <c r="A684" s="77" t="s">
        <v>694</v>
      </c>
      <c r="B684" s="57"/>
      <c r="C684" s="57" t="s">
        <v>189</v>
      </c>
      <c r="D684" s="57" t="s">
        <v>48</v>
      </c>
      <c r="E684" s="57" t="s">
        <v>695</v>
      </c>
      <c r="F684" s="57"/>
      <c r="G684" s="64">
        <f>+G685</f>
        <v>9197.8</v>
      </c>
    </row>
    <row r="685" spans="1:7" ht="31.5">
      <c r="A685" s="77" t="s">
        <v>76</v>
      </c>
      <c r="B685" s="57"/>
      <c r="C685" s="57" t="s">
        <v>189</v>
      </c>
      <c r="D685" s="57" t="s">
        <v>48</v>
      </c>
      <c r="E685" s="57" t="s">
        <v>695</v>
      </c>
      <c r="F685" s="57" t="s">
        <v>135</v>
      </c>
      <c r="G685" s="64">
        <v>9197.8</v>
      </c>
    </row>
    <row r="686" spans="1:7" ht="15.75">
      <c r="A686" s="77" t="s">
        <v>1171</v>
      </c>
      <c r="B686" s="57"/>
      <c r="C686" s="57" t="s">
        <v>189</v>
      </c>
      <c r="D686" s="57" t="s">
        <v>48</v>
      </c>
      <c r="E686" s="57" t="s">
        <v>1172</v>
      </c>
      <c r="F686" s="57"/>
      <c r="G686" s="64">
        <f>SUM(G687)</f>
        <v>12265.5</v>
      </c>
    </row>
    <row r="687" spans="1:7" ht="31.5">
      <c r="A687" s="77" t="s">
        <v>283</v>
      </c>
      <c r="B687" s="57"/>
      <c r="C687" s="57" t="s">
        <v>189</v>
      </c>
      <c r="D687" s="57" t="s">
        <v>48</v>
      </c>
      <c r="E687" s="57" t="s">
        <v>1172</v>
      </c>
      <c r="F687" s="57" t="s">
        <v>135</v>
      </c>
      <c r="G687" s="64">
        <v>12265.5</v>
      </c>
    </row>
    <row r="688" spans="1:7" ht="15.75">
      <c r="A688" s="77" t="s">
        <v>696</v>
      </c>
      <c r="B688" s="57"/>
      <c r="C688" s="57" t="s">
        <v>189</v>
      </c>
      <c r="D688" s="57" t="s">
        <v>48</v>
      </c>
      <c r="E688" s="57" t="s">
        <v>697</v>
      </c>
      <c r="F688" s="57"/>
      <c r="G688" s="64">
        <f>G689</f>
        <v>704.3</v>
      </c>
    </row>
    <row r="689" spans="1:7" ht="47.25">
      <c r="A689" s="77" t="s">
        <v>612</v>
      </c>
      <c r="B689" s="57"/>
      <c r="C689" s="57" t="s">
        <v>189</v>
      </c>
      <c r="D689" s="57" t="s">
        <v>48</v>
      </c>
      <c r="E689" s="57" t="s">
        <v>698</v>
      </c>
      <c r="F689" s="57"/>
      <c r="G689" s="64">
        <f>+G690</f>
        <v>704.3</v>
      </c>
    </row>
    <row r="690" spans="1:7" ht="15.75">
      <c r="A690" s="77" t="s">
        <v>694</v>
      </c>
      <c r="B690" s="57"/>
      <c r="C690" s="57" t="s">
        <v>189</v>
      </c>
      <c r="D690" s="57" t="s">
        <v>48</v>
      </c>
      <c r="E690" s="57" t="s">
        <v>699</v>
      </c>
      <c r="F690" s="57"/>
      <c r="G690" s="60">
        <f>+G691</f>
        <v>704.3</v>
      </c>
    </row>
    <row r="691" spans="1:7" ht="31.5">
      <c r="A691" s="77" t="s">
        <v>283</v>
      </c>
      <c r="B691" s="57"/>
      <c r="C691" s="57" t="s">
        <v>189</v>
      </c>
      <c r="D691" s="57" t="s">
        <v>48</v>
      </c>
      <c r="E691" s="57" t="s">
        <v>699</v>
      </c>
      <c r="F691" s="57" t="s">
        <v>135</v>
      </c>
      <c r="G691" s="60">
        <v>704.3</v>
      </c>
    </row>
    <row r="692" spans="1:7" ht="15.75">
      <c r="A692" s="77" t="s">
        <v>212</v>
      </c>
      <c r="B692" s="57"/>
      <c r="C692" s="57" t="s">
        <v>189</v>
      </c>
      <c r="D692" s="57" t="s">
        <v>58</v>
      </c>
      <c r="E692" s="57"/>
      <c r="F692" s="57"/>
      <c r="G692" s="60">
        <f>SUM(G693)</f>
        <v>1972.2</v>
      </c>
    </row>
    <row r="693" spans="1:7" ht="31.5">
      <c r="A693" s="77" t="s">
        <v>689</v>
      </c>
      <c r="B693" s="57"/>
      <c r="C693" s="57" t="s">
        <v>189</v>
      </c>
      <c r="D693" s="57" t="s">
        <v>58</v>
      </c>
      <c r="E693" s="57" t="s">
        <v>690</v>
      </c>
      <c r="F693" s="57"/>
      <c r="G693" s="60">
        <f>SUM(G694)</f>
        <v>1972.2</v>
      </c>
    </row>
    <row r="694" spans="1:7" ht="15.75">
      <c r="A694" s="77" t="s">
        <v>765</v>
      </c>
      <c r="B694" s="57"/>
      <c r="C694" s="57" t="s">
        <v>189</v>
      </c>
      <c r="D694" s="57" t="s">
        <v>58</v>
      </c>
      <c r="E694" s="57" t="s">
        <v>762</v>
      </c>
      <c r="F694" s="57"/>
      <c r="G694" s="60">
        <f>SUM(G695)</f>
        <v>1972.2</v>
      </c>
    </row>
    <row r="695" spans="1:7" ht="47.25">
      <c r="A695" s="77" t="s">
        <v>612</v>
      </c>
      <c r="B695" s="57"/>
      <c r="C695" s="57" t="s">
        <v>189</v>
      </c>
      <c r="D695" s="57" t="s">
        <v>58</v>
      </c>
      <c r="E695" s="57" t="s">
        <v>763</v>
      </c>
      <c r="F695" s="57"/>
      <c r="G695" s="60">
        <f>SUM(G696)+G698</f>
        <v>1972.2</v>
      </c>
    </row>
    <row r="696" spans="1:7" ht="15.75">
      <c r="A696" s="77" t="s">
        <v>694</v>
      </c>
      <c r="B696" s="57"/>
      <c r="C696" s="57" t="s">
        <v>189</v>
      </c>
      <c r="D696" s="57" t="s">
        <v>58</v>
      </c>
      <c r="E696" s="57" t="s">
        <v>764</v>
      </c>
      <c r="F696" s="57"/>
      <c r="G696" s="60">
        <f>SUM(G697)</f>
        <v>1533.2</v>
      </c>
    </row>
    <row r="697" spans="1:7" ht="31.5">
      <c r="A697" s="77" t="s">
        <v>283</v>
      </c>
      <c r="B697" s="57"/>
      <c r="C697" s="57" t="s">
        <v>189</v>
      </c>
      <c r="D697" s="57" t="s">
        <v>58</v>
      </c>
      <c r="E697" s="57" t="s">
        <v>764</v>
      </c>
      <c r="F697" s="57" t="s">
        <v>135</v>
      </c>
      <c r="G697" s="60">
        <v>1533.2</v>
      </c>
    </row>
    <row r="698" spans="1:7" ht="47.25">
      <c r="A698" s="77" t="s">
        <v>1173</v>
      </c>
      <c r="B698" s="57"/>
      <c r="C698" s="57" t="s">
        <v>189</v>
      </c>
      <c r="D698" s="57" t="s">
        <v>58</v>
      </c>
      <c r="E698" s="57" t="s">
        <v>1174</v>
      </c>
      <c r="F698" s="57"/>
      <c r="G698" s="60">
        <f>SUM(G699)</f>
        <v>439</v>
      </c>
    </row>
    <row r="699" spans="1:7" ht="31.5">
      <c r="A699" s="77" t="s">
        <v>283</v>
      </c>
      <c r="B699" s="57"/>
      <c r="C699" s="57" t="s">
        <v>189</v>
      </c>
      <c r="D699" s="57" t="s">
        <v>58</v>
      </c>
      <c r="E699" s="57" t="s">
        <v>1174</v>
      </c>
      <c r="F699" s="57" t="s">
        <v>135</v>
      </c>
      <c r="G699" s="60">
        <v>439</v>
      </c>
    </row>
    <row r="700" spans="1:7" s="122" customFormat="1" ht="15.75">
      <c r="A700" s="119" t="s">
        <v>442</v>
      </c>
      <c r="B700" s="96" t="s">
        <v>443</v>
      </c>
      <c r="C700" s="120"/>
      <c r="D700" s="120"/>
      <c r="E700" s="57"/>
      <c r="F700" s="120"/>
      <c r="G700" s="121">
        <f>G701+G880</f>
        <v>1901944.1000000003</v>
      </c>
    </row>
    <row r="701" spans="1:7" ht="15.75">
      <c r="A701" s="51" t="s">
        <v>124</v>
      </c>
      <c r="B701" s="80"/>
      <c r="C701" s="80" t="s">
        <v>125</v>
      </c>
      <c r="D701" s="80"/>
      <c r="E701" s="80"/>
      <c r="F701" s="80"/>
      <c r="G701" s="64">
        <f>G702+G743+G811+G822+G856</f>
        <v>1839094.8000000003</v>
      </c>
    </row>
    <row r="702" spans="1:7" ht="15.75">
      <c r="A702" s="51" t="s">
        <v>200</v>
      </c>
      <c r="B702" s="80"/>
      <c r="C702" s="80" t="s">
        <v>125</v>
      </c>
      <c r="D702" s="80" t="s">
        <v>38</v>
      </c>
      <c r="E702" s="80"/>
      <c r="F702" s="80"/>
      <c r="G702" s="64">
        <f>G712+G703</f>
        <v>717735.6</v>
      </c>
    </row>
    <row r="703" spans="1:7" ht="31.5">
      <c r="A703" s="51" t="s">
        <v>616</v>
      </c>
      <c r="B703" s="80"/>
      <c r="C703" s="80" t="s">
        <v>125</v>
      </c>
      <c r="D703" s="80" t="s">
        <v>38</v>
      </c>
      <c r="E703" s="132" t="s">
        <v>617</v>
      </c>
      <c r="F703" s="126"/>
      <c r="G703" s="64">
        <f>G707+G704</f>
        <v>477990.1</v>
      </c>
    </row>
    <row r="704" spans="1:7" ht="47.25">
      <c r="A704" s="77" t="s">
        <v>612</v>
      </c>
      <c r="B704" s="80"/>
      <c r="C704" s="80" t="s">
        <v>125</v>
      </c>
      <c r="D704" s="80" t="s">
        <v>38</v>
      </c>
      <c r="E704" s="132" t="s">
        <v>773</v>
      </c>
      <c r="F704" s="126"/>
      <c r="G704" s="64">
        <f>SUM(G705)</f>
        <v>5850</v>
      </c>
    </row>
    <row r="705" spans="1:7" ht="63">
      <c r="A705" s="163" t="s">
        <v>775</v>
      </c>
      <c r="B705" s="80"/>
      <c r="C705" s="80" t="s">
        <v>125</v>
      </c>
      <c r="D705" s="80" t="s">
        <v>38</v>
      </c>
      <c r="E705" s="132" t="s">
        <v>774</v>
      </c>
      <c r="F705" s="126"/>
      <c r="G705" s="64">
        <f>SUM(G706)</f>
        <v>5850</v>
      </c>
    </row>
    <row r="706" spans="1:7" ht="31.5">
      <c r="A706" s="77" t="s">
        <v>283</v>
      </c>
      <c r="B706" s="80"/>
      <c r="C706" s="80" t="s">
        <v>125</v>
      </c>
      <c r="D706" s="80" t="s">
        <v>38</v>
      </c>
      <c r="E706" s="132" t="s">
        <v>774</v>
      </c>
      <c r="F706" s="126">
        <v>600</v>
      </c>
      <c r="G706" s="64">
        <v>5850</v>
      </c>
    </row>
    <row r="707" spans="1:7" ht="78.75">
      <c r="A707" s="51" t="s">
        <v>618</v>
      </c>
      <c r="B707" s="80"/>
      <c r="C707" s="80" t="s">
        <v>125</v>
      </c>
      <c r="D707" s="80" t="s">
        <v>38</v>
      </c>
      <c r="E707" s="132" t="s">
        <v>619</v>
      </c>
      <c r="F707" s="126"/>
      <c r="G707" s="64">
        <f>G708</f>
        <v>472140.1</v>
      </c>
    </row>
    <row r="708" spans="1:7" ht="47.25">
      <c r="A708" s="51" t="s">
        <v>620</v>
      </c>
      <c r="B708" s="80"/>
      <c r="C708" s="80" t="s">
        <v>125</v>
      </c>
      <c r="D708" s="80" t="s">
        <v>38</v>
      </c>
      <c r="E708" s="132" t="s">
        <v>621</v>
      </c>
      <c r="F708" s="126"/>
      <c r="G708" s="64">
        <f>G709+G710+G711</f>
        <v>472140.1</v>
      </c>
    </row>
    <row r="709" spans="1:7" ht="47.25">
      <c r="A709" s="51" t="s">
        <v>55</v>
      </c>
      <c r="B709" s="80"/>
      <c r="C709" s="80" t="s">
        <v>125</v>
      </c>
      <c r="D709" s="80" t="s">
        <v>38</v>
      </c>
      <c r="E709" s="133" t="s">
        <v>621</v>
      </c>
      <c r="F709" s="80" t="s">
        <v>99</v>
      </c>
      <c r="G709" s="64">
        <v>75732.6</v>
      </c>
    </row>
    <row r="710" spans="1:7" ht="31.5">
      <c r="A710" s="51" t="s">
        <v>56</v>
      </c>
      <c r="B710" s="80"/>
      <c r="C710" s="80" t="s">
        <v>125</v>
      </c>
      <c r="D710" s="80" t="s">
        <v>38</v>
      </c>
      <c r="E710" s="133" t="s">
        <v>621</v>
      </c>
      <c r="F710" s="80" t="s">
        <v>101</v>
      </c>
      <c r="G710" s="64">
        <f>916.1+1468.3</f>
        <v>2384.4</v>
      </c>
    </row>
    <row r="711" spans="1:7" ht="31.5">
      <c r="A711" s="51" t="s">
        <v>283</v>
      </c>
      <c r="B711" s="80"/>
      <c r="C711" s="80" t="s">
        <v>125</v>
      </c>
      <c r="D711" s="80" t="s">
        <v>38</v>
      </c>
      <c r="E711" s="133" t="s">
        <v>621</v>
      </c>
      <c r="F711" s="80" t="s">
        <v>135</v>
      </c>
      <c r="G711" s="64">
        <v>394023.1</v>
      </c>
    </row>
    <row r="712" spans="1:7" ht="31.5">
      <c r="A712" s="51" t="s">
        <v>444</v>
      </c>
      <c r="B712" s="80"/>
      <c r="C712" s="80" t="s">
        <v>125</v>
      </c>
      <c r="D712" s="80" t="s">
        <v>38</v>
      </c>
      <c r="E712" s="52" t="s">
        <v>445</v>
      </c>
      <c r="F712" s="80"/>
      <c r="G712" s="64">
        <f>G713+G723+G726+G735+G739</f>
        <v>239745.5</v>
      </c>
    </row>
    <row r="713" spans="1:7" ht="15.75">
      <c r="A713" s="51" t="s">
        <v>39</v>
      </c>
      <c r="B713" s="80"/>
      <c r="C713" s="80" t="s">
        <v>125</v>
      </c>
      <c r="D713" s="80" t="s">
        <v>38</v>
      </c>
      <c r="E713" s="86" t="s">
        <v>446</v>
      </c>
      <c r="F713" s="80"/>
      <c r="G713" s="64">
        <f>SUM(G719+G721)+G714</f>
        <v>4415.9</v>
      </c>
    </row>
    <row r="714" spans="1:7" ht="15.75">
      <c r="A714" s="51" t="s">
        <v>453</v>
      </c>
      <c r="B714" s="80"/>
      <c r="C714" s="80" t="s">
        <v>125</v>
      </c>
      <c r="D714" s="80" t="s">
        <v>38</v>
      </c>
      <c r="E714" s="85" t="s">
        <v>622</v>
      </c>
      <c r="F714" s="80"/>
      <c r="G714" s="64">
        <f>SUM(G715:G718)</f>
        <v>3765.9</v>
      </c>
    </row>
    <row r="715" spans="1:7" ht="47.25" hidden="1">
      <c r="A715" s="51" t="s">
        <v>55</v>
      </c>
      <c r="B715" s="80"/>
      <c r="C715" s="80" t="s">
        <v>125</v>
      </c>
      <c r="D715" s="80" t="s">
        <v>38</v>
      </c>
      <c r="E715" s="85" t="s">
        <v>622</v>
      </c>
      <c r="F715" s="80" t="s">
        <v>99</v>
      </c>
      <c r="G715" s="64"/>
    </row>
    <row r="716" spans="1:7" ht="31.5">
      <c r="A716" s="51" t="s">
        <v>56</v>
      </c>
      <c r="B716" s="80"/>
      <c r="C716" s="80" t="s">
        <v>125</v>
      </c>
      <c r="D716" s="80" t="s">
        <v>38</v>
      </c>
      <c r="E716" s="85" t="s">
        <v>622</v>
      </c>
      <c r="F716" s="80" t="s">
        <v>101</v>
      </c>
      <c r="G716" s="64">
        <v>342.1</v>
      </c>
    </row>
    <row r="717" spans="1:7" ht="15.75">
      <c r="A717" s="51" t="s">
        <v>46</v>
      </c>
      <c r="B717" s="80"/>
      <c r="C717" s="80" t="s">
        <v>125</v>
      </c>
      <c r="D717" s="80" t="s">
        <v>38</v>
      </c>
      <c r="E717" s="85" t="s">
        <v>622</v>
      </c>
      <c r="F717" s="80" t="s">
        <v>109</v>
      </c>
      <c r="G717" s="64">
        <v>6</v>
      </c>
    </row>
    <row r="718" spans="1:7" ht="31.5">
      <c r="A718" s="51" t="s">
        <v>283</v>
      </c>
      <c r="B718" s="80"/>
      <c r="C718" s="80" t="s">
        <v>125</v>
      </c>
      <c r="D718" s="80" t="s">
        <v>38</v>
      </c>
      <c r="E718" s="85" t="s">
        <v>622</v>
      </c>
      <c r="F718" s="80" t="s">
        <v>135</v>
      </c>
      <c r="G718" s="64">
        <v>3417.8</v>
      </c>
    </row>
    <row r="719" spans="1:7" ht="31.5" hidden="1">
      <c r="A719" s="51" t="s">
        <v>447</v>
      </c>
      <c r="B719" s="80"/>
      <c r="C719" s="80" t="s">
        <v>125</v>
      </c>
      <c r="D719" s="80" t="s">
        <v>38</v>
      </c>
      <c r="E719" s="52" t="s">
        <v>448</v>
      </c>
      <c r="F719" s="80"/>
      <c r="G719" s="64">
        <f>G720</f>
        <v>0</v>
      </c>
    </row>
    <row r="720" spans="1:7" ht="15.75" hidden="1">
      <c r="A720" s="51" t="s">
        <v>46</v>
      </c>
      <c r="B720" s="80"/>
      <c r="C720" s="80" t="s">
        <v>125</v>
      </c>
      <c r="D720" s="80" t="s">
        <v>38</v>
      </c>
      <c r="E720" s="52" t="s">
        <v>448</v>
      </c>
      <c r="F720" s="80" t="s">
        <v>109</v>
      </c>
      <c r="G720" s="64">
        <v>0</v>
      </c>
    </row>
    <row r="721" spans="1:7" ht="94.5">
      <c r="A721" s="51" t="s">
        <v>449</v>
      </c>
      <c r="B721" s="80"/>
      <c r="C721" s="80" t="s">
        <v>125</v>
      </c>
      <c r="D721" s="80" t="s">
        <v>38</v>
      </c>
      <c r="E721" s="86" t="s">
        <v>450</v>
      </c>
      <c r="F721" s="80"/>
      <c r="G721" s="64">
        <f>G722</f>
        <v>650</v>
      </c>
    </row>
    <row r="722" spans="1:7" ht="31.5">
      <c r="A722" s="51" t="s">
        <v>76</v>
      </c>
      <c r="B722" s="80"/>
      <c r="C722" s="80" t="s">
        <v>125</v>
      </c>
      <c r="D722" s="80" t="s">
        <v>38</v>
      </c>
      <c r="E722" s="86" t="s">
        <v>450</v>
      </c>
      <c r="F722" s="80" t="s">
        <v>135</v>
      </c>
      <c r="G722" s="64">
        <v>650</v>
      </c>
    </row>
    <row r="723" spans="1:7" ht="47.25">
      <c r="A723" s="51" t="s">
        <v>30</v>
      </c>
      <c r="B723" s="80"/>
      <c r="C723" s="80" t="s">
        <v>125</v>
      </c>
      <c r="D723" s="80" t="s">
        <v>38</v>
      </c>
      <c r="E723" s="52" t="s">
        <v>451</v>
      </c>
      <c r="F723" s="80"/>
      <c r="G723" s="64">
        <f>SUM(G724)</f>
        <v>185380.7</v>
      </c>
    </row>
    <row r="724" spans="1:7" ht="15.75">
      <c r="A724" s="51" t="s">
        <v>453</v>
      </c>
      <c r="B724" s="80"/>
      <c r="C724" s="80" t="s">
        <v>125</v>
      </c>
      <c r="D724" s="80" t="s">
        <v>38</v>
      </c>
      <c r="E724" s="52" t="s">
        <v>454</v>
      </c>
      <c r="F724" s="80"/>
      <c r="G724" s="64">
        <f>G725</f>
        <v>185380.7</v>
      </c>
    </row>
    <row r="725" spans="1:7" ht="29.25" customHeight="1">
      <c r="A725" s="51" t="s">
        <v>76</v>
      </c>
      <c r="B725" s="80"/>
      <c r="C725" s="80" t="s">
        <v>125</v>
      </c>
      <c r="D725" s="80" t="s">
        <v>38</v>
      </c>
      <c r="E725" s="52" t="s">
        <v>454</v>
      </c>
      <c r="F725" s="80" t="s">
        <v>135</v>
      </c>
      <c r="G725" s="64">
        <v>185380.7</v>
      </c>
    </row>
    <row r="726" spans="1:7" ht="15.75">
      <c r="A726" s="51" t="s">
        <v>166</v>
      </c>
      <c r="B726" s="80"/>
      <c r="C726" s="80" t="s">
        <v>125</v>
      </c>
      <c r="D726" s="80" t="s">
        <v>38</v>
      </c>
      <c r="E726" s="52" t="s">
        <v>517</v>
      </c>
      <c r="F726" s="80"/>
      <c r="G726" s="64">
        <f>SUM(G727)</f>
        <v>1487.2</v>
      </c>
    </row>
    <row r="727" spans="1:7" ht="14.25" customHeight="1">
      <c r="A727" s="51" t="s">
        <v>453</v>
      </c>
      <c r="B727" s="80"/>
      <c r="C727" s="80" t="s">
        <v>125</v>
      </c>
      <c r="D727" s="80" t="s">
        <v>38</v>
      </c>
      <c r="E727" s="52" t="s">
        <v>455</v>
      </c>
      <c r="F727" s="80"/>
      <c r="G727" s="64">
        <f>SUM(G728+G730+G732)</f>
        <v>1487.2</v>
      </c>
    </row>
    <row r="728" spans="1:7" ht="15.75" hidden="1">
      <c r="A728" s="51" t="s">
        <v>456</v>
      </c>
      <c r="B728" s="80"/>
      <c r="C728" s="80" t="s">
        <v>125</v>
      </c>
      <c r="D728" s="80" t="s">
        <v>38</v>
      </c>
      <c r="E728" s="52" t="s">
        <v>457</v>
      </c>
      <c r="F728" s="80"/>
      <c r="G728" s="64">
        <f>G729</f>
        <v>0</v>
      </c>
    </row>
    <row r="729" spans="1:7" ht="31.5" hidden="1">
      <c r="A729" s="51" t="s">
        <v>76</v>
      </c>
      <c r="B729" s="80"/>
      <c r="C729" s="80" t="s">
        <v>125</v>
      </c>
      <c r="D729" s="80" t="s">
        <v>38</v>
      </c>
      <c r="E729" s="52" t="s">
        <v>457</v>
      </c>
      <c r="F729" s="80" t="s">
        <v>135</v>
      </c>
      <c r="G729" s="64">
        <v>0</v>
      </c>
    </row>
    <row r="730" spans="1:7" ht="31.5">
      <c r="A730" s="51" t="s">
        <v>458</v>
      </c>
      <c r="B730" s="80"/>
      <c r="C730" s="80" t="s">
        <v>125</v>
      </c>
      <c r="D730" s="80" t="s">
        <v>38</v>
      </c>
      <c r="E730" s="52" t="s">
        <v>459</v>
      </c>
      <c r="F730" s="80"/>
      <c r="G730" s="64">
        <f>G731</f>
        <v>146</v>
      </c>
    </row>
    <row r="731" spans="1:7" ht="31.5">
      <c r="A731" s="51" t="s">
        <v>76</v>
      </c>
      <c r="B731" s="80"/>
      <c r="C731" s="80" t="s">
        <v>125</v>
      </c>
      <c r="D731" s="80" t="s">
        <v>38</v>
      </c>
      <c r="E731" s="52" t="s">
        <v>459</v>
      </c>
      <c r="F731" s="80" t="s">
        <v>135</v>
      </c>
      <c r="G731" s="64">
        <v>146</v>
      </c>
    </row>
    <row r="732" spans="1:7" ht="15.75">
      <c r="A732" s="51" t="s">
        <v>460</v>
      </c>
      <c r="B732" s="80"/>
      <c r="C732" s="80" t="s">
        <v>125</v>
      </c>
      <c r="D732" s="80" t="s">
        <v>38</v>
      </c>
      <c r="E732" s="52" t="s">
        <v>461</v>
      </c>
      <c r="F732" s="80"/>
      <c r="G732" s="64">
        <f>G733</f>
        <v>1341.2</v>
      </c>
    </row>
    <row r="733" spans="1:7" ht="31.5">
      <c r="A733" s="51" t="s">
        <v>76</v>
      </c>
      <c r="B733" s="80"/>
      <c r="C733" s="80" t="s">
        <v>125</v>
      </c>
      <c r="D733" s="80" t="s">
        <v>38</v>
      </c>
      <c r="E733" s="52" t="s">
        <v>461</v>
      </c>
      <c r="F733" s="80" t="s">
        <v>135</v>
      </c>
      <c r="G733" s="64">
        <v>1341.2</v>
      </c>
    </row>
    <row r="734" spans="1:7" ht="31.5">
      <c r="A734" s="51" t="s">
        <v>49</v>
      </c>
      <c r="B734" s="80"/>
      <c r="C734" s="80" t="s">
        <v>125</v>
      </c>
      <c r="D734" s="80" t="s">
        <v>38</v>
      </c>
      <c r="E734" s="52" t="s">
        <v>462</v>
      </c>
      <c r="F734" s="80"/>
      <c r="G734" s="64">
        <f>SUM(G735)</f>
        <v>43845.9</v>
      </c>
    </row>
    <row r="735" spans="1:7" ht="15.75">
      <c r="A735" s="51" t="s">
        <v>453</v>
      </c>
      <c r="B735" s="52"/>
      <c r="C735" s="80" t="s">
        <v>125</v>
      </c>
      <c r="D735" s="80" t="s">
        <v>38</v>
      </c>
      <c r="E735" s="52" t="s">
        <v>463</v>
      </c>
      <c r="F735" s="80"/>
      <c r="G735" s="64">
        <f>G736+G737+G738</f>
        <v>43845.9</v>
      </c>
    </row>
    <row r="736" spans="1:7" ht="47.25">
      <c r="A736" s="70" t="s">
        <v>55</v>
      </c>
      <c r="B736" s="80"/>
      <c r="C736" s="80" t="s">
        <v>125</v>
      </c>
      <c r="D736" s="80" t="s">
        <v>38</v>
      </c>
      <c r="E736" s="52" t="s">
        <v>463</v>
      </c>
      <c r="F736" s="80" t="s">
        <v>99</v>
      </c>
      <c r="G736" s="64">
        <v>12926.9</v>
      </c>
    </row>
    <row r="737" spans="1:7" ht="31.5">
      <c r="A737" s="51" t="s">
        <v>56</v>
      </c>
      <c r="B737" s="80"/>
      <c r="C737" s="80" t="s">
        <v>125</v>
      </c>
      <c r="D737" s="80" t="s">
        <v>38</v>
      </c>
      <c r="E737" s="52" t="s">
        <v>463</v>
      </c>
      <c r="F737" s="80" t="s">
        <v>101</v>
      </c>
      <c r="G737" s="64">
        <v>29317.9</v>
      </c>
    </row>
    <row r="738" spans="1:7" ht="15.75">
      <c r="A738" s="51" t="s">
        <v>26</v>
      </c>
      <c r="B738" s="80"/>
      <c r="C738" s="80" t="s">
        <v>125</v>
      </c>
      <c r="D738" s="80" t="s">
        <v>38</v>
      </c>
      <c r="E738" s="52" t="s">
        <v>463</v>
      </c>
      <c r="F738" s="80" t="s">
        <v>106</v>
      </c>
      <c r="G738" s="64">
        <v>1601.1</v>
      </c>
    </row>
    <row r="739" spans="1:7" ht="31.5">
      <c r="A739" s="51" t="s">
        <v>464</v>
      </c>
      <c r="B739" s="80"/>
      <c r="C739" s="80" t="s">
        <v>125</v>
      </c>
      <c r="D739" s="80" t="s">
        <v>38</v>
      </c>
      <c r="E739" s="52" t="s">
        <v>465</v>
      </c>
      <c r="F739" s="80"/>
      <c r="G739" s="64">
        <f>G740</f>
        <v>4615.8</v>
      </c>
    </row>
    <row r="740" spans="1:7" ht="15.75">
      <c r="A740" s="51" t="s">
        <v>39</v>
      </c>
      <c r="B740" s="80"/>
      <c r="C740" s="80" t="s">
        <v>125</v>
      </c>
      <c r="D740" s="80" t="s">
        <v>38</v>
      </c>
      <c r="E740" s="52" t="s">
        <v>466</v>
      </c>
      <c r="F740" s="80"/>
      <c r="G740" s="64">
        <f>SUM(G741:G742)</f>
        <v>4615.8</v>
      </c>
    </row>
    <row r="741" spans="1:7" ht="31.5">
      <c r="A741" s="51" t="s">
        <v>56</v>
      </c>
      <c r="B741" s="80"/>
      <c r="C741" s="80" t="s">
        <v>125</v>
      </c>
      <c r="D741" s="80" t="s">
        <v>38</v>
      </c>
      <c r="E741" s="52" t="s">
        <v>466</v>
      </c>
      <c r="F741" s="80" t="s">
        <v>101</v>
      </c>
      <c r="G741" s="64">
        <v>773</v>
      </c>
    </row>
    <row r="742" spans="1:7" ht="31.5">
      <c r="A742" s="51" t="s">
        <v>76</v>
      </c>
      <c r="B742" s="80"/>
      <c r="C742" s="80" t="s">
        <v>125</v>
      </c>
      <c r="D742" s="80" t="s">
        <v>38</v>
      </c>
      <c r="E742" s="52" t="s">
        <v>466</v>
      </c>
      <c r="F742" s="80" t="s">
        <v>135</v>
      </c>
      <c r="G742" s="64">
        <v>3842.8</v>
      </c>
    </row>
    <row r="743" spans="1:7" ht="15.75">
      <c r="A743" s="51" t="s">
        <v>201</v>
      </c>
      <c r="B743" s="80"/>
      <c r="C743" s="80" t="s">
        <v>125</v>
      </c>
      <c r="D743" s="80" t="s">
        <v>48</v>
      </c>
      <c r="E743" s="86"/>
      <c r="F743" s="80"/>
      <c r="G743" s="64">
        <f>G763+G744</f>
        <v>991637.9000000001</v>
      </c>
    </row>
    <row r="744" spans="1:7" ht="31.5">
      <c r="A744" s="51" t="s">
        <v>244</v>
      </c>
      <c r="B744" s="80"/>
      <c r="C744" s="80" t="s">
        <v>125</v>
      </c>
      <c r="D744" s="80" t="s">
        <v>48</v>
      </c>
      <c r="E744" s="132" t="s">
        <v>245</v>
      </c>
      <c r="F744" s="126"/>
      <c r="G744" s="64">
        <f>G753+G745</f>
        <v>749820.2000000001</v>
      </c>
    </row>
    <row r="745" spans="1:7" ht="47.25">
      <c r="A745" s="77" t="s">
        <v>612</v>
      </c>
      <c r="B745" s="80"/>
      <c r="C745" s="80" t="s">
        <v>125</v>
      </c>
      <c r="D745" s="80" t="s">
        <v>48</v>
      </c>
      <c r="E745" s="132" t="s">
        <v>776</v>
      </c>
      <c r="F745" s="126"/>
      <c r="G745" s="64">
        <f>SUM(G746)+G749+G751</f>
        <v>8153.800000000001</v>
      </c>
    </row>
    <row r="746" spans="1:7" ht="47.25">
      <c r="A746" s="163" t="s">
        <v>778</v>
      </c>
      <c r="B746" s="80"/>
      <c r="C746" s="80" t="s">
        <v>125</v>
      </c>
      <c r="D746" s="80" t="s">
        <v>48</v>
      </c>
      <c r="E746" s="132" t="s">
        <v>777</v>
      </c>
      <c r="F746" s="126"/>
      <c r="G746" s="64">
        <f>SUM(G747:G748)</f>
        <v>4298.3</v>
      </c>
    </row>
    <row r="747" spans="1:7" ht="31.5">
      <c r="A747" s="163" t="s">
        <v>56</v>
      </c>
      <c r="B747" s="80"/>
      <c r="C747" s="80" t="s">
        <v>125</v>
      </c>
      <c r="D747" s="80" t="s">
        <v>48</v>
      </c>
      <c r="E747" s="132" t="s">
        <v>777</v>
      </c>
      <c r="F747" s="80" t="s">
        <v>101</v>
      </c>
      <c r="G747" s="64">
        <v>2394.6</v>
      </c>
    </row>
    <row r="748" spans="1:7" ht="31.5">
      <c r="A748" s="163" t="s">
        <v>76</v>
      </c>
      <c r="B748" s="80"/>
      <c r="C748" s="80" t="s">
        <v>125</v>
      </c>
      <c r="D748" s="80" t="s">
        <v>48</v>
      </c>
      <c r="E748" s="132" t="s">
        <v>777</v>
      </c>
      <c r="F748" s="80" t="s">
        <v>135</v>
      </c>
      <c r="G748" s="64">
        <v>1903.7</v>
      </c>
    </row>
    <row r="749" spans="1:7" ht="31.5">
      <c r="A749" s="168" t="s">
        <v>1188</v>
      </c>
      <c r="B749" s="80"/>
      <c r="C749" s="80" t="s">
        <v>125</v>
      </c>
      <c r="D749" s="80" t="s">
        <v>48</v>
      </c>
      <c r="E749" s="132" t="s">
        <v>1189</v>
      </c>
      <c r="F749" s="80"/>
      <c r="G749" s="64">
        <f>SUM(G750)</f>
        <v>496.1</v>
      </c>
    </row>
    <row r="750" spans="1:7" ht="31.5">
      <c r="A750" s="168" t="s">
        <v>76</v>
      </c>
      <c r="B750" s="80"/>
      <c r="C750" s="80" t="s">
        <v>125</v>
      </c>
      <c r="D750" s="80" t="s">
        <v>48</v>
      </c>
      <c r="E750" s="132" t="s">
        <v>1189</v>
      </c>
      <c r="F750" s="80" t="s">
        <v>135</v>
      </c>
      <c r="G750" s="64">
        <v>496.1</v>
      </c>
    </row>
    <row r="751" spans="1:7" ht="63">
      <c r="A751" s="168" t="s">
        <v>1190</v>
      </c>
      <c r="B751" s="80"/>
      <c r="C751" s="80" t="s">
        <v>125</v>
      </c>
      <c r="D751" s="80" t="s">
        <v>48</v>
      </c>
      <c r="E751" s="132" t="s">
        <v>1191</v>
      </c>
      <c r="F751" s="80"/>
      <c r="G751" s="64">
        <f>SUM(G752)</f>
        <v>3359.4</v>
      </c>
    </row>
    <row r="752" spans="1:7" ht="31.5">
      <c r="A752" s="168" t="s">
        <v>56</v>
      </c>
      <c r="B752" s="80"/>
      <c r="C752" s="80" t="s">
        <v>125</v>
      </c>
      <c r="D752" s="80" t="s">
        <v>48</v>
      </c>
      <c r="E752" s="132" t="s">
        <v>1191</v>
      </c>
      <c r="F752" s="80" t="s">
        <v>101</v>
      </c>
      <c r="G752" s="64">
        <v>3359.4</v>
      </c>
    </row>
    <row r="753" spans="1:7" ht="78.75">
      <c r="A753" s="51" t="s">
        <v>317</v>
      </c>
      <c r="B753" s="80"/>
      <c r="C753" s="80" t="s">
        <v>125</v>
      </c>
      <c r="D753" s="80" t="s">
        <v>48</v>
      </c>
      <c r="E753" s="133" t="s">
        <v>247</v>
      </c>
      <c r="F753" s="80"/>
      <c r="G753" s="64">
        <f>G754+G756+G759</f>
        <v>741666.4</v>
      </c>
    </row>
    <row r="754" spans="1:7" ht="47.25">
      <c r="A754" s="51" t="s">
        <v>623</v>
      </c>
      <c r="B754" s="80"/>
      <c r="C754" s="80" t="s">
        <v>125</v>
      </c>
      <c r="D754" s="80" t="s">
        <v>48</v>
      </c>
      <c r="E754" s="133" t="s">
        <v>624</v>
      </c>
      <c r="F754" s="80"/>
      <c r="G754" s="64">
        <f>G755</f>
        <v>7284.8</v>
      </c>
    </row>
    <row r="755" spans="1:7" ht="31.5">
      <c r="A755" s="51" t="s">
        <v>134</v>
      </c>
      <c r="B755" s="80"/>
      <c r="C755" s="80" t="s">
        <v>125</v>
      </c>
      <c r="D755" s="80" t="s">
        <v>48</v>
      </c>
      <c r="E755" s="133" t="s">
        <v>624</v>
      </c>
      <c r="F755" s="80" t="s">
        <v>135</v>
      </c>
      <c r="G755" s="64">
        <v>7284.8</v>
      </c>
    </row>
    <row r="756" spans="1:7" ht="78.75">
      <c r="A756" s="51" t="s">
        <v>625</v>
      </c>
      <c r="B756" s="80"/>
      <c r="C756" s="80" t="s">
        <v>125</v>
      </c>
      <c r="D756" s="80" t="s">
        <v>48</v>
      </c>
      <c r="E756" s="133" t="s">
        <v>626</v>
      </c>
      <c r="F756" s="80"/>
      <c r="G756" s="64">
        <f>G757+G758</f>
        <v>47568.9</v>
      </c>
    </row>
    <row r="757" spans="1:7" ht="47.25">
      <c r="A757" s="70" t="s">
        <v>55</v>
      </c>
      <c r="B757" s="80"/>
      <c r="C757" s="80" t="s">
        <v>125</v>
      </c>
      <c r="D757" s="80" t="s">
        <v>48</v>
      </c>
      <c r="E757" s="133" t="s">
        <v>626</v>
      </c>
      <c r="F757" s="80" t="s">
        <v>99</v>
      </c>
      <c r="G757" s="64">
        <v>43729.4</v>
      </c>
    </row>
    <row r="758" spans="1:7" ht="31.5">
      <c r="A758" s="51" t="s">
        <v>56</v>
      </c>
      <c r="B758" s="80"/>
      <c r="C758" s="80" t="s">
        <v>125</v>
      </c>
      <c r="D758" s="80" t="s">
        <v>48</v>
      </c>
      <c r="E758" s="133" t="s">
        <v>626</v>
      </c>
      <c r="F758" s="80" t="s">
        <v>101</v>
      </c>
      <c r="G758" s="64">
        <v>3839.5</v>
      </c>
    </row>
    <row r="759" spans="1:7" ht="63">
      <c r="A759" s="51" t="s">
        <v>627</v>
      </c>
      <c r="B759" s="80"/>
      <c r="C759" s="80" t="s">
        <v>125</v>
      </c>
      <c r="D759" s="80" t="s">
        <v>48</v>
      </c>
      <c r="E759" s="133" t="s">
        <v>628</v>
      </c>
      <c r="F759" s="80"/>
      <c r="G759" s="64">
        <f>G760+G761+G762</f>
        <v>686812.7000000001</v>
      </c>
    </row>
    <row r="760" spans="1:7" ht="47.25">
      <c r="A760" s="51" t="s">
        <v>55</v>
      </c>
      <c r="B760" s="80"/>
      <c r="C760" s="80" t="s">
        <v>125</v>
      </c>
      <c r="D760" s="80" t="s">
        <v>48</v>
      </c>
      <c r="E760" s="133" t="s">
        <v>628</v>
      </c>
      <c r="F760" s="80" t="s">
        <v>99</v>
      </c>
      <c r="G760" s="64">
        <v>323748.9</v>
      </c>
    </row>
    <row r="761" spans="1:7" ht="31.5">
      <c r="A761" s="51" t="s">
        <v>56</v>
      </c>
      <c r="B761" s="80"/>
      <c r="C761" s="80" t="s">
        <v>125</v>
      </c>
      <c r="D761" s="80" t="s">
        <v>48</v>
      </c>
      <c r="E761" s="133" t="s">
        <v>628</v>
      </c>
      <c r="F761" s="80" t="s">
        <v>101</v>
      </c>
      <c r="G761" s="64">
        <v>4193.4</v>
      </c>
    </row>
    <row r="762" spans="1:7" ht="31.5">
      <c r="A762" s="51" t="s">
        <v>134</v>
      </c>
      <c r="B762" s="80"/>
      <c r="C762" s="80" t="s">
        <v>125</v>
      </c>
      <c r="D762" s="80" t="s">
        <v>48</v>
      </c>
      <c r="E762" s="133" t="s">
        <v>628</v>
      </c>
      <c r="F762" s="80" t="s">
        <v>135</v>
      </c>
      <c r="G762" s="64">
        <f>99102.9+259767.5</f>
        <v>358870.4</v>
      </c>
    </row>
    <row r="763" spans="1:7" ht="31.5">
      <c r="A763" s="51" t="s">
        <v>444</v>
      </c>
      <c r="B763" s="80"/>
      <c r="C763" s="80" t="s">
        <v>125</v>
      </c>
      <c r="D763" s="80" t="s">
        <v>48</v>
      </c>
      <c r="E763" s="52" t="s">
        <v>445</v>
      </c>
      <c r="F763" s="80"/>
      <c r="G763" s="64">
        <f>G764+G787+G790+G798+G807</f>
        <v>241817.70000000004</v>
      </c>
    </row>
    <row r="764" spans="1:7" ht="15.75">
      <c r="A764" s="51" t="s">
        <v>39</v>
      </c>
      <c r="B764" s="80"/>
      <c r="C764" s="80" t="s">
        <v>125</v>
      </c>
      <c r="D764" s="80" t="s">
        <v>48</v>
      </c>
      <c r="E764" s="86" t="s">
        <v>446</v>
      </c>
      <c r="F764" s="86"/>
      <c r="G764" s="64">
        <f>G770+G777+G785+G780+G782+G765+G773+G775</f>
        <v>13254.6</v>
      </c>
    </row>
    <row r="765" spans="1:7" ht="15.75">
      <c r="A765" s="51" t="s">
        <v>477</v>
      </c>
      <c r="B765" s="80"/>
      <c r="C765" s="80" t="s">
        <v>125</v>
      </c>
      <c r="D765" s="80" t="s">
        <v>48</v>
      </c>
      <c r="E765" s="85" t="s">
        <v>629</v>
      </c>
      <c r="F765" s="86"/>
      <c r="G765" s="64">
        <f>SUM(G766:G769)</f>
        <v>1148.4</v>
      </c>
    </row>
    <row r="766" spans="1:7" ht="47.25" hidden="1">
      <c r="A766" s="51" t="s">
        <v>55</v>
      </c>
      <c r="B766" s="80"/>
      <c r="C766" s="80" t="s">
        <v>125</v>
      </c>
      <c r="D766" s="80" t="s">
        <v>48</v>
      </c>
      <c r="E766" s="85" t="s">
        <v>629</v>
      </c>
      <c r="F766" s="86">
        <v>100</v>
      </c>
      <c r="G766" s="64"/>
    </row>
    <row r="767" spans="1:7" ht="31.5">
      <c r="A767" s="51" t="s">
        <v>56</v>
      </c>
      <c r="B767" s="80"/>
      <c r="C767" s="80" t="s">
        <v>125</v>
      </c>
      <c r="D767" s="80" t="s">
        <v>48</v>
      </c>
      <c r="E767" s="85" t="s">
        <v>629</v>
      </c>
      <c r="F767" s="86">
        <v>200</v>
      </c>
      <c r="G767" s="64">
        <v>714.7</v>
      </c>
    </row>
    <row r="768" spans="1:7" ht="15.75">
      <c r="A768" s="51" t="s">
        <v>46</v>
      </c>
      <c r="B768" s="80"/>
      <c r="C768" s="80" t="s">
        <v>125</v>
      </c>
      <c r="D768" s="80" t="s">
        <v>48</v>
      </c>
      <c r="E768" s="85" t="s">
        <v>629</v>
      </c>
      <c r="F768" s="86">
        <v>300</v>
      </c>
      <c r="G768" s="64">
        <v>50.8</v>
      </c>
    </row>
    <row r="769" spans="1:7" ht="29.25" customHeight="1">
      <c r="A769" s="51" t="s">
        <v>76</v>
      </c>
      <c r="B769" s="80"/>
      <c r="C769" s="80" t="s">
        <v>125</v>
      </c>
      <c r="D769" s="80" t="s">
        <v>48</v>
      </c>
      <c r="E769" s="85" t="s">
        <v>629</v>
      </c>
      <c r="F769" s="86">
        <v>600</v>
      </c>
      <c r="G769" s="64">
        <v>382.9</v>
      </c>
    </row>
    <row r="770" spans="1:7" ht="47.25" hidden="1">
      <c r="A770" s="51" t="s">
        <v>467</v>
      </c>
      <c r="B770" s="80"/>
      <c r="C770" s="80" t="s">
        <v>125</v>
      </c>
      <c r="D770" s="80" t="s">
        <v>48</v>
      </c>
      <c r="E770" s="86" t="s">
        <v>468</v>
      </c>
      <c r="F770" s="86"/>
      <c r="G770" s="64">
        <f>G771+G772</f>
        <v>0</v>
      </c>
    </row>
    <row r="771" spans="1:7" ht="31.5" hidden="1">
      <c r="A771" s="51" t="s">
        <v>56</v>
      </c>
      <c r="B771" s="80"/>
      <c r="C771" s="80" t="s">
        <v>125</v>
      </c>
      <c r="D771" s="80" t="s">
        <v>48</v>
      </c>
      <c r="E771" s="86" t="s">
        <v>468</v>
      </c>
      <c r="F771" s="86">
        <v>200</v>
      </c>
      <c r="G771" s="64">
        <v>0</v>
      </c>
    </row>
    <row r="772" spans="1:7" ht="31.5" hidden="1">
      <c r="A772" s="51" t="s">
        <v>76</v>
      </c>
      <c r="B772" s="80"/>
      <c r="C772" s="80" t="s">
        <v>125</v>
      </c>
      <c r="D772" s="80" t="s">
        <v>48</v>
      </c>
      <c r="E772" s="86" t="s">
        <v>468</v>
      </c>
      <c r="F772" s="86">
        <v>600</v>
      </c>
      <c r="G772" s="64">
        <v>0</v>
      </c>
    </row>
    <row r="773" spans="1:7" ht="15.75">
      <c r="A773" s="51" t="s">
        <v>484</v>
      </c>
      <c r="B773" s="80"/>
      <c r="C773" s="80" t="s">
        <v>125</v>
      </c>
      <c r="D773" s="80" t="s">
        <v>48</v>
      </c>
      <c r="E773" s="85" t="s">
        <v>630</v>
      </c>
      <c r="F773" s="86"/>
      <c r="G773" s="64">
        <f>G774</f>
        <v>18</v>
      </c>
    </row>
    <row r="774" spans="1:7" ht="31.5">
      <c r="A774" s="51" t="s">
        <v>56</v>
      </c>
      <c r="B774" s="80"/>
      <c r="C774" s="80" t="s">
        <v>499</v>
      </c>
      <c r="D774" s="80" t="s">
        <v>48</v>
      </c>
      <c r="E774" s="85" t="s">
        <v>630</v>
      </c>
      <c r="F774" s="86">
        <v>200</v>
      </c>
      <c r="G774" s="64">
        <v>18</v>
      </c>
    </row>
    <row r="775" spans="1:7" ht="47.25">
      <c r="A775" s="51" t="s">
        <v>656</v>
      </c>
      <c r="B775" s="80"/>
      <c r="C775" s="80" t="s">
        <v>499</v>
      </c>
      <c r="D775" s="80" t="s">
        <v>48</v>
      </c>
      <c r="E775" s="85" t="s">
        <v>657</v>
      </c>
      <c r="F775" s="86"/>
      <c r="G775" s="64">
        <f>G776</f>
        <v>250</v>
      </c>
    </row>
    <row r="776" spans="1:7" ht="31.5">
      <c r="A776" s="51" t="s">
        <v>76</v>
      </c>
      <c r="B776" s="80"/>
      <c r="C776" s="80" t="s">
        <v>499</v>
      </c>
      <c r="D776" s="80" t="s">
        <v>48</v>
      </c>
      <c r="E776" s="85" t="s">
        <v>657</v>
      </c>
      <c r="F776" s="86">
        <v>600</v>
      </c>
      <c r="G776" s="64">
        <v>250</v>
      </c>
    </row>
    <row r="777" spans="1:7" ht="63">
      <c r="A777" s="51" t="s">
        <v>469</v>
      </c>
      <c r="B777" s="80"/>
      <c r="C777" s="80" t="s">
        <v>125</v>
      </c>
      <c r="D777" s="80" t="s">
        <v>48</v>
      </c>
      <c r="E777" s="86" t="s">
        <v>470</v>
      </c>
      <c r="F777" s="86"/>
      <c r="G777" s="64">
        <f>G778+G779</f>
        <v>11788.2</v>
      </c>
    </row>
    <row r="778" spans="1:7" ht="31.5">
      <c r="A778" s="51" t="s">
        <v>56</v>
      </c>
      <c r="B778" s="80"/>
      <c r="C778" s="80" t="s">
        <v>125</v>
      </c>
      <c r="D778" s="80" t="s">
        <v>48</v>
      </c>
      <c r="E778" s="86" t="s">
        <v>470</v>
      </c>
      <c r="F778" s="86">
        <v>200</v>
      </c>
      <c r="G778" s="64">
        <v>6216</v>
      </c>
    </row>
    <row r="779" spans="1:7" ht="31.5">
      <c r="A779" s="51" t="s">
        <v>76</v>
      </c>
      <c r="B779" s="80"/>
      <c r="C779" s="80" t="s">
        <v>125</v>
      </c>
      <c r="D779" s="80" t="s">
        <v>48</v>
      </c>
      <c r="E779" s="86" t="s">
        <v>470</v>
      </c>
      <c r="F779" s="86">
        <v>600</v>
      </c>
      <c r="G779" s="64">
        <v>5572.2</v>
      </c>
    </row>
    <row r="780" spans="1:7" ht="47.25" hidden="1">
      <c r="A780" s="51" t="s">
        <v>473</v>
      </c>
      <c r="B780" s="80"/>
      <c r="C780" s="80" t="s">
        <v>125</v>
      </c>
      <c r="D780" s="80" t="s">
        <v>48</v>
      </c>
      <c r="E780" s="86" t="s">
        <v>474</v>
      </c>
      <c r="F780" s="86"/>
      <c r="G780" s="64">
        <f>G781</f>
        <v>0</v>
      </c>
    </row>
    <row r="781" spans="1:7" ht="31.5" hidden="1">
      <c r="A781" s="51" t="s">
        <v>56</v>
      </c>
      <c r="B781" s="80"/>
      <c r="C781" s="80" t="s">
        <v>125</v>
      </c>
      <c r="D781" s="80" t="s">
        <v>48</v>
      </c>
      <c r="E781" s="86" t="s">
        <v>474</v>
      </c>
      <c r="F781" s="86">
        <v>200</v>
      </c>
      <c r="G781" s="64"/>
    </row>
    <row r="782" spans="1:7" ht="78.75">
      <c r="A782" s="51" t="s">
        <v>475</v>
      </c>
      <c r="B782" s="80"/>
      <c r="C782" s="80" t="s">
        <v>125</v>
      </c>
      <c r="D782" s="80" t="s">
        <v>48</v>
      </c>
      <c r="E782" s="86" t="s">
        <v>476</v>
      </c>
      <c r="F782" s="86"/>
      <c r="G782" s="64">
        <f>G783+G784</f>
        <v>10</v>
      </c>
    </row>
    <row r="783" spans="1:7" ht="31.5">
      <c r="A783" s="51" t="s">
        <v>56</v>
      </c>
      <c r="B783" s="80"/>
      <c r="C783" s="80" t="s">
        <v>125</v>
      </c>
      <c r="D783" s="80" t="s">
        <v>48</v>
      </c>
      <c r="E783" s="86" t="s">
        <v>476</v>
      </c>
      <c r="F783" s="86">
        <v>200</v>
      </c>
      <c r="G783" s="64">
        <v>10</v>
      </c>
    </row>
    <row r="784" spans="1:7" ht="31.5" hidden="1">
      <c r="A784" s="51" t="s">
        <v>76</v>
      </c>
      <c r="B784" s="80"/>
      <c r="C784" s="80" t="s">
        <v>125</v>
      </c>
      <c r="D784" s="80" t="s">
        <v>48</v>
      </c>
      <c r="E784" s="86" t="s">
        <v>476</v>
      </c>
      <c r="F784" s="86">
        <v>600</v>
      </c>
      <c r="G784" s="64"/>
    </row>
    <row r="785" spans="1:7" ht="47.25">
      <c r="A785" s="51" t="s">
        <v>471</v>
      </c>
      <c r="B785" s="80"/>
      <c r="C785" s="80" t="s">
        <v>125</v>
      </c>
      <c r="D785" s="80" t="s">
        <v>48</v>
      </c>
      <c r="E785" s="86" t="s">
        <v>472</v>
      </c>
      <c r="F785" s="86"/>
      <c r="G785" s="64">
        <f>G786</f>
        <v>40</v>
      </c>
    </row>
    <row r="786" spans="1:7" ht="31.5">
      <c r="A786" s="51" t="s">
        <v>56</v>
      </c>
      <c r="B786" s="80"/>
      <c r="C786" s="80" t="s">
        <v>125</v>
      </c>
      <c r="D786" s="80" t="s">
        <v>48</v>
      </c>
      <c r="E786" s="86" t="s">
        <v>472</v>
      </c>
      <c r="F786" s="86">
        <v>200</v>
      </c>
      <c r="G786" s="64">
        <v>40</v>
      </c>
    </row>
    <row r="787" spans="1:7" ht="47.25">
      <c r="A787" s="51" t="s">
        <v>30</v>
      </c>
      <c r="B787" s="80"/>
      <c r="C787" s="80" t="s">
        <v>125</v>
      </c>
      <c r="D787" s="80" t="s">
        <v>48</v>
      </c>
      <c r="E787" s="86" t="s">
        <v>451</v>
      </c>
      <c r="F787" s="80"/>
      <c r="G787" s="64">
        <f>SUM(G788)</f>
        <v>109639</v>
      </c>
    </row>
    <row r="788" spans="1:7" ht="15.75">
      <c r="A788" s="51" t="s">
        <v>477</v>
      </c>
      <c r="B788" s="80"/>
      <c r="C788" s="80" t="s">
        <v>125</v>
      </c>
      <c r="D788" s="80" t="s">
        <v>48</v>
      </c>
      <c r="E788" s="86" t="s">
        <v>478</v>
      </c>
      <c r="F788" s="80"/>
      <c r="G788" s="64">
        <f>G789</f>
        <v>109639</v>
      </c>
    </row>
    <row r="789" spans="1:7" ht="31.5">
      <c r="A789" s="51" t="s">
        <v>76</v>
      </c>
      <c r="B789" s="80"/>
      <c r="C789" s="80" t="s">
        <v>125</v>
      </c>
      <c r="D789" s="80" t="s">
        <v>48</v>
      </c>
      <c r="E789" s="86" t="s">
        <v>478</v>
      </c>
      <c r="F789" s="80" t="s">
        <v>135</v>
      </c>
      <c r="G789" s="64">
        <v>109639</v>
      </c>
    </row>
    <row r="790" spans="1:7" ht="15.75">
      <c r="A790" s="51" t="s">
        <v>166</v>
      </c>
      <c r="B790" s="80"/>
      <c r="C790" s="80" t="s">
        <v>125</v>
      </c>
      <c r="D790" s="80" t="s">
        <v>48</v>
      </c>
      <c r="E790" s="52" t="s">
        <v>520</v>
      </c>
      <c r="F790" s="80"/>
      <c r="G790" s="64">
        <f>SUM(G791)</f>
        <v>172.5</v>
      </c>
    </row>
    <row r="791" spans="1:7" ht="14.25" customHeight="1">
      <c r="A791" s="51" t="s">
        <v>477</v>
      </c>
      <c r="B791" s="80"/>
      <c r="C791" s="80" t="s">
        <v>125</v>
      </c>
      <c r="D791" s="80" t="s">
        <v>48</v>
      </c>
      <c r="E791" s="52" t="s">
        <v>479</v>
      </c>
      <c r="F791" s="80"/>
      <c r="G791" s="64">
        <f>G793+G795+G797</f>
        <v>172.5</v>
      </c>
    </row>
    <row r="792" spans="1:7" ht="15.75" hidden="1">
      <c r="A792" s="51" t="s">
        <v>456</v>
      </c>
      <c r="B792" s="80"/>
      <c r="C792" s="80" t="s">
        <v>125</v>
      </c>
      <c r="D792" s="80" t="s">
        <v>48</v>
      </c>
      <c r="E792" s="52" t="s">
        <v>480</v>
      </c>
      <c r="F792" s="80"/>
      <c r="G792" s="64">
        <f>G793</f>
        <v>0</v>
      </c>
    </row>
    <row r="793" spans="1:7" ht="31.5" hidden="1">
      <c r="A793" s="51" t="s">
        <v>76</v>
      </c>
      <c r="B793" s="80"/>
      <c r="C793" s="80" t="s">
        <v>125</v>
      </c>
      <c r="D793" s="80" t="s">
        <v>48</v>
      </c>
      <c r="E793" s="52" t="s">
        <v>480</v>
      </c>
      <c r="F793" s="80" t="s">
        <v>135</v>
      </c>
      <c r="G793" s="64"/>
    </row>
    <row r="794" spans="1:7" ht="31.5">
      <c r="A794" s="51" t="s">
        <v>458</v>
      </c>
      <c r="B794" s="80"/>
      <c r="C794" s="80" t="s">
        <v>125</v>
      </c>
      <c r="D794" s="80" t="s">
        <v>48</v>
      </c>
      <c r="E794" s="52" t="s">
        <v>481</v>
      </c>
      <c r="F794" s="80"/>
      <c r="G794" s="64">
        <f>G795</f>
        <v>134</v>
      </c>
    </row>
    <row r="795" spans="1:7" ht="31.5">
      <c r="A795" s="51" t="s">
        <v>76</v>
      </c>
      <c r="B795" s="80"/>
      <c r="C795" s="80" t="s">
        <v>125</v>
      </c>
      <c r="D795" s="80" t="s">
        <v>48</v>
      </c>
      <c r="E795" s="52" t="s">
        <v>481</v>
      </c>
      <c r="F795" s="80" t="s">
        <v>135</v>
      </c>
      <c r="G795" s="64">
        <v>134</v>
      </c>
    </row>
    <row r="796" spans="1:7" ht="15.75">
      <c r="A796" s="51" t="s">
        <v>460</v>
      </c>
      <c r="B796" s="80"/>
      <c r="C796" s="80" t="s">
        <v>125</v>
      </c>
      <c r="D796" s="80" t="s">
        <v>48</v>
      </c>
      <c r="E796" s="52" t="s">
        <v>482</v>
      </c>
      <c r="F796" s="80"/>
      <c r="G796" s="64">
        <f>G797</f>
        <v>38.5</v>
      </c>
    </row>
    <row r="797" spans="1:7" ht="31.5">
      <c r="A797" s="51" t="s">
        <v>76</v>
      </c>
      <c r="B797" s="80"/>
      <c r="C797" s="80" t="s">
        <v>125</v>
      </c>
      <c r="D797" s="80" t="s">
        <v>48</v>
      </c>
      <c r="E797" s="52" t="s">
        <v>482</v>
      </c>
      <c r="F797" s="80" t="s">
        <v>135</v>
      </c>
      <c r="G797" s="64">
        <v>38.5</v>
      </c>
    </row>
    <row r="798" spans="1:7" ht="31.5">
      <c r="A798" s="51" t="s">
        <v>49</v>
      </c>
      <c r="B798" s="80"/>
      <c r="C798" s="80" t="s">
        <v>125</v>
      </c>
      <c r="D798" s="80" t="s">
        <v>48</v>
      </c>
      <c r="E798" s="52" t="s">
        <v>462</v>
      </c>
      <c r="F798" s="52"/>
      <c r="G798" s="64">
        <f>SUM(G799+G803)</f>
        <v>111561.50000000001</v>
      </c>
    </row>
    <row r="799" spans="1:7" ht="15.75">
      <c r="A799" s="51" t="s">
        <v>477</v>
      </c>
      <c r="B799" s="80"/>
      <c r="C799" s="80" t="s">
        <v>125</v>
      </c>
      <c r="D799" s="80" t="s">
        <v>48</v>
      </c>
      <c r="E799" s="52" t="s">
        <v>483</v>
      </c>
      <c r="F799" s="52"/>
      <c r="G799" s="64">
        <f>G800+G801+G802</f>
        <v>103516.90000000001</v>
      </c>
    </row>
    <row r="800" spans="1:7" ht="47.25">
      <c r="A800" s="70" t="s">
        <v>55</v>
      </c>
      <c r="B800" s="80"/>
      <c r="C800" s="80" t="s">
        <v>125</v>
      </c>
      <c r="D800" s="80" t="s">
        <v>48</v>
      </c>
      <c r="E800" s="52" t="s">
        <v>483</v>
      </c>
      <c r="F800" s="80" t="s">
        <v>99</v>
      </c>
      <c r="G800" s="64">
        <v>42767.8</v>
      </c>
    </row>
    <row r="801" spans="1:7" ht="31.5">
      <c r="A801" s="51" t="s">
        <v>56</v>
      </c>
      <c r="B801" s="80"/>
      <c r="C801" s="80" t="s">
        <v>125</v>
      </c>
      <c r="D801" s="80" t="s">
        <v>48</v>
      </c>
      <c r="E801" s="52" t="s">
        <v>483</v>
      </c>
      <c r="F801" s="80" t="s">
        <v>101</v>
      </c>
      <c r="G801" s="64">
        <v>46307.8</v>
      </c>
    </row>
    <row r="802" spans="1:7" ht="15.75">
      <c r="A802" s="51" t="s">
        <v>26</v>
      </c>
      <c r="B802" s="80"/>
      <c r="C802" s="80" t="s">
        <v>125</v>
      </c>
      <c r="D802" s="80" t="s">
        <v>48</v>
      </c>
      <c r="E802" s="52" t="s">
        <v>483</v>
      </c>
      <c r="F802" s="80" t="s">
        <v>106</v>
      </c>
      <c r="G802" s="64">
        <v>14441.3</v>
      </c>
    </row>
    <row r="803" spans="1:7" ht="15.75">
      <c r="A803" s="51" t="s">
        <v>484</v>
      </c>
      <c r="B803" s="80"/>
      <c r="C803" s="80" t="s">
        <v>125</v>
      </c>
      <c r="D803" s="80" t="s">
        <v>48</v>
      </c>
      <c r="E803" s="86" t="s">
        <v>485</v>
      </c>
      <c r="F803" s="86"/>
      <c r="G803" s="64">
        <f>G804+G805+G806</f>
        <v>8044.6</v>
      </c>
    </row>
    <row r="804" spans="1:7" ht="47.25">
      <c r="A804" s="70" t="s">
        <v>55</v>
      </c>
      <c r="B804" s="80"/>
      <c r="C804" s="80" t="s">
        <v>125</v>
      </c>
      <c r="D804" s="80" t="s">
        <v>48</v>
      </c>
      <c r="E804" s="86" t="s">
        <v>485</v>
      </c>
      <c r="F804" s="86">
        <v>100</v>
      </c>
      <c r="G804" s="64">
        <v>3238.4</v>
      </c>
    </row>
    <row r="805" spans="1:7" ht="31.5">
      <c r="A805" s="51" t="s">
        <v>56</v>
      </c>
      <c r="B805" s="80"/>
      <c r="C805" s="80" t="s">
        <v>125</v>
      </c>
      <c r="D805" s="80" t="s">
        <v>48</v>
      </c>
      <c r="E805" s="86" t="s">
        <v>485</v>
      </c>
      <c r="F805" s="86">
        <v>200</v>
      </c>
      <c r="G805" s="64">
        <v>3587.6</v>
      </c>
    </row>
    <row r="806" spans="1:7" ht="15.75">
      <c r="A806" s="51" t="s">
        <v>26</v>
      </c>
      <c r="B806" s="80"/>
      <c r="C806" s="80" t="s">
        <v>125</v>
      </c>
      <c r="D806" s="80" t="s">
        <v>48</v>
      </c>
      <c r="E806" s="86" t="s">
        <v>485</v>
      </c>
      <c r="F806" s="86">
        <v>800</v>
      </c>
      <c r="G806" s="64">
        <v>1218.6</v>
      </c>
    </row>
    <row r="807" spans="1:7" ht="31.5">
      <c r="A807" s="51" t="s">
        <v>464</v>
      </c>
      <c r="B807" s="80"/>
      <c r="C807" s="80" t="s">
        <v>125</v>
      </c>
      <c r="D807" s="80" t="s">
        <v>48</v>
      </c>
      <c r="E807" s="52" t="s">
        <v>465</v>
      </c>
      <c r="F807" s="80"/>
      <c r="G807" s="64">
        <f>G808</f>
        <v>7190.1</v>
      </c>
    </row>
    <row r="808" spans="1:7" ht="15.75">
      <c r="A808" s="51" t="s">
        <v>39</v>
      </c>
      <c r="B808" s="80"/>
      <c r="C808" s="80" t="s">
        <v>125</v>
      </c>
      <c r="D808" s="80" t="s">
        <v>48</v>
      </c>
      <c r="E808" s="52" t="s">
        <v>466</v>
      </c>
      <c r="F808" s="80"/>
      <c r="G808" s="64">
        <f>SUM(G809:G810)</f>
        <v>7190.1</v>
      </c>
    </row>
    <row r="809" spans="1:7" ht="31.5">
      <c r="A809" s="51" t="s">
        <v>56</v>
      </c>
      <c r="B809" s="80"/>
      <c r="C809" s="80" t="s">
        <v>125</v>
      </c>
      <c r="D809" s="80" t="s">
        <v>48</v>
      </c>
      <c r="E809" s="52" t="s">
        <v>466</v>
      </c>
      <c r="F809" s="80" t="s">
        <v>101</v>
      </c>
      <c r="G809" s="64">
        <v>4990.8</v>
      </c>
    </row>
    <row r="810" spans="1:7" ht="31.5">
      <c r="A810" s="51" t="s">
        <v>76</v>
      </c>
      <c r="B810" s="80"/>
      <c r="C810" s="80" t="s">
        <v>125</v>
      </c>
      <c r="D810" s="80" t="s">
        <v>48</v>
      </c>
      <c r="E810" s="52" t="s">
        <v>466</v>
      </c>
      <c r="F810" s="80" t="s">
        <v>135</v>
      </c>
      <c r="G810" s="64">
        <v>2199.3</v>
      </c>
    </row>
    <row r="811" spans="1:7" ht="15.75">
      <c r="A811" s="51" t="s">
        <v>126</v>
      </c>
      <c r="B811" s="80"/>
      <c r="C811" s="80" t="s">
        <v>125</v>
      </c>
      <c r="D811" s="80" t="s">
        <v>58</v>
      </c>
      <c r="E811" s="80"/>
      <c r="F811" s="80"/>
      <c r="G811" s="64">
        <f>G812</f>
        <v>58065.1</v>
      </c>
    </row>
    <row r="812" spans="1:7" ht="31.5">
      <c r="A812" s="51" t="s">
        <v>444</v>
      </c>
      <c r="B812" s="80"/>
      <c r="C812" s="80" t="s">
        <v>125</v>
      </c>
      <c r="D812" s="80" t="s">
        <v>58</v>
      </c>
      <c r="E812" s="134" t="s">
        <v>445</v>
      </c>
      <c r="F812" s="80"/>
      <c r="G812" s="64">
        <f>G816+G813+G819</f>
        <v>58065.1</v>
      </c>
    </row>
    <row r="813" spans="1:7" ht="15.75">
      <c r="A813" s="51" t="s">
        <v>39</v>
      </c>
      <c r="B813" s="80"/>
      <c r="C813" s="80" t="s">
        <v>125</v>
      </c>
      <c r="D813" s="80" t="s">
        <v>58</v>
      </c>
      <c r="E813" s="85" t="s">
        <v>446</v>
      </c>
      <c r="F813" s="80"/>
      <c r="G813" s="64">
        <f>G814</f>
        <v>10</v>
      </c>
    </row>
    <row r="814" spans="1:7" ht="15.75">
      <c r="A814" s="51" t="s">
        <v>486</v>
      </c>
      <c r="B814" s="80"/>
      <c r="C814" s="80" t="s">
        <v>125</v>
      </c>
      <c r="D814" s="80" t="s">
        <v>58</v>
      </c>
      <c r="E814" s="134" t="s">
        <v>631</v>
      </c>
      <c r="F814" s="80"/>
      <c r="G814" s="64">
        <f>G815</f>
        <v>10</v>
      </c>
    </row>
    <row r="815" spans="1:7" ht="31.5">
      <c r="A815" s="51" t="s">
        <v>76</v>
      </c>
      <c r="B815" s="80"/>
      <c r="C815" s="80" t="s">
        <v>125</v>
      </c>
      <c r="D815" s="80" t="s">
        <v>58</v>
      </c>
      <c r="E815" s="134" t="s">
        <v>631</v>
      </c>
      <c r="F815" s="80" t="s">
        <v>135</v>
      </c>
      <c r="G815" s="64">
        <v>10</v>
      </c>
    </row>
    <row r="816" spans="1:7" ht="47.25">
      <c r="A816" s="51" t="s">
        <v>30</v>
      </c>
      <c r="B816" s="80"/>
      <c r="C816" s="80" t="s">
        <v>125</v>
      </c>
      <c r="D816" s="80" t="s">
        <v>58</v>
      </c>
      <c r="E816" s="85" t="s">
        <v>451</v>
      </c>
      <c r="F816" s="80"/>
      <c r="G816" s="64">
        <f>SUM(G817)</f>
        <v>58055.1</v>
      </c>
    </row>
    <row r="817" spans="1:7" ht="15.75">
      <c r="A817" s="51" t="s">
        <v>486</v>
      </c>
      <c r="B817" s="80"/>
      <c r="C817" s="80" t="s">
        <v>125</v>
      </c>
      <c r="D817" s="80" t="s">
        <v>58</v>
      </c>
      <c r="E817" s="85" t="s">
        <v>487</v>
      </c>
      <c r="F817" s="80"/>
      <c r="G817" s="64">
        <f>G818</f>
        <v>58055.1</v>
      </c>
    </row>
    <row r="818" spans="1:7" ht="31.5">
      <c r="A818" s="51" t="s">
        <v>779</v>
      </c>
      <c r="B818" s="80"/>
      <c r="C818" s="80" t="s">
        <v>125</v>
      </c>
      <c r="D818" s="80" t="s">
        <v>58</v>
      </c>
      <c r="E818" s="85" t="s">
        <v>487</v>
      </c>
      <c r="F818" s="80" t="s">
        <v>135</v>
      </c>
      <c r="G818" s="64">
        <v>58055.1</v>
      </c>
    </row>
    <row r="819" spans="1:7" ht="31.5" hidden="1">
      <c r="A819" s="51" t="s">
        <v>464</v>
      </c>
      <c r="B819" s="80"/>
      <c r="C819" s="80" t="s">
        <v>125</v>
      </c>
      <c r="D819" s="80" t="s">
        <v>58</v>
      </c>
      <c r="E819" s="134" t="s">
        <v>465</v>
      </c>
      <c r="F819" s="80"/>
      <c r="G819" s="64">
        <f>G820</f>
        <v>0</v>
      </c>
    </row>
    <row r="820" spans="1:7" ht="15.75" hidden="1">
      <c r="A820" s="51" t="s">
        <v>39</v>
      </c>
      <c r="B820" s="80"/>
      <c r="C820" s="80" t="s">
        <v>125</v>
      </c>
      <c r="D820" s="80" t="s">
        <v>58</v>
      </c>
      <c r="E820" s="134" t="s">
        <v>466</v>
      </c>
      <c r="F820" s="80"/>
      <c r="G820" s="64">
        <f>SUM(G821)</f>
        <v>0</v>
      </c>
    </row>
    <row r="821" spans="1:7" ht="31.5" hidden="1">
      <c r="A821" s="51" t="s">
        <v>76</v>
      </c>
      <c r="B821" s="80"/>
      <c r="C821" s="80" t="s">
        <v>125</v>
      </c>
      <c r="D821" s="80" t="s">
        <v>58</v>
      </c>
      <c r="E821" s="134" t="s">
        <v>466</v>
      </c>
      <c r="F821" s="80" t="s">
        <v>135</v>
      </c>
      <c r="G821" s="64"/>
    </row>
    <row r="822" spans="1:7" ht="15.75">
      <c r="A822" s="51" t="s">
        <v>488</v>
      </c>
      <c r="B822" s="80"/>
      <c r="C822" s="80" t="s">
        <v>125</v>
      </c>
      <c r="D822" s="80" t="s">
        <v>125</v>
      </c>
      <c r="E822" s="80"/>
      <c r="F822" s="80"/>
      <c r="G822" s="64">
        <f>SUM(G829+G832+G835)+G823</f>
        <v>25359.1</v>
      </c>
    </row>
    <row r="823" spans="1:7" ht="31.5">
      <c r="A823" s="168" t="s">
        <v>244</v>
      </c>
      <c r="B823" s="80"/>
      <c r="C823" s="80" t="s">
        <v>125</v>
      </c>
      <c r="D823" s="80" t="s">
        <v>125</v>
      </c>
      <c r="E823" s="132" t="s">
        <v>245</v>
      </c>
      <c r="F823" s="80"/>
      <c r="G823" s="64">
        <f>SUM(G824)</f>
        <v>16665.6</v>
      </c>
    </row>
    <row r="824" spans="1:7" ht="47.25">
      <c r="A824" s="168" t="s">
        <v>612</v>
      </c>
      <c r="B824" s="80"/>
      <c r="C824" s="80" t="s">
        <v>125</v>
      </c>
      <c r="D824" s="80" t="s">
        <v>125</v>
      </c>
      <c r="E824" s="132" t="s">
        <v>776</v>
      </c>
      <c r="F824" s="80"/>
      <c r="G824" s="64">
        <f>SUM(G825)</f>
        <v>16665.6</v>
      </c>
    </row>
    <row r="825" spans="1:7" ht="15.75">
      <c r="A825" s="168" t="s">
        <v>1192</v>
      </c>
      <c r="B825" s="80"/>
      <c r="C825" s="80" t="s">
        <v>125</v>
      </c>
      <c r="D825" s="80" t="s">
        <v>125</v>
      </c>
      <c r="E825" s="80" t="s">
        <v>1193</v>
      </c>
      <c r="F825" s="80"/>
      <c r="G825" s="64">
        <f>SUM(G826:G828)</f>
        <v>16665.6</v>
      </c>
    </row>
    <row r="826" spans="1:7" ht="31.5">
      <c r="A826" s="168" t="s">
        <v>56</v>
      </c>
      <c r="B826" s="80"/>
      <c r="C826" s="80" t="s">
        <v>125</v>
      </c>
      <c r="D826" s="80" t="s">
        <v>125</v>
      </c>
      <c r="E826" s="80" t="s">
        <v>1193</v>
      </c>
      <c r="F826" s="169" t="s">
        <v>101</v>
      </c>
      <c r="G826" s="64">
        <v>2131.6</v>
      </c>
    </row>
    <row r="827" spans="1:7" ht="31.5">
      <c r="A827" s="168" t="s">
        <v>779</v>
      </c>
      <c r="B827" s="80"/>
      <c r="C827" s="80" t="s">
        <v>125</v>
      </c>
      <c r="D827" s="80" t="s">
        <v>125</v>
      </c>
      <c r="E827" s="80" t="s">
        <v>1193</v>
      </c>
      <c r="F827" s="169" t="s">
        <v>135</v>
      </c>
      <c r="G827" s="64">
        <v>6334.6</v>
      </c>
    </row>
    <row r="828" spans="1:7" ht="15.75">
      <c r="A828" s="168" t="s">
        <v>26</v>
      </c>
      <c r="B828" s="80"/>
      <c r="C828" s="80" t="s">
        <v>125</v>
      </c>
      <c r="D828" s="80" t="s">
        <v>125</v>
      </c>
      <c r="E828" s="80" t="s">
        <v>1193</v>
      </c>
      <c r="F828" s="169" t="s">
        <v>106</v>
      </c>
      <c r="G828" s="64">
        <v>8199.4</v>
      </c>
    </row>
    <row r="829" spans="1:7" ht="31.5">
      <c r="A829" s="51" t="s">
        <v>489</v>
      </c>
      <c r="B829" s="53"/>
      <c r="C829" s="53" t="s">
        <v>125</v>
      </c>
      <c r="D829" s="53" t="s">
        <v>125</v>
      </c>
      <c r="E829" s="53" t="s">
        <v>275</v>
      </c>
      <c r="F829" s="53"/>
      <c r="G829" s="54">
        <f>G830</f>
        <v>78</v>
      </c>
    </row>
    <row r="830" spans="1:7" ht="15.75">
      <c r="A830" s="51" t="s">
        <v>39</v>
      </c>
      <c r="B830" s="53"/>
      <c r="C830" s="53" t="s">
        <v>125</v>
      </c>
      <c r="D830" s="53" t="s">
        <v>125</v>
      </c>
      <c r="E830" s="53" t="s">
        <v>490</v>
      </c>
      <c r="F830" s="53"/>
      <c r="G830" s="54">
        <f>SUM(G831)</f>
        <v>78</v>
      </c>
    </row>
    <row r="831" spans="1:7" ht="31.5">
      <c r="A831" s="51" t="s">
        <v>56</v>
      </c>
      <c r="B831" s="53"/>
      <c r="C831" s="53" t="s">
        <v>125</v>
      </c>
      <c r="D831" s="53" t="s">
        <v>125</v>
      </c>
      <c r="E831" s="53" t="s">
        <v>490</v>
      </c>
      <c r="F831" s="53" t="s">
        <v>101</v>
      </c>
      <c r="G831" s="54">
        <v>78</v>
      </c>
    </row>
    <row r="832" spans="1:7" ht="47.25">
      <c r="A832" s="51" t="s">
        <v>492</v>
      </c>
      <c r="B832" s="53"/>
      <c r="C832" s="53" t="s">
        <v>125</v>
      </c>
      <c r="D832" s="53" t="s">
        <v>125</v>
      </c>
      <c r="E832" s="53" t="s">
        <v>493</v>
      </c>
      <c r="F832" s="53"/>
      <c r="G832" s="54">
        <f>G833</f>
        <v>78.5</v>
      </c>
    </row>
    <row r="833" spans="1:7" ht="15.75">
      <c r="A833" s="51" t="s">
        <v>39</v>
      </c>
      <c r="B833" s="53"/>
      <c r="C833" s="53" t="s">
        <v>125</v>
      </c>
      <c r="D833" s="53" t="s">
        <v>125</v>
      </c>
      <c r="E833" s="53" t="s">
        <v>494</v>
      </c>
      <c r="F833" s="53"/>
      <c r="G833" s="54">
        <f>SUM(G834)</f>
        <v>78.5</v>
      </c>
    </row>
    <row r="834" spans="1:7" ht="31.5">
      <c r="A834" s="51" t="s">
        <v>56</v>
      </c>
      <c r="B834" s="53"/>
      <c r="C834" s="53" t="s">
        <v>125</v>
      </c>
      <c r="D834" s="53" t="s">
        <v>125</v>
      </c>
      <c r="E834" s="53" t="s">
        <v>494</v>
      </c>
      <c r="F834" s="53" t="s">
        <v>101</v>
      </c>
      <c r="G834" s="54">
        <v>78.5</v>
      </c>
    </row>
    <row r="835" spans="1:7" ht="31.5">
      <c r="A835" s="51" t="s">
        <v>444</v>
      </c>
      <c r="B835" s="53"/>
      <c r="C835" s="53" t="s">
        <v>125</v>
      </c>
      <c r="D835" s="53" t="s">
        <v>125</v>
      </c>
      <c r="E835" s="52" t="s">
        <v>445</v>
      </c>
      <c r="F835" s="53"/>
      <c r="G835" s="54">
        <f>G836+G844</f>
        <v>8537</v>
      </c>
    </row>
    <row r="836" spans="1:7" ht="15.75">
      <c r="A836" s="51" t="s">
        <v>39</v>
      </c>
      <c r="B836" s="53"/>
      <c r="C836" s="53" t="s">
        <v>125</v>
      </c>
      <c r="D836" s="53" t="s">
        <v>125</v>
      </c>
      <c r="E836" s="52" t="s">
        <v>446</v>
      </c>
      <c r="F836" s="53"/>
      <c r="G836" s="54">
        <f>SUM(G837+G840)</f>
        <v>6000</v>
      </c>
    </row>
    <row r="837" spans="1:7" ht="15.75">
      <c r="A837" s="128" t="s">
        <v>496</v>
      </c>
      <c r="B837" s="80"/>
      <c r="C837" s="80" t="s">
        <v>125</v>
      </c>
      <c r="D837" s="80" t="s">
        <v>125</v>
      </c>
      <c r="E837" s="80" t="s">
        <v>497</v>
      </c>
      <c r="F837" s="53"/>
      <c r="G837" s="54">
        <f>SUM(G838:G839)</f>
        <v>3043.8</v>
      </c>
    </row>
    <row r="838" spans="1:7" ht="31.5">
      <c r="A838" s="51" t="s">
        <v>56</v>
      </c>
      <c r="B838" s="53"/>
      <c r="C838" s="53" t="s">
        <v>125</v>
      </c>
      <c r="D838" s="53" t="s">
        <v>125</v>
      </c>
      <c r="E838" s="86" t="s">
        <v>497</v>
      </c>
      <c r="F838" s="53" t="s">
        <v>101</v>
      </c>
      <c r="G838" s="54">
        <v>1114.6</v>
      </c>
    </row>
    <row r="839" spans="1:7" ht="31.5">
      <c r="A839" s="168" t="s">
        <v>779</v>
      </c>
      <c r="B839" s="169"/>
      <c r="C839" s="169" t="s">
        <v>125</v>
      </c>
      <c r="D839" s="169" t="s">
        <v>125</v>
      </c>
      <c r="E839" s="86" t="s">
        <v>497</v>
      </c>
      <c r="F839" s="169" t="s">
        <v>135</v>
      </c>
      <c r="G839" s="54">
        <v>1929.2</v>
      </c>
    </row>
    <row r="840" spans="1:7" ht="47.25">
      <c r="A840" s="51" t="s">
        <v>498</v>
      </c>
      <c r="B840" s="53"/>
      <c r="C840" s="53" t="s">
        <v>499</v>
      </c>
      <c r="D840" s="53" t="s">
        <v>125</v>
      </c>
      <c r="E840" s="52" t="s">
        <v>500</v>
      </c>
      <c r="F840" s="53"/>
      <c r="G840" s="54">
        <f>SUM(G841:G843)</f>
        <v>2956.2000000000003</v>
      </c>
    </row>
    <row r="841" spans="1:7" ht="31.5">
      <c r="A841" s="51" t="s">
        <v>56</v>
      </c>
      <c r="B841" s="53"/>
      <c r="C841" s="53" t="s">
        <v>499</v>
      </c>
      <c r="D841" s="53" t="s">
        <v>125</v>
      </c>
      <c r="E841" s="52" t="s">
        <v>500</v>
      </c>
      <c r="F841" s="53" t="s">
        <v>101</v>
      </c>
      <c r="G841" s="54">
        <v>236.8</v>
      </c>
    </row>
    <row r="842" spans="1:7" ht="31.5">
      <c r="A842" s="163" t="s">
        <v>76</v>
      </c>
      <c r="B842" s="164"/>
      <c r="C842" s="164" t="s">
        <v>499</v>
      </c>
      <c r="D842" s="164" t="s">
        <v>125</v>
      </c>
      <c r="E842" s="52" t="s">
        <v>500</v>
      </c>
      <c r="F842" s="164" t="s">
        <v>135</v>
      </c>
      <c r="G842" s="54">
        <v>481.6</v>
      </c>
    </row>
    <row r="843" spans="1:7" ht="15.75">
      <c r="A843" s="163" t="s">
        <v>26</v>
      </c>
      <c r="B843" s="164"/>
      <c r="C843" s="164" t="s">
        <v>499</v>
      </c>
      <c r="D843" s="164" t="s">
        <v>125</v>
      </c>
      <c r="E843" s="52" t="s">
        <v>500</v>
      </c>
      <c r="F843" s="164" t="s">
        <v>106</v>
      </c>
      <c r="G843" s="54">
        <v>2237.8</v>
      </c>
    </row>
    <row r="844" spans="1:7" ht="31.5">
      <c r="A844" s="51" t="s">
        <v>501</v>
      </c>
      <c r="B844" s="80"/>
      <c r="C844" s="80" t="s">
        <v>125</v>
      </c>
      <c r="D844" s="80" t="s">
        <v>125</v>
      </c>
      <c r="E844" s="80" t="s">
        <v>502</v>
      </c>
      <c r="F844" s="80"/>
      <c r="G844" s="64">
        <f>G845+G851</f>
        <v>2537</v>
      </c>
    </row>
    <row r="845" spans="1:7" ht="15.75">
      <c r="A845" s="51" t="s">
        <v>39</v>
      </c>
      <c r="B845" s="80"/>
      <c r="C845" s="80" t="s">
        <v>125</v>
      </c>
      <c r="D845" s="80" t="s">
        <v>125</v>
      </c>
      <c r="E845" s="80" t="s">
        <v>503</v>
      </c>
      <c r="F845" s="80"/>
      <c r="G845" s="64">
        <f>G846+G849</f>
        <v>550.1</v>
      </c>
    </row>
    <row r="846" spans="1:7" ht="31.5">
      <c r="A846" s="51" t="s">
        <v>504</v>
      </c>
      <c r="B846" s="52"/>
      <c r="C846" s="80" t="s">
        <v>125</v>
      </c>
      <c r="D846" s="80" t="s">
        <v>125</v>
      </c>
      <c r="E846" s="80" t="s">
        <v>505</v>
      </c>
      <c r="F846" s="80"/>
      <c r="G846" s="64">
        <f>SUM(G847:G848)</f>
        <v>250.10000000000002</v>
      </c>
    </row>
    <row r="847" spans="1:7" ht="31.5">
      <c r="A847" s="51" t="s">
        <v>56</v>
      </c>
      <c r="B847" s="52"/>
      <c r="C847" s="80" t="s">
        <v>125</v>
      </c>
      <c r="D847" s="80" t="s">
        <v>125</v>
      </c>
      <c r="E847" s="80" t="s">
        <v>505</v>
      </c>
      <c r="F847" s="80" t="s">
        <v>101</v>
      </c>
      <c r="G847" s="64">
        <v>119.7</v>
      </c>
    </row>
    <row r="848" spans="1:7" ht="31.5">
      <c r="A848" s="168" t="s">
        <v>76</v>
      </c>
      <c r="B848" s="52"/>
      <c r="C848" s="80" t="s">
        <v>125</v>
      </c>
      <c r="D848" s="80" t="s">
        <v>125</v>
      </c>
      <c r="E848" s="80" t="s">
        <v>505</v>
      </c>
      <c r="F848" s="80" t="s">
        <v>135</v>
      </c>
      <c r="G848" s="64">
        <v>130.4</v>
      </c>
    </row>
    <row r="849" spans="1:7" ht="63">
      <c r="A849" s="51" t="s">
        <v>506</v>
      </c>
      <c r="B849" s="80"/>
      <c r="C849" s="80" t="s">
        <v>125</v>
      </c>
      <c r="D849" s="80" t="s">
        <v>125</v>
      </c>
      <c r="E849" s="86" t="s">
        <v>507</v>
      </c>
      <c r="F849" s="80"/>
      <c r="G849" s="64">
        <v>300</v>
      </c>
    </row>
    <row r="850" spans="1:7" ht="31.5">
      <c r="A850" s="51" t="s">
        <v>56</v>
      </c>
      <c r="B850" s="80"/>
      <c r="C850" s="80" t="s">
        <v>125</v>
      </c>
      <c r="D850" s="80" t="s">
        <v>125</v>
      </c>
      <c r="E850" s="86" t="s">
        <v>507</v>
      </c>
      <c r="F850" s="80" t="s">
        <v>101</v>
      </c>
      <c r="G850" s="64">
        <v>300</v>
      </c>
    </row>
    <row r="851" spans="1:7" ht="31.5">
      <c r="A851" s="51" t="s">
        <v>49</v>
      </c>
      <c r="B851" s="80"/>
      <c r="C851" s="80" t="s">
        <v>125</v>
      </c>
      <c r="D851" s="80" t="s">
        <v>125</v>
      </c>
      <c r="E851" s="52" t="s">
        <v>508</v>
      </c>
      <c r="F851" s="80"/>
      <c r="G851" s="64">
        <f>SUM(G852)</f>
        <v>1986.9</v>
      </c>
    </row>
    <row r="852" spans="1:7" ht="15.75">
      <c r="A852" s="55" t="s">
        <v>509</v>
      </c>
      <c r="B852" s="80"/>
      <c r="C852" s="80" t="s">
        <v>125</v>
      </c>
      <c r="D852" s="80" t="s">
        <v>125</v>
      </c>
      <c r="E852" s="52" t="s">
        <v>510</v>
      </c>
      <c r="F852" s="80"/>
      <c r="G852" s="64">
        <f>G853+G854+G855</f>
        <v>1986.9</v>
      </c>
    </row>
    <row r="853" spans="1:7" ht="47.25">
      <c r="A853" s="70" t="s">
        <v>55</v>
      </c>
      <c r="B853" s="80"/>
      <c r="C853" s="80" t="s">
        <v>125</v>
      </c>
      <c r="D853" s="80" t="s">
        <v>125</v>
      </c>
      <c r="E853" s="52" t="s">
        <v>510</v>
      </c>
      <c r="F853" s="80" t="s">
        <v>99</v>
      </c>
      <c r="G853" s="64">
        <f>1382.5+417.5</f>
        <v>1800</v>
      </c>
    </row>
    <row r="854" spans="1:7" ht="31.5">
      <c r="A854" s="51" t="s">
        <v>56</v>
      </c>
      <c r="B854" s="80"/>
      <c r="C854" s="80" t="s">
        <v>125</v>
      </c>
      <c r="D854" s="80" t="s">
        <v>125</v>
      </c>
      <c r="E854" s="52" t="s">
        <v>510</v>
      </c>
      <c r="F854" s="80" t="s">
        <v>101</v>
      </c>
      <c r="G854" s="64">
        <f>1986.9-G853-G855</f>
        <v>183.7000000000001</v>
      </c>
    </row>
    <row r="855" spans="1:7" ht="15.75">
      <c r="A855" s="51" t="s">
        <v>26</v>
      </c>
      <c r="B855" s="80"/>
      <c r="C855" s="80" t="s">
        <v>125</v>
      </c>
      <c r="D855" s="80" t="s">
        <v>125</v>
      </c>
      <c r="E855" s="52" t="s">
        <v>510</v>
      </c>
      <c r="F855" s="80" t="s">
        <v>106</v>
      </c>
      <c r="G855" s="64">
        <v>3.2</v>
      </c>
    </row>
    <row r="856" spans="1:7" ht="15.75">
      <c r="A856" s="51" t="s">
        <v>203</v>
      </c>
      <c r="B856" s="52"/>
      <c r="C856" s="80" t="s">
        <v>125</v>
      </c>
      <c r="D856" s="80" t="s">
        <v>192</v>
      </c>
      <c r="E856" s="52"/>
      <c r="F856" s="52"/>
      <c r="G856" s="54">
        <f>G865+G857</f>
        <v>46297.1</v>
      </c>
    </row>
    <row r="857" spans="1:7" ht="31.5">
      <c r="A857" s="51" t="s">
        <v>244</v>
      </c>
      <c r="B857" s="80"/>
      <c r="C857" s="80" t="s">
        <v>125</v>
      </c>
      <c r="D857" s="80" t="s">
        <v>192</v>
      </c>
      <c r="E857" s="132" t="s">
        <v>245</v>
      </c>
      <c r="F857" s="126"/>
      <c r="G857" s="54">
        <f>G861+G858</f>
        <v>5568</v>
      </c>
    </row>
    <row r="858" spans="1:7" ht="47.25">
      <c r="A858" s="168" t="s">
        <v>612</v>
      </c>
      <c r="B858" s="80"/>
      <c r="C858" s="80" t="s">
        <v>125</v>
      </c>
      <c r="D858" s="80" t="s">
        <v>192</v>
      </c>
      <c r="E858" s="132" t="s">
        <v>776</v>
      </c>
      <c r="F858" s="126"/>
      <c r="G858" s="54">
        <f>SUM(G859)</f>
        <v>1631.4</v>
      </c>
    </row>
    <row r="859" spans="1:7" ht="15.75">
      <c r="A859" s="168" t="s">
        <v>1194</v>
      </c>
      <c r="B859" s="80"/>
      <c r="C859" s="80" t="s">
        <v>125</v>
      </c>
      <c r="D859" s="80" t="s">
        <v>192</v>
      </c>
      <c r="E859" s="132" t="s">
        <v>1195</v>
      </c>
      <c r="F859" s="126"/>
      <c r="G859" s="54">
        <f>SUM(G860)</f>
        <v>1631.4</v>
      </c>
    </row>
    <row r="860" spans="1:7" ht="31.5">
      <c r="A860" s="168" t="s">
        <v>56</v>
      </c>
      <c r="B860" s="80"/>
      <c r="C860" s="80" t="s">
        <v>125</v>
      </c>
      <c r="D860" s="80" t="s">
        <v>192</v>
      </c>
      <c r="E860" s="132" t="s">
        <v>1195</v>
      </c>
      <c r="F860" s="126">
        <v>200</v>
      </c>
      <c r="G860" s="54">
        <v>1631.4</v>
      </c>
    </row>
    <row r="861" spans="1:7" ht="78.75">
      <c r="A861" s="51" t="s">
        <v>632</v>
      </c>
      <c r="B861" s="80"/>
      <c r="C861" s="80" t="s">
        <v>125</v>
      </c>
      <c r="D861" s="80" t="s">
        <v>192</v>
      </c>
      <c r="E861" s="85" t="s">
        <v>247</v>
      </c>
      <c r="F861" s="80"/>
      <c r="G861" s="54">
        <f>G862</f>
        <v>3936.6</v>
      </c>
    </row>
    <row r="862" spans="1:7" ht="63">
      <c r="A862" s="51" t="s">
        <v>633</v>
      </c>
      <c r="B862" s="80"/>
      <c r="C862" s="80" t="s">
        <v>125</v>
      </c>
      <c r="D862" s="80" t="s">
        <v>192</v>
      </c>
      <c r="E862" s="85" t="s">
        <v>634</v>
      </c>
      <c r="F862" s="80"/>
      <c r="G862" s="54">
        <f>G863+G864</f>
        <v>3936.6</v>
      </c>
    </row>
    <row r="863" spans="1:7" ht="47.25">
      <c r="A863" s="51" t="s">
        <v>55</v>
      </c>
      <c r="B863" s="80"/>
      <c r="C863" s="80" t="s">
        <v>125</v>
      </c>
      <c r="D863" s="80" t="s">
        <v>192</v>
      </c>
      <c r="E863" s="85" t="s">
        <v>634</v>
      </c>
      <c r="F863" s="80" t="s">
        <v>99</v>
      </c>
      <c r="G863" s="54">
        <v>3300</v>
      </c>
    </row>
    <row r="864" spans="1:7" ht="31.5">
      <c r="A864" s="51" t="s">
        <v>56</v>
      </c>
      <c r="B864" s="80"/>
      <c r="C864" s="80" t="s">
        <v>125</v>
      </c>
      <c r="D864" s="80" t="s">
        <v>192</v>
      </c>
      <c r="E864" s="85" t="s">
        <v>634</v>
      </c>
      <c r="F864" s="80" t="s">
        <v>101</v>
      </c>
      <c r="G864" s="54">
        <v>636.6</v>
      </c>
    </row>
    <row r="865" spans="1:7" ht="31.5">
      <c r="A865" s="51" t="s">
        <v>444</v>
      </c>
      <c r="B865" s="53"/>
      <c r="C865" s="53" t="s">
        <v>125</v>
      </c>
      <c r="D865" s="53" t="s">
        <v>192</v>
      </c>
      <c r="E865" s="52" t="s">
        <v>445</v>
      </c>
      <c r="F865" s="52"/>
      <c r="G865" s="54">
        <f>SUM(G874)+G866+G871</f>
        <v>40729.1</v>
      </c>
    </row>
    <row r="866" spans="1:7" ht="15.75">
      <c r="A866" s="51" t="s">
        <v>39</v>
      </c>
      <c r="B866" s="80"/>
      <c r="C866" s="80" t="s">
        <v>125</v>
      </c>
      <c r="D866" s="80" t="s">
        <v>192</v>
      </c>
      <c r="E866" s="85" t="s">
        <v>446</v>
      </c>
      <c r="F866" s="80"/>
      <c r="G866" s="64">
        <f>SUM(G867+G869)</f>
        <v>375</v>
      </c>
    </row>
    <row r="867" spans="1:7" ht="15.75">
      <c r="A867" s="51" t="s">
        <v>636</v>
      </c>
      <c r="B867" s="80"/>
      <c r="C867" s="80" t="s">
        <v>125</v>
      </c>
      <c r="D867" s="80" t="s">
        <v>192</v>
      </c>
      <c r="E867" s="85" t="s">
        <v>643</v>
      </c>
      <c r="F867" s="80"/>
      <c r="G867" s="64">
        <f>G868</f>
        <v>195</v>
      </c>
    </row>
    <row r="868" spans="1:7" ht="31.5">
      <c r="A868" s="51" t="s">
        <v>56</v>
      </c>
      <c r="B868" s="80"/>
      <c r="C868" s="80" t="s">
        <v>125</v>
      </c>
      <c r="D868" s="80" t="s">
        <v>192</v>
      </c>
      <c r="E868" s="85" t="s">
        <v>643</v>
      </c>
      <c r="F868" s="80" t="s">
        <v>101</v>
      </c>
      <c r="G868" s="64">
        <v>195</v>
      </c>
    </row>
    <row r="869" spans="1:7" ht="47.25">
      <c r="A869" s="51" t="s">
        <v>473</v>
      </c>
      <c r="B869" s="80"/>
      <c r="C869" s="80" t="s">
        <v>125</v>
      </c>
      <c r="D869" s="80" t="s">
        <v>192</v>
      </c>
      <c r="E869" s="85" t="s">
        <v>474</v>
      </c>
      <c r="F869" s="86"/>
      <c r="G869" s="64">
        <f>G870</f>
        <v>180</v>
      </c>
    </row>
    <row r="870" spans="1:7" ht="31.5">
      <c r="A870" s="51" t="s">
        <v>56</v>
      </c>
      <c r="B870" s="80"/>
      <c r="C870" s="80" t="s">
        <v>125</v>
      </c>
      <c r="D870" s="80" t="s">
        <v>192</v>
      </c>
      <c r="E870" s="85" t="s">
        <v>474</v>
      </c>
      <c r="F870" s="86">
        <v>200</v>
      </c>
      <c r="G870" s="64">
        <v>180</v>
      </c>
    </row>
    <row r="871" spans="1:7" ht="31.5">
      <c r="A871" s="168" t="s">
        <v>464</v>
      </c>
      <c r="B871" s="80"/>
      <c r="C871" s="80" t="s">
        <v>125</v>
      </c>
      <c r="D871" s="80" t="s">
        <v>192</v>
      </c>
      <c r="E871" s="52" t="s">
        <v>465</v>
      </c>
      <c r="F871" s="86"/>
      <c r="G871" s="64">
        <f>SUM(G872)</f>
        <v>250</v>
      </c>
    </row>
    <row r="872" spans="1:7" ht="15.75">
      <c r="A872" s="168" t="s">
        <v>39</v>
      </c>
      <c r="B872" s="80"/>
      <c r="C872" s="80" t="s">
        <v>125</v>
      </c>
      <c r="D872" s="80" t="s">
        <v>192</v>
      </c>
      <c r="E872" s="52" t="s">
        <v>466</v>
      </c>
      <c r="F872" s="86"/>
      <c r="G872" s="64">
        <f>SUM(G873)</f>
        <v>250</v>
      </c>
    </row>
    <row r="873" spans="1:7" ht="31.5">
      <c r="A873" s="168" t="s">
        <v>56</v>
      </c>
      <c r="B873" s="80"/>
      <c r="C873" s="80" t="s">
        <v>125</v>
      </c>
      <c r="D873" s="80" t="s">
        <v>192</v>
      </c>
      <c r="E873" s="52" t="s">
        <v>466</v>
      </c>
      <c r="F873" s="86">
        <v>200</v>
      </c>
      <c r="G873" s="64">
        <v>250</v>
      </c>
    </row>
    <row r="874" spans="1:7" ht="31.5">
      <c r="A874" s="51" t="s">
        <v>511</v>
      </c>
      <c r="B874" s="80"/>
      <c r="C874" s="80" t="s">
        <v>125</v>
      </c>
      <c r="D874" s="80" t="s">
        <v>192</v>
      </c>
      <c r="E874" s="134" t="s">
        <v>512</v>
      </c>
      <c r="F874" s="80"/>
      <c r="G874" s="64">
        <f>SUM(G875)</f>
        <v>40104.1</v>
      </c>
    </row>
    <row r="875" spans="1:7" ht="31.5">
      <c r="A875" s="51" t="s">
        <v>49</v>
      </c>
      <c r="B875" s="80"/>
      <c r="C875" s="80" t="s">
        <v>125</v>
      </c>
      <c r="D875" s="80" t="s">
        <v>192</v>
      </c>
      <c r="E875" s="86" t="s">
        <v>513</v>
      </c>
      <c r="F875" s="80"/>
      <c r="G875" s="64">
        <f>SUM(G876)</f>
        <v>40104.1</v>
      </c>
    </row>
    <row r="876" spans="1:7" ht="15.75">
      <c r="A876" s="128" t="s">
        <v>521</v>
      </c>
      <c r="B876" s="80"/>
      <c r="C876" s="80" t="s">
        <v>125</v>
      </c>
      <c r="D876" s="80" t="s">
        <v>192</v>
      </c>
      <c r="E876" s="86" t="s">
        <v>514</v>
      </c>
      <c r="F876" s="80"/>
      <c r="G876" s="64">
        <f>G877+G878+G879</f>
        <v>40104.1</v>
      </c>
    </row>
    <row r="877" spans="1:7" ht="47.25">
      <c r="A877" s="70" t="s">
        <v>55</v>
      </c>
      <c r="B877" s="80"/>
      <c r="C877" s="80" t="s">
        <v>125</v>
      </c>
      <c r="D877" s="80" t="s">
        <v>192</v>
      </c>
      <c r="E877" s="86" t="s">
        <v>514</v>
      </c>
      <c r="F877" s="80" t="s">
        <v>99</v>
      </c>
      <c r="G877" s="64">
        <v>35245.3</v>
      </c>
    </row>
    <row r="878" spans="1:7" ht="31.5">
      <c r="A878" s="51" t="s">
        <v>56</v>
      </c>
      <c r="B878" s="80"/>
      <c r="C878" s="80" t="s">
        <v>125</v>
      </c>
      <c r="D878" s="80" t="s">
        <v>192</v>
      </c>
      <c r="E878" s="86" t="s">
        <v>514</v>
      </c>
      <c r="F878" s="80" t="s">
        <v>101</v>
      </c>
      <c r="G878" s="64">
        <v>4467.6</v>
      </c>
    </row>
    <row r="879" spans="1:7" ht="15.75">
      <c r="A879" s="51" t="s">
        <v>26</v>
      </c>
      <c r="B879" s="80"/>
      <c r="C879" s="80" t="s">
        <v>125</v>
      </c>
      <c r="D879" s="80" t="s">
        <v>192</v>
      </c>
      <c r="E879" s="86" t="s">
        <v>514</v>
      </c>
      <c r="F879" s="80" t="s">
        <v>106</v>
      </c>
      <c r="G879" s="64">
        <v>391.2</v>
      </c>
    </row>
    <row r="880" spans="1:7" ht="15.75">
      <c r="A880" s="51" t="s">
        <v>34</v>
      </c>
      <c r="B880" s="53"/>
      <c r="C880" s="53" t="s">
        <v>35</v>
      </c>
      <c r="D880" s="53" t="s">
        <v>36</v>
      </c>
      <c r="E880" s="52"/>
      <c r="F880" s="52"/>
      <c r="G880" s="54">
        <f>SUM(G881+G888+G906)</f>
        <v>62849.3</v>
      </c>
    </row>
    <row r="881" spans="1:7" ht="15.75">
      <c r="A881" s="51" t="s">
        <v>57</v>
      </c>
      <c r="B881" s="80"/>
      <c r="C881" s="80" t="s">
        <v>35</v>
      </c>
      <c r="D881" s="80" t="s">
        <v>58</v>
      </c>
      <c r="E881" s="85"/>
      <c r="F881" s="80"/>
      <c r="G881" s="64">
        <f>G882</f>
        <v>5159.900000000001</v>
      </c>
    </row>
    <row r="882" spans="1:7" ht="31.5">
      <c r="A882" s="51" t="s">
        <v>554</v>
      </c>
      <c r="B882" s="53"/>
      <c r="C882" s="53" t="s">
        <v>35</v>
      </c>
      <c r="D882" s="53" t="s">
        <v>58</v>
      </c>
      <c r="E882" s="134" t="s">
        <v>540</v>
      </c>
      <c r="F882" s="80"/>
      <c r="G882" s="64">
        <f>G883</f>
        <v>5159.900000000001</v>
      </c>
    </row>
    <row r="883" spans="1:7" ht="31.5">
      <c r="A883" s="51" t="s">
        <v>563</v>
      </c>
      <c r="B883" s="53"/>
      <c r="C883" s="53" t="s">
        <v>35</v>
      </c>
      <c r="D883" s="53" t="s">
        <v>58</v>
      </c>
      <c r="E883" s="134" t="s">
        <v>564</v>
      </c>
      <c r="F883" s="80"/>
      <c r="G883" s="64">
        <f>G884</f>
        <v>5159.900000000001</v>
      </c>
    </row>
    <row r="884" spans="1:7" ht="78.75">
      <c r="A884" s="51" t="s">
        <v>317</v>
      </c>
      <c r="B884" s="53"/>
      <c r="C884" s="53" t="s">
        <v>35</v>
      </c>
      <c r="D884" s="53" t="s">
        <v>58</v>
      </c>
      <c r="E884" s="53" t="s">
        <v>565</v>
      </c>
      <c r="F884" s="80"/>
      <c r="G884" s="64">
        <f>G885</f>
        <v>5159.900000000001</v>
      </c>
    </row>
    <row r="885" spans="1:7" ht="47.25">
      <c r="A885" s="51" t="s">
        <v>638</v>
      </c>
      <c r="B885" s="53"/>
      <c r="C885" s="53" t="s">
        <v>35</v>
      </c>
      <c r="D885" s="53" t="s">
        <v>58</v>
      </c>
      <c r="E885" s="134" t="s">
        <v>589</v>
      </c>
      <c r="F885" s="80"/>
      <c r="G885" s="64">
        <f>G886+G887</f>
        <v>5159.900000000001</v>
      </c>
    </row>
    <row r="886" spans="1:7" ht="15.75">
      <c r="A886" s="51" t="s">
        <v>46</v>
      </c>
      <c r="B886" s="53"/>
      <c r="C886" s="53" t="s">
        <v>35</v>
      </c>
      <c r="D886" s="53" t="s">
        <v>58</v>
      </c>
      <c r="E886" s="134" t="s">
        <v>589</v>
      </c>
      <c r="F886" s="53" t="s">
        <v>109</v>
      </c>
      <c r="G886" s="64">
        <v>4693.1</v>
      </c>
    </row>
    <row r="887" spans="1:7" ht="31.5">
      <c r="A887" s="51" t="s">
        <v>134</v>
      </c>
      <c r="B887" s="80"/>
      <c r="C887" s="53" t="s">
        <v>35</v>
      </c>
      <c r="D887" s="53" t="s">
        <v>58</v>
      </c>
      <c r="E887" s="134" t="s">
        <v>589</v>
      </c>
      <c r="F887" s="80" t="s">
        <v>135</v>
      </c>
      <c r="G887" s="64">
        <v>466.8</v>
      </c>
    </row>
    <row r="888" spans="1:7" ht="15.75">
      <c r="A888" s="51" t="s">
        <v>209</v>
      </c>
      <c r="B888" s="52"/>
      <c r="C888" s="80" t="s">
        <v>35</v>
      </c>
      <c r="D888" s="80" t="s">
        <v>17</v>
      </c>
      <c r="E888" s="134"/>
      <c r="F888" s="52"/>
      <c r="G888" s="54">
        <f>SUM(G889+G893+G900)</f>
        <v>57439.700000000004</v>
      </c>
    </row>
    <row r="889" spans="1:7" ht="31.5">
      <c r="A889" s="51" t="s">
        <v>244</v>
      </c>
      <c r="B889" s="80"/>
      <c r="C889" s="80" t="s">
        <v>35</v>
      </c>
      <c r="D889" s="80" t="s">
        <v>17</v>
      </c>
      <c r="E889" s="133" t="s">
        <v>245</v>
      </c>
      <c r="F889" s="80"/>
      <c r="G889" s="54">
        <f>G890</f>
        <v>10524.4</v>
      </c>
    </row>
    <row r="890" spans="1:7" ht="78.75">
      <c r="A890" s="51" t="s">
        <v>632</v>
      </c>
      <c r="B890" s="80"/>
      <c r="C890" s="80" t="s">
        <v>35</v>
      </c>
      <c r="D890" s="80" t="s">
        <v>17</v>
      </c>
      <c r="E890" s="133" t="s">
        <v>247</v>
      </c>
      <c r="F890" s="52"/>
      <c r="G890" s="54">
        <f>G891</f>
        <v>10524.4</v>
      </c>
    </row>
    <row r="891" spans="1:7" ht="47.25">
      <c r="A891" s="51" t="s">
        <v>639</v>
      </c>
      <c r="B891" s="80"/>
      <c r="C891" s="80" t="s">
        <v>35</v>
      </c>
      <c r="D891" s="80" t="s">
        <v>17</v>
      </c>
      <c r="E891" s="133" t="s">
        <v>640</v>
      </c>
      <c r="F891" s="80"/>
      <c r="G891" s="54">
        <f>G892</f>
        <v>10524.4</v>
      </c>
    </row>
    <row r="892" spans="1:7" ht="15.75">
      <c r="A892" s="51" t="s">
        <v>46</v>
      </c>
      <c r="B892" s="80"/>
      <c r="C892" s="80" t="s">
        <v>35</v>
      </c>
      <c r="D892" s="80" t="s">
        <v>17</v>
      </c>
      <c r="E892" s="133" t="s">
        <v>640</v>
      </c>
      <c r="F892" s="80" t="s">
        <v>109</v>
      </c>
      <c r="G892" s="54">
        <v>10524.4</v>
      </c>
    </row>
    <row r="893" spans="1:7" ht="31.5">
      <c r="A893" s="51" t="s">
        <v>616</v>
      </c>
      <c r="B893" s="80"/>
      <c r="C893" s="80" t="s">
        <v>35</v>
      </c>
      <c r="D893" s="80" t="s">
        <v>17</v>
      </c>
      <c r="E893" s="132" t="s">
        <v>617</v>
      </c>
      <c r="F893" s="80"/>
      <c r="G893" s="54">
        <f>G897+G894</f>
        <v>43915.3</v>
      </c>
    </row>
    <row r="894" spans="1:7" ht="47.25">
      <c r="A894" s="168" t="s">
        <v>612</v>
      </c>
      <c r="B894" s="80"/>
      <c r="C894" s="80" t="s">
        <v>35</v>
      </c>
      <c r="D894" s="80" t="s">
        <v>17</v>
      </c>
      <c r="E894" s="132" t="s">
        <v>773</v>
      </c>
      <c r="F894" s="80"/>
      <c r="G894" s="54">
        <f>SUM(G895)</f>
        <v>12112.4</v>
      </c>
    </row>
    <row r="895" spans="1:7" ht="78.75">
      <c r="A895" s="168" t="s">
        <v>1196</v>
      </c>
      <c r="B895" s="80"/>
      <c r="C895" s="80" t="s">
        <v>35</v>
      </c>
      <c r="D895" s="80" t="s">
        <v>17</v>
      </c>
      <c r="E895" s="132" t="s">
        <v>1197</v>
      </c>
      <c r="F895" s="80"/>
      <c r="G895" s="54">
        <f>SUM(G896)</f>
        <v>12112.4</v>
      </c>
    </row>
    <row r="896" spans="1:7" ht="15.75">
      <c r="A896" s="168" t="s">
        <v>46</v>
      </c>
      <c r="B896" s="80"/>
      <c r="C896" s="80" t="s">
        <v>35</v>
      </c>
      <c r="D896" s="80" t="s">
        <v>17</v>
      </c>
      <c r="E896" s="132" t="s">
        <v>1197</v>
      </c>
      <c r="F896" s="80" t="s">
        <v>109</v>
      </c>
      <c r="G896" s="54">
        <v>12112.4</v>
      </c>
    </row>
    <row r="897" spans="1:7" ht="78.75">
      <c r="A897" s="51" t="s">
        <v>632</v>
      </c>
      <c r="B897" s="80"/>
      <c r="C897" s="80" t="s">
        <v>35</v>
      </c>
      <c r="D897" s="80" t="s">
        <v>17</v>
      </c>
      <c r="E897" s="132" t="s">
        <v>619</v>
      </c>
      <c r="F897" s="80"/>
      <c r="G897" s="54">
        <f>G898</f>
        <v>31802.9</v>
      </c>
    </row>
    <row r="898" spans="1:7" ht="63">
      <c r="A898" s="51" t="s">
        <v>641</v>
      </c>
      <c r="B898" s="80"/>
      <c r="C898" s="80" t="s">
        <v>35</v>
      </c>
      <c r="D898" s="80" t="s">
        <v>17</v>
      </c>
      <c r="E898" s="133" t="s">
        <v>642</v>
      </c>
      <c r="F898" s="80"/>
      <c r="G898" s="54">
        <f>G899</f>
        <v>31802.9</v>
      </c>
    </row>
    <row r="899" spans="1:7" ht="15.75">
      <c r="A899" s="51" t="s">
        <v>46</v>
      </c>
      <c r="B899" s="53"/>
      <c r="C899" s="80" t="s">
        <v>35</v>
      </c>
      <c r="D899" s="80" t="s">
        <v>17</v>
      </c>
      <c r="E899" s="133" t="s">
        <v>642</v>
      </c>
      <c r="F899" s="80">
        <v>300</v>
      </c>
      <c r="G899" s="54">
        <v>31802.9</v>
      </c>
    </row>
    <row r="900" spans="1:7" ht="31.5">
      <c r="A900" s="51" t="s">
        <v>444</v>
      </c>
      <c r="B900" s="52"/>
      <c r="C900" s="80" t="s">
        <v>35</v>
      </c>
      <c r="D900" s="80" t="s">
        <v>17</v>
      </c>
      <c r="E900" s="52" t="s">
        <v>445</v>
      </c>
      <c r="F900" s="52"/>
      <c r="G900" s="54">
        <f>SUM(G901)</f>
        <v>3000</v>
      </c>
    </row>
    <row r="901" spans="1:7" ht="15.75">
      <c r="A901" s="51" t="s">
        <v>39</v>
      </c>
      <c r="B901" s="80"/>
      <c r="C901" s="80" t="s">
        <v>35</v>
      </c>
      <c r="D901" s="80" t="s">
        <v>17</v>
      </c>
      <c r="E901" s="86" t="s">
        <v>446</v>
      </c>
      <c r="F901" s="80"/>
      <c r="G901" s="64">
        <f>SUM(G902+G904)</f>
        <v>3000</v>
      </c>
    </row>
    <row r="902" spans="1:7" ht="31.5" hidden="1">
      <c r="A902" s="51" t="s">
        <v>447</v>
      </c>
      <c r="B902" s="80"/>
      <c r="C902" s="80" t="s">
        <v>35</v>
      </c>
      <c r="D902" s="80" t="s">
        <v>17</v>
      </c>
      <c r="E902" s="52" t="s">
        <v>448</v>
      </c>
      <c r="F902" s="80"/>
      <c r="G902" s="64">
        <f>G903</f>
        <v>0</v>
      </c>
    </row>
    <row r="903" spans="1:7" ht="15.75" hidden="1">
      <c r="A903" s="51" t="s">
        <v>46</v>
      </c>
      <c r="B903" s="80"/>
      <c r="C903" s="80" t="s">
        <v>35</v>
      </c>
      <c r="D903" s="80" t="s">
        <v>17</v>
      </c>
      <c r="E903" s="52" t="s">
        <v>448</v>
      </c>
      <c r="F903" s="80" t="s">
        <v>109</v>
      </c>
      <c r="G903" s="64">
        <v>0</v>
      </c>
    </row>
    <row r="904" spans="1:7" ht="110.25">
      <c r="A904" s="51" t="s">
        <v>515</v>
      </c>
      <c r="B904" s="80"/>
      <c r="C904" s="80" t="s">
        <v>35</v>
      </c>
      <c r="D904" s="80" t="s">
        <v>17</v>
      </c>
      <c r="E904" s="52" t="s">
        <v>516</v>
      </c>
      <c r="F904" s="80"/>
      <c r="G904" s="64">
        <f>G905</f>
        <v>3000</v>
      </c>
    </row>
    <row r="905" spans="1:7" ht="15.75">
      <c r="A905" s="51" t="s">
        <v>46</v>
      </c>
      <c r="B905" s="80"/>
      <c r="C905" s="80" t="s">
        <v>35</v>
      </c>
      <c r="D905" s="80" t="s">
        <v>17</v>
      </c>
      <c r="E905" s="52" t="s">
        <v>516</v>
      </c>
      <c r="F905" s="80" t="s">
        <v>109</v>
      </c>
      <c r="G905" s="64">
        <v>3000</v>
      </c>
    </row>
    <row r="906" spans="1:7" ht="15.75">
      <c r="A906" s="168" t="s">
        <v>81</v>
      </c>
      <c r="B906" s="217"/>
      <c r="C906" s="208" t="s">
        <v>35</v>
      </c>
      <c r="D906" s="208" t="s">
        <v>82</v>
      </c>
      <c r="E906" s="208"/>
      <c r="F906" s="218"/>
      <c r="G906" s="213">
        <f>G907</f>
        <v>249.7</v>
      </c>
    </row>
    <row r="907" spans="1:7" ht="31.5">
      <c r="A907" s="168" t="s">
        <v>88</v>
      </c>
      <c r="B907" s="217"/>
      <c r="C907" s="208" t="s">
        <v>35</v>
      </c>
      <c r="D907" s="208" t="s">
        <v>82</v>
      </c>
      <c r="E907" s="209" t="s">
        <v>20</v>
      </c>
      <c r="F907" s="218"/>
      <c r="G907" s="213">
        <f>G908</f>
        <v>249.7</v>
      </c>
    </row>
    <row r="908" spans="1:7" ht="15.75">
      <c r="A908" s="168" t="s">
        <v>92</v>
      </c>
      <c r="B908" s="217"/>
      <c r="C908" s="208" t="s">
        <v>35</v>
      </c>
      <c r="D908" s="208" t="s">
        <v>82</v>
      </c>
      <c r="E908" s="209" t="s">
        <v>72</v>
      </c>
      <c r="F908" s="209"/>
      <c r="G908" s="213">
        <f>SUM(G910)</f>
        <v>249.7</v>
      </c>
    </row>
    <row r="909" spans="1:7" ht="15.75">
      <c r="A909" s="168" t="s">
        <v>39</v>
      </c>
      <c r="B909" s="217"/>
      <c r="C909" s="208" t="s">
        <v>35</v>
      </c>
      <c r="D909" s="208" t="s">
        <v>82</v>
      </c>
      <c r="E909" s="209" t="s">
        <v>678</v>
      </c>
      <c r="F909" s="209"/>
      <c r="G909" s="213">
        <f>G910</f>
        <v>249.7</v>
      </c>
    </row>
    <row r="910" spans="1:7" ht="15.75">
      <c r="A910" s="168" t="s">
        <v>41</v>
      </c>
      <c r="B910" s="217"/>
      <c r="C910" s="208" t="s">
        <v>35</v>
      </c>
      <c r="D910" s="208" t="s">
        <v>82</v>
      </c>
      <c r="E910" s="209" t="s">
        <v>679</v>
      </c>
      <c r="F910" s="209"/>
      <c r="G910" s="213">
        <f>G911</f>
        <v>249.7</v>
      </c>
    </row>
    <row r="911" spans="1:7" ht="31.5">
      <c r="A911" s="219" t="s">
        <v>134</v>
      </c>
      <c r="B911" s="217"/>
      <c r="C911" s="208" t="s">
        <v>35</v>
      </c>
      <c r="D911" s="208" t="s">
        <v>82</v>
      </c>
      <c r="E911" s="209" t="s">
        <v>679</v>
      </c>
      <c r="F911" s="209">
        <v>600</v>
      </c>
      <c r="G911" s="213">
        <v>249.7</v>
      </c>
    </row>
    <row r="912" spans="1:7" s="122" customFormat="1" ht="15.75">
      <c r="A912" s="214" t="s">
        <v>122</v>
      </c>
      <c r="B912" s="215" t="s">
        <v>123</v>
      </c>
      <c r="C912" s="215"/>
      <c r="D912" s="215"/>
      <c r="E912" s="215"/>
      <c r="F912" s="215"/>
      <c r="G912" s="216">
        <f>G913+G927+G998</f>
        <v>185819.59999999998</v>
      </c>
    </row>
    <row r="913" spans="1:7" ht="15.75">
      <c r="A913" s="51" t="s">
        <v>124</v>
      </c>
      <c r="B913" s="80"/>
      <c r="C913" s="80" t="s">
        <v>125</v>
      </c>
      <c r="D913" s="80"/>
      <c r="E913" s="80"/>
      <c r="F913" s="80"/>
      <c r="G913" s="64">
        <f>G914+G920</f>
        <v>61753.6</v>
      </c>
    </row>
    <row r="914" spans="1:7" ht="15.75">
      <c r="A914" s="51" t="s">
        <v>126</v>
      </c>
      <c r="B914" s="80"/>
      <c r="C914" s="80" t="s">
        <v>125</v>
      </c>
      <c r="D914" s="80" t="s">
        <v>58</v>
      </c>
      <c r="E914" s="80"/>
      <c r="F914" s="80"/>
      <c r="G914" s="64">
        <f>G915</f>
        <v>61607.6</v>
      </c>
    </row>
    <row r="915" spans="1:7" ht="15.75">
      <c r="A915" s="51" t="s">
        <v>127</v>
      </c>
      <c r="B915" s="80"/>
      <c r="C915" s="80" t="s">
        <v>125</v>
      </c>
      <c r="D915" s="80" t="s">
        <v>58</v>
      </c>
      <c r="E915" s="80" t="s">
        <v>128</v>
      </c>
      <c r="F915" s="80"/>
      <c r="G915" s="64">
        <f>SUM(G916)</f>
        <v>61607.6</v>
      </c>
    </row>
    <row r="916" spans="1:7" ht="15.75">
      <c r="A916" s="51" t="s">
        <v>129</v>
      </c>
      <c r="B916" s="80"/>
      <c r="C916" s="80" t="s">
        <v>125</v>
      </c>
      <c r="D916" s="80" t="s">
        <v>58</v>
      </c>
      <c r="E916" s="80" t="s">
        <v>130</v>
      </c>
      <c r="F916" s="80"/>
      <c r="G916" s="64">
        <f>G917</f>
        <v>61607.6</v>
      </c>
    </row>
    <row r="917" spans="1:7" ht="47.25">
      <c r="A917" s="51" t="s">
        <v>30</v>
      </c>
      <c r="B917" s="80"/>
      <c r="C917" s="80" t="s">
        <v>125</v>
      </c>
      <c r="D917" s="80" t="s">
        <v>58</v>
      </c>
      <c r="E917" s="80" t="s">
        <v>131</v>
      </c>
      <c r="F917" s="80"/>
      <c r="G917" s="64">
        <f>G918</f>
        <v>61607.6</v>
      </c>
    </row>
    <row r="918" spans="1:7" ht="15.75">
      <c r="A918" s="51" t="s">
        <v>132</v>
      </c>
      <c r="B918" s="80"/>
      <c r="C918" s="80" t="s">
        <v>125</v>
      </c>
      <c r="D918" s="80" t="s">
        <v>58</v>
      </c>
      <c r="E918" s="80" t="s">
        <v>133</v>
      </c>
      <c r="F918" s="80"/>
      <c r="G918" s="64">
        <f>G919</f>
        <v>61607.6</v>
      </c>
    </row>
    <row r="919" spans="1:7" ht="31.5">
      <c r="A919" s="51" t="s">
        <v>134</v>
      </c>
      <c r="B919" s="80"/>
      <c r="C919" s="80" t="s">
        <v>125</v>
      </c>
      <c r="D919" s="80" t="s">
        <v>58</v>
      </c>
      <c r="E919" s="80" t="s">
        <v>133</v>
      </c>
      <c r="F919" s="80" t="s">
        <v>135</v>
      </c>
      <c r="G919" s="64">
        <v>61607.6</v>
      </c>
    </row>
    <row r="920" spans="1:7" ht="15.75">
      <c r="A920" s="166" t="s">
        <v>488</v>
      </c>
      <c r="B920" s="80"/>
      <c r="C920" s="80" t="s">
        <v>125</v>
      </c>
      <c r="D920" s="80" t="s">
        <v>125</v>
      </c>
      <c r="E920" s="52"/>
      <c r="F920" s="52"/>
      <c r="G920" s="64">
        <f>SUM(G921)</f>
        <v>146</v>
      </c>
    </row>
    <row r="921" spans="1:7" ht="31.5">
      <c r="A921" s="166" t="s">
        <v>444</v>
      </c>
      <c r="B921" s="167"/>
      <c r="C921" s="167" t="s">
        <v>125</v>
      </c>
      <c r="D921" s="167" t="s">
        <v>125</v>
      </c>
      <c r="E921" s="52" t="s">
        <v>445</v>
      </c>
      <c r="F921" s="52"/>
      <c r="G921" s="64">
        <f>SUM(G922)</f>
        <v>146</v>
      </c>
    </row>
    <row r="922" spans="1:7" ht="31.5">
      <c r="A922" s="166" t="s">
        <v>501</v>
      </c>
      <c r="B922" s="80"/>
      <c r="C922" s="80" t="s">
        <v>125</v>
      </c>
      <c r="D922" s="80" t="s">
        <v>125</v>
      </c>
      <c r="E922" s="80" t="s">
        <v>502</v>
      </c>
      <c r="F922" s="80"/>
      <c r="G922" s="64">
        <f>SUM(G923)</f>
        <v>146</v>
      </c>
    </row>
    <row r="923" spans="1:7" ht="15.75">
      <c r="A923" s="166" t="s">
        <v>39</v>
      </c>
      <c r="B923" s="80"/>
      <c r="C923" s="80" t="s">
        <v>125</v>
      </c>
      <c r="D923" s="80" t="s">
        <v>125</v>
      </c>
      <c r="E923" s="80" t="s">
        <v>503</v>
      </c>
      <c r="F923" s="80"/>
      <c r="G923" s="64">
        <f>SUM(G924)</f>
        <v>146</v>
      </c>
    </row>
    <row r="924" spans="1:7" ht="31.5">
      <c r="A924" s="166" t="s">
        <v>504</v>
      </c>
      <c r="B924" s="52"/>
      <c r="C924" s="80" t="s">
        <v>125</v>
      </c>
      <c r="D924" s="80" t="s">
        <v>125</v>
      </c>
      <c r="E924" s="80" t="s">
        <v>505</v>
      </c>
      <c r="F924" s="80"/>
      <c r="G924" s="64">
        <f>SUM(G925:G926)</f>
        <v>146</v>
      </c>
    </row>
    <row r="925" spans="1:7" ht="31.5">
      <c r="A925" s="166" t="s">
        <v>56</v>
      </c>
      <c r="B925" s="80"/>
      <c r="C925" s="80" t="s">
        <v>125</v>
      </c>
      <c r="D925" s="80" t="s">
        <v>125</v>
      </c>
      <c r="E925" s="80" t="s">
        <v>505</v>
      </c>
      <c r="F925" s="80" t="s">
        <v>101</v>
      </c>
      <c r="G925" s="54">
        <v>60.8</v>
      </c>
    </row>
    <row r="926" spans="1:7" ht="31.5">
      <c r="A926" s="166" t="s">
        <v>283</v>
      </c>
      <c r="B926" s="96"/>
      <c r="C926" s="80" t="s">
        <v>125</v>
      </c>
      <c r="D926" s="80" t="s">
        <v>125</v>
      </c>
      <c r="E926" s="80" t="s">
        <v>505</v>
      </c>
      <c r="F926" s="86">
        <v>600</v>
      </c>
      <c r="G926" s="64">
        <v>85.2</v>
      </c>
    </row>
    <row r="927" spans="1:7" ht="15.75">
      <c r="A927" s="51" t="s">
        <v>136</v>
      </c>
      <c r="B927" s="80"/>
      <c r="C927" s="80" t="s">
        <v>19</v>
      </c>
      <c r="D927" s="80"/>
      <c r="E927" s="80"/>
      <c r="F927" s="80"/>
      <c r="G927" s="64">
        <f>SUM(G928+G949)</f>
        <v>123208.59999999999</v>
      </c>
    </row>
    <row r="928" spans="1:7" ht="15.75">
      <c r="A928" s="51" t="s">
        <v>137</v>
      </c>
      <c r="B928" s="80"/>
      <c r="C928" s="80" t="s">
        <v>19</v>
      </c>
      <c r="D928" s="80" t="s">
        <v>38</v>
      </c>
      <c r="E928" s="80"/>
      <c r="F928" s="80"/>
      <c r="G928" s="64">
        <f>G929</f>
        <v>109312.59999999999</v>
      </c>
    </row>
    <row r="929" spans="1:7" ht="15.75">
      <c r="A929" s="51" t="s">
        <v>127</v>
      </c>
      <c r="B929" s="80"/>
      <c r="C929" s="80" t="s">
        <v>19</v>
      </c>
      <c r="D929" s="80" t="s">
        <v>38</v>
      </c>
      <c r="E929" s="80" t="s">
        <v>128</v>
      </c>
      <c r="F929" s="80"/>
      <c r="G929" s="64">
        <f>G930+G939+G945</f>
        <v>109312.59999999999</v>
      </c>
    </row>
    <row r="930" spans="1:7" ht="15.75">
      <c r="A930" s="51" t="s">
        <v>138</v>
      </c>
      <c r="B930" s="80"/>
      <c r="C930" s="80" t="s">
        <v>19</v>
      </c>
      <c r="D930" s="80" t="s">
        <v>38</v>
      </c>
      <c r="E930" s="80" t="s">
        <v>139</v>
      </c>
      <c r="F930" s="80"/>
      <c r="G930" s="64">
        <f>G931+G934</f>
        <v>59269.399999999994</v>
      </c>
    </row>
    <row r="931" spans="1:7" ht="47.25">
      <c r="A931" s="51" t="s">
        <v>30</v>
      </c>
      <c r="B931" s="80"/>
      <c r="C931" s="80" t="s">
        <v>19</v>
      </c>
      <c r="D931" s="80" t="s">
        <v>38</v>
      </c>
      <c r="E931" s="80" t="s">
        <v>140</v>
      </c>
      <c r="F931" s="80"/>
      <c r="G931" s="64">
        <f>G932</f>
        <v>36097.9</v>
      </c>
    </row>
    <row r="932" spans="1:7" ht="15.75">
      <c r="A932" s="51" t="s">
        <v>141</v>
      </c>
      <c r="B932" s="80"/>
      <c r="C932" s="80" t="s">
        <v>19</v>
      </c>
      <c r="D932" s="80" t="s">
        <v>38</v>
      </c>
      <c r="E932" s="80" t="s">
        <v>142</v>
      </c>
      <c r="F932" s="80"/>
      <c r="G932" s="64">
        <f>G933</f>
        <v>36097.9</v>
      </c>
    </row>
    <row r="933" spans="1:7" ht="31.5">
      <c r="A933" s="51" t="s">
        <v>134</v>
      </c>
      <c r="B933" s="80"/>
      <c r="C933" s="80" t="s">
        <v>19</v>
      </c>
      <c r="D933" s="80" t="s">
        <v>38</v>
      </c>
      <c r="E933" s="80" t="s">
        <v>142</v>
      </c>
      <c r="F933" s="80" t="s">
        <v>135</v>
      </c>
      <c r="G933" s="64">
        <v>36097.9</v>
      </c>
    </row>
    <row r="934" spans="1:7" ht="31.5">
      <c r="A934" s="51" t="s">
        <v>49</v>
      </c>
      <c r="B934" s="80"/>
      <c r="C934" s="80" t="s">
        <v>19</v>
      </c>
      <c r="D934" s="80" t="s">
        <v>38</v>
      </c>
      <c r="E934" s="80" t="s">
        <v>143</v>
      </c>
      <c r="F934" s="80"/>
      <c r="G934" s="64">
        <f>G935</f>
        <v>23171.499999999996</v>
      </c>
    </row>
    <row r="935" spans="1:7" ht="15.75">
      <c r="A935" s="51" t="s">
        <v>141</v>
      </c>
      <c r="B935" s="80"/>
      <c r="C935" s="80" t="s">
        <v>19</v>
      </c>
      <c r="D935" s="80" t="s">
        <v>38</v>
      </c>
      <c r="E935" s="80" t="s">
        <v>144</v>
      </c>
      <c r="F935" s="80"/>
      <c r="G935" s="64">
        <f>G936+G937+G938</f>
        <v>23171.499999999996</v>
      </c>
    </row>
    <row r="936" spans="1:7" ht="47.25">
      <c r="A936" s="51" t="s">
        <v>55</v>
      </c>
      <c r="B936" s="80"/>
      <c r="C936" s="80" t="s">
        <v>19</v>
      </c>
      <c r="D936" s="80" t="s">
        <v>38</v>
      </c>
      <c r="E936" s="80" t="s">
        <v>144</v>
      </c>
      <c r="F936" s="80" t="s">
        <v>99</v>
      </c>
      <c r="G936" s="64">
        <v>19412.3</v>
      </c>
    </row>
    <row r="937" spans="1:7" ht="31.5">
      <c r="A937" s="51" t="s">
        <v>56</v>
      </c>
      <c r="B937" s="80"/>
      <c r="C937" s="80" t="s">
        <v>19</v>
      </c>
      <c r="D937" s="80" t="s">
        <v>38</v>
      </c>
      <c r="E937" s="80" t="s">
        <v>144</v>
      </c>
      <c r="F937" s="80" t="s">
        <v>101</v>
      </c>
      <c r="G937" s="54">
        <v>3355.6</v>
      </c>
    </row>
    <row r="938" spans="1:7" ht="15.75">
      <c r="A938" s="51" t="s">
        <v>26</v>
      </c>
      <c r="B938" s="80"/>
      <c r="C938" s="80" t="s">
        <v>19</v>
      </c>
      <c r="D938" s="80" t="s">
        <v>38</v>
      </c>
      <c r="E938" s="80" t="s">
        <v>144</v>
      </c>
      <c r="F938" s="80" t="s">
        <v>106</v>
      </c>
      <c r="G938" s="64">
        <v>403.6</v>
      </c>
    </row>
    <row r="939" spans="1:7" ht="15.75">
      <c r="A939" s="51" t="s">
        <v>146</v>
      </c>
      <c r="B939" s="80"/>
      <c r="C939" s="80" t="s">
        <v>19</v>
      </c>
      <c r="D939" s="80" t="s">
        <v>38</v>
      </c>
      <c r="E939" s="80" t="s">
        <v>147</v>
      </c>
      <c r="F939" s="80"/>
      <c r="G939" s="64">
        <f>G940</f>
        <v>42185.49999999999</v>
      </c>
    </row>
    <row r="940" spans="1:7" ht="31.5">
      <c r="A940" s="51" t="s">
        <v>49</v>
      </c>
      <c r="B940" s="80"/>
      <c r="C940" s="80" t="s">
        <v>19</v>
      </c>
      <c r="D940" s="80" t="s">
        <v>38</v>
      </c>
      <c r="E940" s="80" t="s">
        <v>148</v>
      </c>
      <c r="F940" s="80"/>
      <c r="G940" s="64">
        <f>G941</f>
        <v>42185.49999999999</v>
      </c>
    </row>
    <row r="941" spans="1:7" ht="15.75">
      <c r="A941" s="51" t="s">
        <v>149</v>
      </c>
      <c r="B941" s="80"/>
      <c r="C941" s="80" t="s">
        <v>19</v>
      </c>
      <c r="D941" s="80" t="s">
        <v>38</v>
      </c>
      <c r="E941" s="80" t="s">
        <v>150</v>
      </c>
      <c r="F941" s="80"/>
      <c r="G941" s="64">
        <f>G942+G943+G944</f>
        <v>42185.49999999999</v>
      </c>
    </row>
    <row r="942" spans="1:7" ht="47.25">
      <c r="A942" s="51" t="s">
        <v>55</v>
      </c>
      <c r="B942" s="80"/>
      <c r="C942" s="80" t="s">
        <v>19</v>
      </c>
      <c r="D942" s="80" t="s">
        <v>38</v>
      </c>
      <c r="E942" s="80" t="s">
        <v>150</v>
      </c>
      <c r="F942" s="80" t="s">
        <v>99</v>
      </c>
      <c r="G942" s="64">
        <v>35972.2</v>
      </c>
    </row>
    <row r="943" spans="1:7" ht="31.5">
      <c r="A943" s="51" t="s">
        <v>56</v>
      </c>
      <c r="B943" s="80"/>
      <c r="C943" s="80" t="s">
        <v>19</v>
      </c>
      <c r="D943" s="80" t="s">
        <v>38</v>
      </c>
      <c r="E943" s="80" t="s">
        <v>150</v>
      </c>
      <c r="F943" s="80" t="s">
        <v>101</v>
      </c>
      <c r="G943" s="54">
        <v>5685.1</v>
      </c>
    </row>
    <row r="944" spans="1:7" ht="15.75">
      <c r="A944" s="51" t="s">
        <v>26</v>
      </c>
      <c r="B944" s="80"/>
      <c r="C944" s="80" t="s">
        <v>19</v>
      </c>
      <c r="D944" s="80" t="s">
        <v>38</v>
      </c>
      <c r="E944" s="80" t="s">
        <v>150</v>
      </c>
      <c r="F944" s="80" t="s">
        <v>106</v>
      </c>
      <c r="G944" s="64">
        <v>528.2</v>
      </c>
    </row>
    <row r="945" spans="1:7" ht="15.75">
      <c r="A945" s="51" t="s">
        <v>151</v>
      </c>
      <c r="B945" s="80"/>
      <c r="C945" s="80" t="s">
        <v>19</v>
      </c>
      <c r="D945" s="80" t="s">
        <v>38</v>
      </c>
      <c r="E945" s="80" t="s">
        <v>152</v>
      </c>
      <c r="F945" s="80"/>
      <c r="G945" s="64">
        <f>G946</f>
        <v>7857.7</v>
      </c>
    </row>
    <row r="946" spans="1:7" ht="47.25">
      <c r="A946" s="51" t="s">
        <v>30</v>
      </c>
      <c r="B946" s="80"/>
      <c r="C946" s="80" t="s">
        <v>19</v>
      </c>
      <c r="D946" s="80" t="s">
        <v>38</v>
      </c>
      <c r="E946" s="80" t="s">
        <v>153</v>
      </c>
      <c r="F946" s="80"/>
      <c r="G946" s="64">
        <f>G947</f>
        <v>7857.7</v>
      </c>
    </row>
    <row r="947" spans="1:7" ht="15.75">
      <c r="A947" s="51" t="s">
        <v>154</v>
      </c>
      <c r="B947" s="80"/>
      <c r="C947" s="80" t="s">
        <v>19</v>
      </c>
      <c r="D947" s="80" t="s">
        <v>38</v>
      </c>
      <c r="E947" s="80" t="s">
        <v>155</v>
      </c>
      <c r="F947" s="80"/>
      <c r="G947" s="64">
        <f>G948</f>
        <v>7857.7</v>
      </c>
    </row>
    <row r="948" spans="1:7" ht="31.5">
      <c r="A948" s="51" t="s">
        <v>134</v>
      </c>
      <c r="B948" s="80"/>
      <c r="C948" s="80" t="s">
        <v>19</v>
      </c>
      <c r="D948" s="80" t="s">
        <v>38</v>
      </c>
      <c r="E948" s="80" t="s">
        <v>155</v>
      </c>
      <c r="F948" s="80" t="s">
        <v>135</v>
      </c>
      <c r="G948" s="64">
        <v>7857.7</v>
      </c>
    </row>
    <row r="949" spans="1:7" ht="15.75">
      <c r="A949" s="101" t="s">
        <v>156</v>
      </c>
      <c r="B949" s="135"/>
      <c r="C949" s="57" t="s">
        <v>19</v>
      </c>
      <c r="D949" s="57" t="s">
        <v>17</v>
      </c>
      <c r="E949" s="57"/>
      <c r="F949" s="78"/>
      <c r="G949" s="60">
        <f>G950</f>
        <v>13896</v>
      </c>
    </row>
    <row r="950" spans="1:7" ht="15.75">
      <c r="A950" s="77" t="s">
        <v>127</v>
      </c>
      <c r="B950" s="135"/>
      <c r="C950" s="57" t="s">
        <v>19</v>
      </c>
      <c r="D950" s="57" t="s">
        <v>17</v>
      </c>
      <c r="E950" s="57" t="s">
        <v>128</v>
      </c>
      <c r="F950" s="78"/>
      <c r="G950" s="60">
        <f>G951+G959+G964+G992</f>
        <v>13896</v>
      </c>
    </row>
    <row r="951" spans="1:7" ht="31.5">
      <c r="A951" s="77" t="s">
        <v>164</v>
      </c>
      <c r="B951" s="135"/>
      <c r="C951" s="57" t="s">
        <v>19</v>
      </c>
      <c r="D951" s="57" t="s">
        <v>17</v>
      </c>
      <c r="E951" s="57" t="s">
        <v>165</v>
      </c>
      <c r="F951" s="78"/>
      <c r="G951" s="60">
        <f>G952+G956</f>
        <v>1188.7</v>
      </c>
    </row>
    <row r="952" spans="1:7" ht="15.75">
      <c r="A952" s="77" t="s">
        <v>166</v>
      </c>
      <c r="B952" s="135"/>
      <c r="C952" s="57" t="s">
        <v>19</v>
      </c>
      <c r="D952" s="57" t="s">
        <v>17</v>
      </c>
      <c r="E952" s="57" t="s">
        <v>167</v>
      </c>
      <c r="F952" s="78"/>
      <c r="G952" s="60">
        <f>G953</f>
        <v>791.1</v>
      </c>
    </row>
    <row r="953" spans="1:7" ht="15.75">
      <c r="A953" s="77" t="s">
        <v>154</v>
      </c>
      <c r="B953" s="135"/>
      <c r="C953" s="57" t="s">
        <v>19</v>
      </c>
      <c r="D953" s="57" t="s">
        <v>17</v>
      </c>
      <c r="E953" s="57" t="s">
        <v>658</v>
      </c>
      <c r="F953" s="78"/>
      <c r="G953" s="60">
        <f>G954</f>
        <v>791.1</v>
      </c>
    </row>
    <row r="954" spans="1:7" ht="15.75">
      <c r="A954" s="77" t="s">
        <v>460</v>
      </c>
      <c r="B954" s="135"/>
      <c r="C954" s="57" t="s">
        <v>19</v>
      </c>
      <c r="D954" s="57" t="s">
        <v>17</v>
      </c>
      <c r="E954" s="57" t="s">
        <v>659</v>
      </c>
      <c r="F954" s="78"/>
      <c r="G954" s="60">
        <f>G955</f>
        <v>791.1</v>
      </c>
    </row>
    <row r="955" spans="1:7" ht="31.5">
      <c r="A955" s="77" t="s">
        <v>76</v>
      </c>
      <c r="B955" s="135"/>
      <c r="C955" s="57" t="s">
        <v>19</v>
      </c>
      <c r="D955" s="57" t="s">
        <v>17</v>
      </c>
      <c r="E955" s="57" t="s">
        <v>659</v>
      </c>
      <c r="F955" s="78" t="s">
        <v>135</v>
      </c>
      <c r="G955" s="60">
        <v>791.1</v>
      </c>
    </row>
    <row r="956" spans="1:7" ht="15.75">
      <c r="A956" s="77" t="s">
        <v>39</v>
      </c>
      <c r="B956" s="135"/>
      <c r="C956" s="57" t="s">
        <v>19</v>
      </c>
      <c r="D956" s="57" t="s">
        <v>17</v>
      </c>
      <c r="E956" s="57" t="s">
        <v>660</v>
      </c>
      <c r="F956" s="78"/>
      <c r="G956" s="60">
        <f>G957</f>
        <v>397.6</v>
      </c>
    </row>
    <row r="957" spans="1:7" ht="15.75">
      <c r="A957" s="77" t="s">
        <v>141</v>
      </c>
      <c r="B957" s="135"/>
      <c r="C957" s="57" t="s">
        <v>19</v>
      </c>
      <c r="D957" s="57" t="s">
        <v>17</v>
      </c>
      <c r="E957" s="57" t="s">
        <v>661</v>
      </c>
      <c r="F957" s="78"/>
      <c r="G957" s="60">
        <f>G958</f>
        <v>397.6</v>
      </c>
    </row>
    <row r="958" spans="1:7" ht="31.5">
      <c r="A958" s="77" t="s">
        <v>56</v>
      </c>
      <c r="B958" s="135"/>
      <c r="C958" s="57" t="s">
        <v>19</v>
      </c>
      <c r="D958" s="57" t="s">
        <v>17</v>
      </c>
      <c r="E958" s="57" t="s">
        <v>661</v>
      </c>
      <c r="F958" s="78" t="s">
        <v>101</v>
      </c>
      <c r="G958" s="60">
        <v>397.6</v>
      </c>
    </row>
    <row r="959" spans="1:7" ht="15.75">
      <c r="A959" s="77" t="s">
        <v>169</v>
      </c>
      <c r="B959" s="135"/>
      <c r="C959" s="57" t="s">
        <v>19</v>
      </c>
      <c r="D959" s="57" t="s">
        <v>17</v>
      </c>
      <c r="E959" s="57" t="s">
        <v>170</v>
      </c>
      <c r="F959" s="78"/>
      <c r="G959" s="60">
        <f>G960</f>
        <v>1496.8</v>
      </c>
    </row>
    <row r="960" spans="1:7" ht="15.75">
      <c r="A960" s="77" t="s">
        <v>39</v>
      </c>
      <c r="B960" s="135"/>
      <c r="C960" s="57" t="s">
        <v>19</v>
      </c>
      <c r="D960" s="57" t="s">
        <v>17</v>
      </c>
      <c r="E960" s="57" t="s">
        <v>662</v>
      </c>
      <c r="F960" s="78"/>
      <c r="G960" s="60">
        <f>G961</f>
        <v>1496.8</v>
      </c>
    </row>
    <row r="961" spans="1:7" ht="15.75">
      <c r="A961" s="77" t="s">
        <v>168</v>
      </c>
      <c r="B961" s="135"/>
      <c r="C961" s="57" t="s">
        <v>19</v>
      </c>
      <c r="D961" s="57" t="s">
        <v>17</v>
      </c>
      <c r="E961" s="57" t="s">
        <v>663</v>
      </c>
      <c r="F961" s="78"/>
      <c r="G961" s="60">
        <f>G962+G963</f>
        <v>1496.8</v>
      </c>
    </row>
    <row r="962" spans="1:7" ht="63">
      <c r="A962" s="77" t="s">
        <v>145</v>
      </c>
      <c r="B962" s="135"/>
      <c r="C962" s="57" t="s">
        <v>19</v>
      </c>
      <c r="D962" s="57" t="s">
        <v>17</v>
      </c>
      <c r="E962" s="57" t="s">
        <v>663</v>
      </c>
      <c r="F962" s="78" t="s">
        <v>99</v>
      </c>
      <c r="G962" s="60">
        <v>721.8</v>
      </c>
    </row>
    <row r="963" spans="1:7" ht="31.5">
      <c r="A963" s="77" t="s">
        <v>56</v>
      </c>
      <c r="B963" s="135"/>
      <c r="C963" s="57" t="s">
        <v>19</v>
      </c>
      <c r="D963" s="57" t="s">
        <v>17</v>
      </c>
      <c r="E963" s="57" t="s">
        <v>663</v>
      </c>
      <c r="F963" s="78" t="s">
        <v>101</v>
      </c>
      <c r="G963" s="60">
        <v>775</v>
      </c>
    </row>
    <row r="964" spans="1:7" ht="31.5">
      <c r="A964" s="77" t="s">
        <v>171</v>
      </c>
      <c r="B964" s="135"/>
      <c r="C964" s="57" t="s">
        <v>19</v>
      </c>
      <c r="D964" s="57" t="s">
        <v>17</v>
      </c>
      <c r="E964" s="57" t="s">
        <v>172</v>
      </c>
      <c r="F964" s="78"/>
      <c r="G964" s="60">
        <f>G965+G973</f>
        <v>3684.2</v>
      </c>
    </row>
    <row r="965" spans="1:7" ht="15.75">
      <c r="A965" s="77" t="s">
        <v>39</v>
      </c>
      <c r="B965" s="135"/>
      <c r="C965" s="57" t="s">
        <v>19</v>
      </c>
      <c r="D965" s="57" t="s">
        <v>17</v>
      </c>
      <c r="E965" s="57" t="s">
        <v>664</v>
      </c>
      <c r="F965" s="78"/>
      <c r="G965" s="60">
        <f>G966</f>
        <v>1169.7</v>
      </c>
    </row>
    <row r="966" spans="1:7" ht="15.75">
      <c r="A966" s="77" t="s">
        <v>168</v>
      </c>
      <c r="B966" s="135"/>
      <c r="C966" s="57" t="s">
        <v>19</v>
      </c>
      <c r="D966" s="57" t="s">
        <v>17</v>
      </c>
      <c r="E966" s="57" t="s">
        <v>665</v>
      </c>
      <c r="F966" s="78"/>
      <c r="G966" s="60">
        <f>G967+G969+G971</f>
        <v>1169.7</v>
      </c>
    </row>
    <row r="967" spans="1:7" ht="15.75">
      <c r="A967" s="77" t="s">
        <v>141</v>
      </c>
      <c r="B967" s="135"/>
      <c r="C967" s="57" t="s">
        <v>19</v>
      </c>
      <c r="D967" s="57" t="s">
        <v>17</v>
      </c>
      <c r="E967" s="57" t="s">
        <v>666</v>
      </c>
      <c r="F967" s="78"/>
      <c r="G967" s="60">
        <f>G968</f>
        <v>640.4</v>
      </c>
    </row>
    <row r="968" spans="1:7" ht="31.5">
      <c r="A968" s="77" t="s">
        <v>56</v>
      </c>
      <c r="B968" s="135"/>
      <c r="C968" s="57" t="s">
        <v>19</v>
      </c>
      <c r="D968" s="57" t="s">
        <v>17</v>
      </c>
      <c r="E968" s="57" t="s">
        <v>666</v>
      </c>
      <c r="F968" s="78" t="s">
        <v>101</v>
      </c>
      <c r="G968" s="60">
        <v>640.4</v>
      </c>
    </row>
    <row r="969" spans="1:7" ht="15.75">
      <c r="A969" s="77" t="s">
        <v>149</v>
      </c>
      <c r="B969" s="135"/>
      <c r="C969" s="57" t="s">
        <v>19</v>
      </c>
      <c r="D969" s="57" t="s">
        <v>17</v>
      </c>
      <c r="E969" s="57" t="s">
        <v>667</v>
      </c>
      <c r="F969" s="78"/>
      <c r="G969" s="60">
        <f>G970</f>
        <v>451.3</v>
      </c>
    </row>
    <row r="970" spans="1:7" ht="31.5">
      <c r="A970" s="77" t="s">
        <v>56</v>
      </c>
      <c r="B970" s="135"/>
      <c r="C970" s="57" t="s">
        <v>19</v>
      </c>
      <c r="D970" s="57" t="s">
        <v>17</v>
      </c>
      <c r="E970" s="57" t="s">
        <v>667</v>
      </c>
      <c r="F970" s="78" t="s">
        <v>101</v>
      </c>
      <c r="G970" s="60">
        <v>451.3</v>
      </c>
    </row>
    <row r="971" spans="1:7" ht="15.75">
      <c r="A971" s="101" t="s">
        <v>162</v>
      </c>
      <c r="B971" s="135"/>
      <c r="C971" s="57" t="s">
        <v>19</v>
      </c>
      <c r="D971" s="57" t="s">
        <v>17</v>
      </c>
      <c r="E971" s="57" t="s">
        <v>668</v>
      </c>
      <c r="F971" s="78"/>
      <c r="G971" s="60">
        <f>G972</f>
        <v>78</v>
      </c>
    </row>
    <row r="972" spans="1:7" ht="31.5">
      <c r="A972" s="77" t="s">
        <v>56</v>
      </c>
      <c r="B972" s="135"/>
      <c r="C972" s="57" t="s">
        <v>19</v>
      </c>
      <c r="D972" s="57" t="s">
        <v>17</v>
      </c>
      <c r="E972" s="57" t="s">
        <v>668</v>
      </c>
      <c r="F972" s="78" t="s">
        <v>101</v>
      </c>
      <c r="G972" s="60">
        <v>78</v>
      </c>
    </row>
    <row r="973" spans="1:7" ht="15.75">
      <c r="A973" s="77" t="s">
        <v>166</v>
      </c>
      <c r="B973" s="135"/>
      <c r="C973" s="57" t="s">
        <v>19</v>
      </c>
      <c r="D973" s="57" t="s">
        <v>17</v>
      </c>
      <c r="E973" s="57" t="s">
        <v>173</v>
      </c>
      <c r="F973" s="78"/>
      <c r="G973" s="60">
        <f>G974+G977+G987+G982</f>
        <v>2514.4999999999995</v>
      </c>
    </row>
    <row r="974" spans="1:7" ht="31.5">
      <c r="A974" s="77" t="s">
        <v>174</v>
      </c>
      <c r="B974" s="135"/>
      <c r="C974" s="57" t="s">
        <v>19</v>
      </c>
      <c r="D974" s="57" t="s">
        <v>17</v>
      </c>
      <c r="E974" s="57" t="s">
        <v>175</v>
      </c>
      <c r="F974" s="78"/>
      <c r="G974" s="60">
        <f>G975</f>
        <v>1420.9</v>
      </c>
    </row>
    <row r="975" spans="1:7" ht="15.75">
      <c r="A975" s="77" t="s">
        <v>141</v>
      </c>
      <c r="B975" s="135"/>
      <c r="C975" s="57" t="s">
        <v>19</v>
      </c>
      <c r="D975" s="57" t="s">
        <v>17</v>
      </c>
      <c r="E975" s="57" t="s">
        <v>669</v>
      </c>
      <c r="F975" s="78"/>
      <c r="G975" s="60">
        <f>G976</f>
        <v>1420.9</v>
      </c>
    </row>
    <row r="976" spans="1:7" ht="31.5">
      <c r="A976" s="77" t="s">
        <v>134</v>
      </c>
      <c r="B976" s="135"/>
      <c r="C976" s="57" t="s">
        <v>19</v>
      </c>
      <c r="D976" s="57" t="s">
        <v>17</v>
      </c>
      <c r="E976" s="57" t="s">
        <v>669</v>
      </c>
      <c r="F976" s="78" t="s">
        <v>135</v>
      </c>
      <c r="G976" s="60">
        <v>1420.9</v>
      </c>
    </row>
    <row r="977" spans="1:7" ht="15.75">
      <c r="A977" s="77" t="s">
        <v>670</v>
      </c>
      <c r="B977" s="135"/>
      <c r="C977" s="57" t="s">
        <v>19</v>
      </c>
      <c r="D977" s="57" t="s">
        <v>17</v>
      </c>
      <c r="E977" s="57" t="s">
        <v>671</v>
      </c>
      <c r="F977" s="78"/>
      <c r="G977" s="60">
        <f>G978+G980</f>
        <v>971.3</v>
      </c>
    </row>
    <row r="978" spans="1:7" ht="15.75">
      <c r="A978" s="79" t="s">
        <v>132</v>
      </c>
      <c r="B978" s="135"/>
      <c r="C978" s="57" t="s">
        <v>19</v>
      </c>
      <c r="D978" s="57" t="s">
        <v>17</v>
      </c>
      <c r="E978" s="57" t="s">
        <v>672</v>
      </c>
      <c r="F978" s="78"/>
      <c r="G978" s="60">
        <f>G979</f>
        <v>946.3</v>
      </c>
    </row>
    <row r="979" spans="1:7" ht="31.5">
      <c r="A979" s="77" t="s">
        <v>134</v>
      </c>
      <c r="B979" s="135"/>
      <c r="C979" s="57" t="s">
        <v>19</v>
      </c>
      <c r="D979" s="57" t="s">
        <v>17</v>
      </c>
      <c r="E979" s="57" t="s">
        <v>672</v>
      </c>
      <c r="F979" s="78" t="s">
        <v>135</v>
      </c>
      <c r="G979" s="60">
        <v>946.3</v>
      </c>
    </row>
    <row r="980" spans="1:7" ht="15.75">
      <c r="A980" s="51" t="s">
        <v>141</v>
      </c>
      <c r="B980" s="136"/>
      <c r="C980" s="80" t="s">
        <v>19</v>
      </c>
      <c r="D980" s="80" t="s">
        <v>17</v>
      </c>
      <c r="E980" s="80" t="s">
        <v>701</v>
      </c>
      <c r="F980" s="75"/>
      <c r="G980" s="64">
        <f>G981</f>
        <v>25</v>
      </c>
    </row>
    <row r="981" spans="1:7" ht="31.5">
      <c r="A981" s="51" t="s">
        <v>134</v>
      </c>
      <c r="B981" s="136"/>
      <c r="C981" s="80" t="s">
        <v>19</v>
      </c>
      <c r="D981" s="80" t="s">
        <v>17</v>
      </c>
      <c r="E981" s="80" t="s">
        <v>701</v>
      </c>
      <c r="F981" s="75" t="s">
        <v>135</v>
      </c>
      <c r="G981" s="64">
        <v>25</v>
      </c>
    </row>
    <row r="982" spans="1:7" ht="31.5">
      <c r="A982" s="51" t="s">
        <v>335</v>
      </c>
      <c r="B982" s="136"/>
      <c r="C982" s="80" t="s">
        <v>19</v>
      </c>
      <c r="D982" s="80" t="s">
        <v>17</v>
      </c>
      <c r="E982" s="80" t="s">
        <v>702</v>
      </c>
      <c r="F982" s="75"/>
      <c r="G982" s="64">
        <f>G983+G985</f>
        <v>28.2</v>
      </c>
    </row>
    <row r="983" spans="1:7" ht="15.75">
      <c r="A983" s="81" t="s">
        <v>132</v>
      </c>
      <c r="B983" s="136"/>
      <c r="C983" s="80" t="s">
        <v>19</v>
      </c>
      <c r="D983" s="80" t="s">
        <v>17</v>
      </c>
      <c r="E983" s="80" t="s">
        <v>703</v>
      </c>
      <c r="F983" s="75"/>
      <c r="G983" s="64">
        <f>G984</f>
        <v>14</v>
      </c>
    </row>
    <row r="984" spans="1:7" ht="31.5">
      <c r="A984" s="51" t="s">
        <v>134</v>
      </c>
      <c r="B984" s="136"/>
      <c r="C984" s="80" t="s">
        <v>19</v>
      </c>
      <c r="D984" s="80" t="s">
        <v>17</v>
      </c>
      <c r="E984" s="80" t="s">
        <v>703</v>
      </c>
      <c r="F984" s="75" t="s">
        <v>135</v>
      </c>
      <c r="G984" s="64">
        <v>14</v>
      </c>
    </row>
    <row r="985" spans="1:7" ht="15.75">
      <c r="A985" s="51" t="s">
        <v>141</v>
      </c>
      <c r="B985" s="136"/>
      <c r="C985" s="80" t="s">
        <v>19</v>
      </c>
      <c r="D985" s="80" t="s">
        <v>17</v>
      </c>
      <c r="E985" s="80" t="s">
        <v>704</v>
      </c>
      <c r="F985" s="75"/>
      <c r="G985" s="64">
        <f>G986</f>
        <v>14.2</v>
      </c>
    </row>
    <row r="986" spans="1:7" ht="31.5">
      <c r="A986" s="51" t="s">
        <v>134</v>
      </c>
      <c r="B986" s="136"/>
      <c r="C986" s="80" t="s">
        <v>19</v>
      </c>
      <c r="D986" s="80" t="s">
        <v>17</v>
      </c>
      <c r="E986" s="80" t="s">
        <v>704</v>
      </c>
      <c r="F986" s="75" t="s">
        <v>135</v>
      </c>
      <c r="G986" s="64">
        <v>14.2</v>
      </c>
    </row>
    <row r="987" spans="1:7" ht="15.75">
      <c r="A987" s="77" t="s">
        <v>460</v>
      </c>
      <c r="B987" s="135"/>
      <c r="C987" s="57" t="s">
        <v>19</v>
      </c>
      <c r="D987" s="57" t="s">
        <v>17</v>
      </c>
      <c r="E987" s="57" t="s">
        <v>673</v>
      </c>
      <c r="F987" s="78"/>
      <c r="G987" s="60">
        <f>G988+G990</f>
        <v>94.1</v>
      </c>
    </row>
    <row r="988" spans="1:7" ht="15.75">
      <c r="A988" s="79" t="s">
        <v>132</v>
      </c>
      <c r="B988" s="135"/>
      <c r="C988" s="57" t="s">
        <v>19</v>
      </c>
      <c r="D988" s="57" t="s">
        <v>17</v>
      </c>
      <c r="E988" s="57" t="s">
        <v>674</v>
      </c>
      <c r="F988" s="78"/>
      <c r="G988" s="60">
        <f>G989</f>
        <v>75.6</v>
      </c>
    </row>
    <row r="989" spans="1:7" ht="31.5">
      <c r="A989" s="77" t="s">
        <v>134</v>
      </c>
      <c r="B989" s="135"/>
      <c r="C989" s="57" t="s">
        <v>19</v>
      </c>
      <c r="D989" s="57" t="s">
        <v>17</v>
      </c>
      <c r="E989" s="57" t="s">
        <v>674</v>
      </c>
      <c r="F989" s="78" t="s">
        <v>135</v>
      </c>
      <c r="G989" s="60">
        <v>75.6</v>
      </c>
    </row>
    <row r="990" spans="1:7" ht="15.75">
      <c r="A990" s="77" t="s">
        <v>154</v>
      </c>
      <c r="B990" s="135"/>
      <c r="C990" s="57" t="s">
        <v>19</v>
      </c>
      <c r="D990" s="57" t="s">
        <v>17</v>
      </c>
      <c r="E990" s="57" t="s">
        <v>675</v>
      </c>
      <c r="F990" s="78"/>
      <c r="G990" s="60">
        <f>G991</f>
        <v>18.5</v>
      </c>
    </row>
    <row r="991" spans="1:7" ht="31.5">
      <c r="A991" s="77" t="s">
        <v>134</v>
      </c>
      <c r="B991" s="135"/>
      <c r="C991" s="57" t="s">
        <v>19</v>
      </c>
      <c r="D991" s="57" t="s">
        <v>17</v>
      </c>
      <c r="E991" s="57" t="s">
        <v>675</v>
      </c>
      <c r="F991" s="78" t="s">
        <v>135</v>
      </c>
      <c r="G991" s="60">
        <v>18.5</v>
      </c>
    </row>
    <row r="992" spans="1:7" ht="31.5">
      <c r="A992" s="101" t="s">
        <v>159</v>
      </c>
      <c r="B992" s="135"/>
      <c r="C992" s="57" t="s">
        <v>19</v>
      </c>
      <c r="D992" s="57" t="s">
        <v>17</v>
      </c>
      <c r="E992" s="57" t="s">
        <v>160</v>
      </c>
      <c r="F992" s="78"/>
      <c r="G992" s="60">
        <f>G993</f>
        <v>7526.3</v>
      </c>
    </row>
    <row r="993" spans="1:7" ht="31.5">
      <c r="A993" s="77" t="s">
        <v>49</v>
      </c>
      <c r="B993" s="135"/>
      <c r="C993" s="57" t="s">
        <v>19</v>
      </c>
      <c r="D993" s="57" t="s">
        <v>17</v>
      </c>
      <c r="E993" s="57" t="s">
        <v>161</v>
      </c>
      <c r="F993" s="78"/>
      <c r="G993" s="60">
        <f>G994</f>
        <v>7526.3</v>
      </c>
    </row>
    <row r="994" spans="1:7" ht="15.75">
      <c r="A994" s="101" t="s">
        <v>162</v>
      </c>
      <c r="B994" s="135"/>
      <c r="C994" s="57" t="s">
        <v>19</v>
      </c>
      <c r="D994" s="57" t="s">
        <v>17</v>
      </c>
      <c r="E994" s="57" t="s">
        <v>163</v>
      </c>
      <c r="F994" s="78"/>
      <c r="G994" s="60">
        <f>G995+G996+G997</f>
        <v>7526.3</v>
      </c>
    </row>
    <row r="995" spans="1:7" ht="63">
      <c r="A995" s="77" t="s">
        <v>145</v>
      </c>
      <c r="B995" s="135"/>
      <c r="C995" s="57" t="s">
        <v>19</v>
      </c>
      <c r="D995" s="57" t="s">
        <v>17</v>
      </c>
      <c r="E995" s="57" t="s">
        <v>163</v>
      </c>
      <c r="F995" s="78" t="s">
        <v>99</v>
      </c>
      <c r="G995" s="60">
        <v>6861.3</v>
      </c>
    </row>
    <row r="996" spans="1:7" ht="31.5">
      <c r="A996" s="77" t="s">
        <v>56</v>
      </c>
      <c r="B996" s="135"/>
      <c r="C996" s="57" t="s">
        <v>19</v>
      </c>
      <c r="D996" s="57" t="s">
        <v>17</v>
      </c>
      <c r="E996" s="57" t="s">
        <v>163</v>
      </c>
      <c r="F996" s="78" t="s">
        <v>101</v>
      </c>
      <c r="G996" s="60">
        <v>660.9</v>
      </c>
    </row>
    <row r="997" spans="1:7" ht="15.75">
      <c r="A997" s="77" t="s">
        <v>26</v>
      </c>
      <c r="B997" s="135"/>
      <c r="C997" s="57" t="s">
        <v>19</v>
      </c>
      <c r="D997" s="57" t="s">
        <v>17</v>
      </c>
      <c r="E997" s="57" t="s">
        <v>163</v>
      </c>
      <c r="F997" s="78" t="s">
        <v>106</v>
      </c>
      <c r="G997" s="60">
        <v>4.1</v>
      </c>
    </row>
    <row r="998" spans="1:7" ht="21" customHeight="1">
      <c r="A998" s="51" t="s">
        <v>34</v>
      </c>
      <c r="B998" s="53"/>
      <c r="C998" s="53" t="s">
        <v>35</v>
      </c>
      <c r="D998" s="53" t="s">
        <v>36</v>
      </c>
      <c r="E998" s="52"/>
      <c r="F998" s="52"/>
      <c r="G998" s="54">
        <f>SUM(G999+G1005)</f>
        <v>857.4</v>
      </c>
    </row>
    <row r="999" spans="1:7" ht="21" customHeight="1">
      <c r="A999" s="51" t="s">
        <v>57</v>
      </c>
      <c r="B999" s="80"/>
      <c r="C999" s="80" t="s">
        <v>35</v>
      </c>
      <c r="D999" s="80" t="s">
        <v>58</v>
      </c>
      <c r="E999" s="85"/>
      <c r="F999" s="80"/>
      <c r="G999" s="64">
        <f>G1000</f>
        <v>343.9</v>
      </c>
    </row>
    <row r="1000" spans="1:7" ht="31.5">
      <c r="A1000" s="102" t="s">
        <v>554</v>
      </c>
      <c r="B1000" s="137"/>
      <c r="C1000" s="138" t="s">
        <v>35</v>
      </c>
      <c r="D1000" s="138" t="s">
        <v>58</v>
      </c>
      <c r="E1000" s="138" t="s">
        <v>540</v>
      </c>
      <c r="F1000" s="139"/>
      <c r="G1000" s="140">
        <f>G1001</f>
        <v>343.9</v>
      </c>
    </row>
    <row r="1001" spans="1:7" ht="31.5">
      <c r="A1001" s="102" t="s">
        <v>563</v>
      </c>
      <c r="B1001" s="137"/>
      <c r="C1001" s="138" t="s">
        <v>35</v>
      </c>
      <c r="D1001" s="138" t="s">
        <v>58</v>
      </c>
      <c r="E1001" s="138" t="s">
        <v>564</v>
      </c>
      <c r="F1001" s="139"/>
      <c r="G1001" s="140">
        <f>G1002</f>
        <v>343.9</v>
      </c>
    </row>
    <row r="1002" spans="1:7" ht="78.75">
      <c r="A1002" s="102" t="s">
        <v>317</v>
      </c>
      <c r="B1002" s="137"/>
      <c r="C1002" s="138" t="s">
        <v>35</v>
      </c>
      <c r="D1002" s="138" t="s">
        <v>58</v>
      </c>
      <c r="E1002" s="138" t="s">
        <v>565</v>
      </c>
      <c r="F1002" s="139"/>
      <c r="G1002" s="140">
        <f>G1003</f>
        <v>343.9</v>
      </c>
    </row>
    <row r="1003" spans="1:7" ht="47.25">
      <c r="A1003" s="102" t="s">
        <v>588</v>
      </c>
      <c r="B1003" s="137"/>
      <c r="C1003" s="138" t="s">
        <v>35</v>
      </c>
      <c r="D1003" s="138" t="s">
        <v>58</v>
      </c>
      <c r="E1003" s="138" t="s">
        <v>589</v>
      </c>
      <c r="F1003" s="139"/>
      <c r="G1003" s="140">
        <f>G1004</f>
        <v>343.9</v>
      </c>
    </row>
    <row r="1004" spans="1:7" s="141" customFormat="1" ht="15.75">
      <c r="A1004" s="102" t="s">
        <v>46</v>
      </c>
      <c r="B1004" s="137"/>
      <c r="C1004" s="138" t="s">
        <v>35</v>
      </c>
      <c r="D1004" s="138" t="s">
        <v>58</v>
      </c>
      <c r="E1004" s="138" t="s">
        <v>589</v>
      </c>
      <c r="F1004" s="139">
        <v>300</v>
      </c>
      <c r="G1004" s="140">
        <v>343.9</v>
      </c>
    </row>
    <row r="1005" spans="1:7" s="141" customFormat="1" ht="15.75">
      <c r="A1005" s="79" t="s">
        <v>81</v>
      </c>
      <c r="B1005" s="137"/>
      <c r="C1005" s="138" t="s">
        <v>35</v>
      </c>
      <c r="D1005" s="138" t="s">
        <v>82</v>
      </c>
      <c r="E1005" s="138"/>
      <c r="F1005" s="139"/>
      <c r="G1005" s="140">
        <f>SUM(G1006)</f>
        <v>513.5</v>
      </c>
    </row>
    <row r="1006" spans="1:7" s="141" customFormat="1" ht="31.5">
      <c r="A1006" s="166" t="s">
        <v>88</v>
      </c>
      <c r="B1006" s="137"/>
      <c r="C1006" s="138" t="s">
        <v>35</v>
      </c>
      <c r="D1006" s="138" t="s">
        <v>82</v>
      </c>
      <c r="E1006" s="138" t="s">
        <v>20</v>
      </c>
      <c r="F1006" s="139"/>
      <c r="G1006" s="140">
        <f>SUM(G1007)</f>
        <v>513.5</v>
      </c>
    </row>
    <row r="1007" spans="1:7" s="141" customFormat="1" ht="15.75">
      <c r="A1007" s="166" t="s">
        <v>92</v>
      </c>
      <c r="B1007" s="137"/>
      <c r="C1007" s="138" t="s">
        <v>35</v>
      </c>
      <c r="D1007" s="138" t="s">
        <v>82</v>
      </c>
      <c r="E1007" s="138" t="s">
        <v>72</v>
      </c>
      <c r="F1007" s="139"/>
      <c r="G1007" s="140">
        <f>SUM(G1008)</f>
        <v>513.5</v>
      </c>
    </row>
    <row r="1008" spans="1:7" s="141" customFormat="1" ht="15.75">
      <c r="A1008" s="166" t="s">
        <v>39</v>
      </c>
      <c r="B1008" s="137"/>
      <c r="C1008" s="138" t="s">
        <v>35</v>
      </c>
      <c r="D1008" s="138" t="s">
        <v>82</v>
      </c>
      <c r="E1008" s="138" t="s">
        <v>678</v>
      </c>
      <c r="F1008" s="139"/>
      <c r="G1008" s="140">
        <f>SUM(G1009)</f>
        <v>513.5</v>
      </c>
    </row>
    <row r="1009" spans="1:7" s="141" customFormat="1" ht="15.75">
      <c r="A1009" s="166" t="s">
        <v>41</v>
      </c>
      <c r="B1009" s="137"/>
      <c r="C1009" s="138" t="s">
        <v>35</v>
      </c>
      <c r="D1009" s="138" t="s">
        <v>82</v>
      </c>
      <c r="E1009" s="138" t="s">
        <v>679</v>
      </c>
      <c r="F1009" s="139"/>
      <c r="G1009" s="140">
        <f>SUM(G1010)</f>
        <v>513.5</v>
      </c>
    </row>
    <row r="1010" spans="1:7" s="141" customFormat="1" ht="31.5">
      <c r="A1010" s="77" t="s">
        <v>134</v>
      </c>
      <c r="B1010" s="137"/>
      <c r="C1010" s="138" t="s">
        <v>35</v>
      </c>
      <c r="D1010" s="138" t="s">
        <v>82</v>
      </c>
      <c r="E1010" s="138" t="s">
        <v>679</v>
      </c>
      <c r="F1010" s="139">
        <v>600</v>
      </c>
      <c r="G1010" s="140">
        <v>513.5</v>
      </c>
    </row>
    <row r="1011" spans="1:7" s="122" customFormat="1" ht="15.75">
      <c r="A1011" s="142" t="s">
        <v>215</v>
      </c>
      <c r="B1011" s="143"/>
      <c r="C1011" s="144"/>
      <c r="D1011" s="144"/>
      <c r="E1011" s="144"/>
      <c r="F1011" s="144"/>
      <c r="G1011" s="145">
        <f>SUM(G11+G32+G52+G394+G430+G912+G617)+G700</f>
        <v>4059883.500000001</v>
      </c>
    </row>
    <row r="1012" ht="15">
      <c r="G1012" s="146"/>
    </row>
    <row r="1013" ht="15" customHeight="1"/>
    <row r="1014" ht="15" customHeight="1">
      <c r="G1014" s="146"/>
    </row>
    <row r="1015" ht="15">
      <c r="G1015" s="146"/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40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4"/>
  <sheetViews>
    <sheetView zoomScalePageLayoutView="0" workbookViewId="0" topLeftCell="A721">
      <selection activeCell="F736" sqref="F736"/>
    </sheetView>
  </sheetViews>
  <sheetFormatPr defaultColWidth="9.140625" defaultRowHeight="15"/>
  <cols>
    <col min="1" max="1" width="71.00390625" style="31" customWidth="1"/>
    <col min="2" max="2" width="21.28125" style="31" customWidth="1"/>
    <col min="3" max="3" width="12.00390625" style="31" customWidth="1"/>
    <col min="4" max="4" width="10.421875" style="31" customWidth="1"/>
    <col min="5" max="5" width="11.8515625" style="31" customWidth="1"/>
    <col min="6" max="6" width="15.57421875" style="31" customWidth="1"/>
    <col min="7" max="7" width="12.7109375" style="153" hidden="1" customWidth="1"/>
    <col min="8" max="8" width="13.57421875" style="153" hidden="1" customWidth="1"/>
    <col min="9" max="9" width="11.57421875" style="153" hidden="1" customWidth="1"/>
    <col min="10" max="10" width="12.8515625" style="153" hidden="1" customWidth="1"/>
    <col min="11" max="11" width="13.421875" style="31" hidden="1" customWidth="1"/>
    <col min="12" max="14" width="9.140625" style="31" customWidth="1"/>
    <col min="15" max="16384" width="9.140625" style="31" customWidth="1"/>
  </cols>
  <sheetData>
    <row r="1" spans="3:5" ht="15.75">
      <c r="C1" s="32"/>
      <c r="D1" s="46" t="s">
        <v>1201</v>
      </c>
      <c r="E1" s="32"/>
    </row>
    <row r="2" spans="3:5" ht="15.75">
      <c r="C2" s="33"/>
      <c r="D2" s="47" t="s">
        <v>0</v>
      </c>
      <c r="E2" s="33"/>
    </row>
    <row r="3" spans="3:5" ht="15.75">
      <c r="C3" s="33"/>
      <c r="D3" s="47" t="s">
        <v>1</v>
      </c>
      <c r="E3" s="33"/>
    </row>
    <row r="4" spans="3:5" ht="15.75">
      <c r="C4" s="33"/>
      <c r="D4" s="47" t="s">
        <v>2</v>
      </c>
      <c r="E4" s="33"/>
    </row>
    <row r="5" spans="3:5" ht="15.75">
      <c r="C5" s="34"/>
      <c r="D5" s="48" t="s">
        <v>1202</v>
      </c>
      <c r="E5" s="33"/>
    </row>
    <row r="8" spans="1:6" ht="45" customHeight="1">
      <c r="A8" s="272" t="s">
        <v>648</v>
      </c>
      <c r="B8" s="272"/>
      <c r="C8" s="272"/>
      <c r="D8" s="272"/>
      <c r="E8" s="272"/>
      <c r="F8" s="272"/>
    </row>
    <row r="9" spans="1:6" ht="15.75">
      <c r="A9" s="50"/>
      <c r="B9" s="50"/>
      <c r="C9" s="50"/>
      <c r="D9" s="50"/>
      <c r="E9" s="50"/>
      <c r="F9" s="50"/>
    </row>
    <row r="10" spans="1:6" ht="47.25">
      <c r="A10" s="35" t="s">
        <v>176</v>
      </c>
      <c r="B10" s="35" t="s">
        <v>177</v>
      </c>
      <c r="C10" s="35" t="s">
        <v>178</v>
      </c>
      <c r="D10" s="35" t="s">
        <v>181</v>
      </c>
      <c r="E10" s="35" t="s">
        <v>182</v>
      </c>
      <c r="F10" s="35" t="s">
        <v>525</v>
      </c>
    </row>
    <row r="11" spans="1:10" ht="31.5">
      <c r="A11" s="51" t="s">
        <v>244</v>
      </c>
      <c r="B11" s="52" t="s">
        <v>245</v>
      </c>
      <c r="C11" s="52"/>
      <c r="D11" s="53"/>
      <c r="E11" s="53"/>
      <c r="F11" s="54">
        <f>SUM(F26)+F12</f>
        <v>783936.5000000001</v>
      </c>
      <c r="H11" s="153">
        <f>SUM(G14:G44)</f>
        <v>783936.5</v>
      </c>
      <c r="J11" s="154">
        <f>SUM(H11-F11)</f>
        <v>-1.1641532182693481E-10</v>
      </c>
    </row>
    <row r="12" spans="1:10" ht="47.25">
      <c r="A12" s="77" t="s">
        <v>612</v>
      </c>
      <c r="B12" s="132" t="s">
        <v>776</v>
      </c>
      <c r="C12" s="52"/>
      <c r="D12" s="164"/>
      <c r="E12" s="164"/>
      <c r="F12" s="54">
        <f>SUM(F17)+F22+F24+F13+F20</f>
        <v>26450.800000000003</v>
      </c>
      <c r="I12" s="154">
        <f aca="true" t="shared" si="0" ref="I12:I25">G12-F12</f>
        <v>-26450.800000000003</v>
      </c>
      <c r="J12" s="154"/>
    </row>
    <row r="13" spans="1:10" ht="15.75">
      <c r="A13" s="168" t="s">
        <v>1192</v>
      </c>
      <c r="B13" s="80" t="s">
        <v>1193</v>
      </c>
      <c r="C13" s="52"/>
      <c r="D13" s="169"/>
      <c r="E13" s="169"/>
      <c r="F13" s="54">
        <f>SUM(F14:F16)</f>
        <v>16665.6</v>
      </c>
      <c r="I13" s="154">
        <f t="shared" si="0"/>
        <v>-16665.6</v>
      </c>
      <c r="J13" s="154"/>
    </row>
    <row r="14" spans="1:10" ht="31.5">
      <c r="A14" s="168" t="s">
        <v>56</v>
      </c>
      <c r="B14" s="80" t="s">
        <v>1193</v>
      </c>
      <c r="C14" s="169" t="s">
        <v>101</v>
      </c>
      <c r="D14" s="80" t="s">
        <v>125</v>
      </c>
      <c r="E14" s="80" t="s">
        <v>125</v>
      </c>
      <c r="F14" s="54">
        <v>2131.6</v>
      </c>
      <c r="G14" s="153">
        <f>SUM(Ведомственная!G826)</f>
        <v>2131.6</v>
      </c>
      <c r="I14" s="154">
        <f t="shared" si="0"/>
        <v>0</v>
      </c>
      <c r="J14" s="154"/>
    </row>
    <row r="15" spans="1:10" ht="31.5">
      <c r="A15" s="168" t="s">
        <v>779</v>
      </c>
      <c r="B15" s="80" t="s">
        <v>1193</v>
      </c>
      <c r="C15" s="169" t="s">
        <v>135</v>
      </c>
      <c r="D15" s="80" t="s">
        <v>125</v>
      </c>
      <c r="E15" s="80" t="s">
        <v>125</v>
      </c>
      <c r="F15" s="54">
        <v>6334.6</v>
      </c>
      <c r="G15" s="153">
        <f>SUM(Ведомственная!G827)</f>
        <v>6334.6</v>
      </c>
      <c r="I15" s="154">
        <f t="shared" si="0"/>
        <v>0</v>
      </c>
      <c r="J15" s="154"/>
    </row>
    <row r="16" spans="1:10" ht="15.75">
      <c r="A16" s="168" t="s">
        <v>26</v>
      </c>
      <c r="B16" s="80" t="s">
        <v>1193</v>
      </c>
      <c r="C16" s="169" t="s">
        <v>106</v>
      </c>
      <c r="D16" s="80" t="s">
        <v>125</v>
      </c>
      <c r="E16" s="80" t="s">
        <v>125</v>
      </c>
      <c r="F16" s="54">
        <v>8199.4</v>
      </c>
      <c r="G16" s="153">
        <f>SUM(Ведомственная!G828)</f>
        <v>8199.4</v>
      </c>
      <c r="I16" s="154">
        <f t="shared" si="0"/>
        <v>0</v>
      </c>
      <c r="J16" s="154"/>
    </row>
    <row r="17" spans="1:10" ht="47.25">
      <c r="A17" s="163" t="s">
        <v>778</v>
      </c>
      <c r="B17" s="132" t="s">
        <v>777</v>
      </c>
      <c r="C17" s="52"/>
      <c r="D17" s="164"/>
      <c r="E17" s="164"/>
      <c r="F17" s="54">
        <f>SUM(F18:F19)</f>
        <v>4298.3</v>
      </c>
      <c r="I17" s="154">
        <f t="shared" si="0"/>
        <v>-4298.3</v>
      </c>
      <c r="J17" s="154"/>
    </row>
    <row r="18" spans="1:10" ht="31.5">
      <c r="A18" s="163" t="s">
        <v>56</v>
      </c>
      <c r="B18" s="132" t="s">
        <v>777</v>
      </c>
      <c r="C18" s="52">
        <v>200</v>
      </c>
      <c r="D18" s="164" t="s">
        <v>125</v>
      </c>
      <c r="E18" s="164" t="s">
        <v>48</v>
      </c>
      <c r="F18" s="54">
        <v>2394.6</v>
      </c>
      <c r="G18" s="153">
        <f>SUM(Ведомственная!G747)</f>
        <v>2394.6</v>
      </c>
      <c r="I18" s="154">
        <f t="shared" si="0"/>
        <v>0</v>
      </c>
      <c r="J18" s="154"/>
    </row>
    <row r="19" spans="1:10" ht="31.5">
      <c r="A19" s="163" t="s">
        <v>76</v>
      </c>
      <c r="B19" s="132" t="s">
        <v>777</v>
      </c>
      <c r="C19" s="52">
        <v>600</v>
      </c>
      <c r="D19" s="164" t="s">
        <v>125</v>
      </c>
      <c r="E19" s="164" t="s">
        <v>48</v>
      </c>
      <c r="F19" s="54">
        <v>1903.7</v>
      </c>
      <c r="G19" s="153">
        <f>SUM(Ведомственная!G748)</f>
        <v>1903.7</v>
      </c>
      <c r="I19" s="154">
        <f t="shared" si="0"/>
        <v>0</v>
      </c>
      <c r="J19" s="154"/>
    </row>
    <row r="20" spans="1:10" ht="31.5">
      <c r="A20" s="168" t="s">
        <v>1194</v>
      </c>
      <c r="B20" s="132" t="s">
        <v>1195</v>
      </c>
      <c r="C20" s="52"/>
      <c r="D20" s="169"/>
      <c r="E20" s="169"/>
      <c r="F20" s="54">
        <f>SUM(F21)</f>
        <v>1631.4</v>
      </c>
      <c r="I20" s="154">
        <f t="shared" si="0"/>
        <v>-1631.4</v>
      </c>
      <c r="J20" s="154"/>
    </row>
    <row r="21" spans="1:10" ht="31.5">
      <c r="A21" s="168" t="s">
        <v>56</v>
      </c>
      <c r="B21" s="132" t="s">
        <v>1195</v>
      </c>
      <c r="C21" s="52">
        <v>200</v>
      </c>
      <c r="D21" s="169" t="s">
        <v>125</v>
      </c>
      <c r="E21" s="169" t="s">
        <v>192</v>
      </c>
      <c r="F21" s="54">
        <v>1631.4</v>
      </c>
      <c r="G21" s="153">
        <f>SUM(Ведомственная!G860)</f>
        <v>1631.4</v>
      </c>
      <c r="I21" s="154">
        <f t="shared" si="0"/>
        <v>0</v>
      </c>
      <c r="J21" s="154"/>
    </row>
    <row r="22" spans="1:10" ht="47.25">
      <c r="A22" s="168" t="s">
        <v>1188</v>
      </c>
      <c r="B22" s="132" t="s">
        <v>1189</v>
      </c>
      <c r="C22" s="52"/>
      <c r="D22" s="169"/>
      <c r="E22" s="169"/>
      <c r="F22" s="58">
        <f>F23</f>
        <v>496.1</v>
      </c>
      <c r="I22" s="154">
        <f t="shared" si="0"/>
        <v>-496.1</v>
      </c>
      <c r="J22" s="154"/>
    </row>
    <row r="23" spans="1:10" ht="31.5">
      <c r="A23" s="168" t="s">
        <v>76</v>
      </c>
      <c r="B23" s="132" t="s">
        <v>1189</v>
      </c>
      <c r="C23" s="52">
        <v>600</v>
      </c>
      <c r="D23" s="169" t="s">
        <v>125</v>
      </c>
      <c r="E23" s="169" t="s">
        <v>48</v>
      </c>
      <c r="F23" s="54">
        <v>496.1</v>
      </c>
      <c r="G23" s="153">
        <f>SUM(Ведомственная!G750)</f>
        <v>496.1</v>
      </c>
      <c r="I23" s="154">
        <f t="shared" si="0"/>
        <v>0</v>
      </c>
      <c r="J23" s="154"/>
    </row>
    <row r="24" spans="1:10" ht="63">
      <c r="A24" s="168" t="s">
        <v>1190</v>
      </c>
      <c r="B24" s="132" t="s">
        <v>1191</v>
      </c>
      <c r="C24" s="52"/>
      <c r="D24" s="169"/>
      <c r="E24" s="169"/>
      <c r="F24" s="58">
        <f>F25</f>
        <v>3359.4</v>
      </c>
      <c r="I24" s="154">
        <f t="shared" si="0"/>
        <v>-3359.4</v>
      </c>
      <c r="J24" s="154"/>
    </row>
    <row r="25" spans="1:10" ht="31.5">
      <c r="A25" s="168" t="s">
        <v>56</v>
      </c>
      <c r="B25" s="132" t="s">
        <v>1191</v>
      </c>
      <c r="C25" s="52">
        <v>200</v>
      </c>
      <c r="D25" s="169" t="s">
        <v>125</v>
      </c>
      <c r="E25" s="169" t="s">
        <v>48</v>
      </c>
      <c r="F25" s="54">
        <v>3359.4</v>
      </c>
      <c r="G25" s="153">
        <f>SUM(Ведомственная!G752)</f>
        <v>3359.4</v>
      </c>
      <c r="I25" s="154">
        <f t="shared" si="0"/>
        <v>0</v>
      </c>
      <c r="J25" s="154"/>
    </row>
    <row r="26" spans="1:10" ht="94.5">
      <c r="A26" s="55" t="s">
        <v>246</v>
      </c>
      <c r="B26" s="53" t="s">
        <v>247</v>
      </c>
      <c r="C26" s="52"/>
      <c r="D26" s="53"/>
      <c r="E26" s="53"/>
      <c r="F26" s="54">
        <f>SUM(F29)+F36+F38+F41+F33+F27</f>
        <v>757485.7000000001</v>
      </c>
      <c r="I26" s="154">
        <f aca="true" t="shared" si="1" ref="I26:I98">G26-F26</f>
        <v>-757485.7000000001</v>
      </c>
      <c r="J26" s="154"/>
    </row>
    <row r="27" spans="1:10" ht="47.25">
      <c r="A27" s="77" t="s">
        <v>639</v>
      </c>
      <c r="B27" s="56" t="s">
        <v>640</v>
      </c>
      <c r="C27" s="57"/>
      <c r="D27" s="57"/>
      <c r="E27" s="57"/>
      <c r="F27" s="58">
        <f>F28</f>
        <v>10524.4</v>
      </c>
      <c r="I27" s="154">
        <f t="shared" si="1"/>
        <v>-10524.4</v>
      </c>
      <c r="J27" s="154"/>
    </row>
    <row r="28" spans="1:10" ht="15.75">
      <c r="A28" s="77" t="s">
        <v>46</v>
      </c>
      <c r="B28" s="56" t="s">
        <v>640</v>
      </c>
      <c r="C28" s="57" t="s">
        <v>109</v>
      </c>
      <c r="D28" s="57" t="s">
        <v>35</v>
      </c>
      <c r="E28" s="57" t="s">
        <v>17</v>
      </c>
      <c r="F28" s="58">
        <v>10524.4</v>
      </c>
      <c r="G28" s="153">
        <f>SUM(Ведомственная!G892)</f>
        <v>10524.4</v>
      </c>
      <c r="I28" s="154">
        <f t="shared" si="1"/>
        <v>0</v>
      </c>
      <c r="J28" s="154"/>
    </row>
    <row r="29" spans="1:10" ht="47.25">
      <c r="A29" s="51" t="s">
        <v>84</v>
      </c>
      <c r="B29" s="53" t="s">
        <v>248</v>
      </c>
      <c r="C29" s="52"/>
      <c r="D29" s="53"/>
      <c r="E29" s="53"/>
      <c r="F29" s="54">
        <f>SUM(F30)</f>
        <v>1358.3</v>
      </c>
      <c r="I29" s="154">
        <f t="shared" si="1"/>
        <v>-1358.3</v>
      </c>
      <c r="J29" s="154"/>
    </row>
    <row r="30" spans="1:10" ht="31.5">
      <c r="A30" s="51" t="s">
        <v>249</v>
      </c>
      <c r="B30" s="53" t="s">
        <v>250</v>
      </c>
      <c r="C30" s="52"/>
      <c r="D30" s="53"/>
      <c r="E30" s="53"/>
      <c r="F30" s="54">
        <f>SUM(F31:F32)</f>
        <v>1358.3</v>
      </c>
      <c r="I30" s="154">
        <f t="shared" si="1"/>
        <v>-1358.3</v>
      </c>
      <c r="J30" s="154"/>
    </row>
    <row r="31" spans="1:10" ht="63">
      <c r="A31" s="77" t="s">
        <v>55</v>
      </c>
      <c r="B31" s="53" t="s">
        <v>250</v>
      </c>
      <c r="C31" s="53" t="s">
        <v>99</v>
      </c>
      <c r="D31" s="53" t="s">
        <v>38</v>
      </c>
      <c r="E31" s="53" t="s">
        <v>17</v>
      </c>
      <c r="F31" s="54">
        <v>1334.7</v>
      </c>
      <c r="G31" s="153">
        <f>SUM(Ведомственная!G64)</f>
        <v>1334.7</v>
      </c>
      <c r="I31" s="154">
        <f t="shared" si="1"/>
        <v>0</v>
      </c>
      <c r="J31" s="154"/>
    </row>
    <row r="32" spans="1:10" ht="31.5">
      <c r="A32" s="51" t="s">
        <v>56</v>
      </c>
      <c r="B32" s="53" t="s">
        <v>250</v>
      </c>
      <c r="C32" s="53" t="s">
        <v>101</v>
      </c>
      <c r="D32" s="53" t="s">
        <v>38</v>
      </c>
      <c r="E32" s="53" t="s">
        <v>17</v>
      </c>
      <c r="F32" s="54">
        <v>23.6</v>
      </c>
      <c r="G32" s="153">
        <f>SUM(Ведомственная!G65)</f>
        <v>23.6</v>
      </c>
      <c r="I32" s="154">
        <f t="shared" si="1"/>
        <v>0</v>
      </c>
      <c r="J32" s="154"/>
    </row>
    <row r="33" spans="1:10" ht="63">
      <c r="A33" s="77" t="s">
        <v>633</v>
      </c>
      <c r="B33" s="59" t="s">
        <v>634</v>
      </c>
      <c r="C33" s="57"/>
      <c r="D33" s="57"/>
      <c r="E33" s="57"/>
      <c r="F33" s="58">
        <f>F34+F35</f>
        <v>3936.6</v>
      </c>
      <c r="I33" s="154">
        <f t="shared" si="1"/>
        <v>-3936.6</v>
      </c>
      <c r="J33" s="154"/>
    </row>
    <row r="34" spans="1:10" ht="63">
      <c r="A34" s="77" t="s">
        <v>55</v>
      </c>
      <c r="B34" s="59" t="s">
        <v>634</v>
      </c>
      <c r="C34" s="57" t="s">
        <v>99</v>
      </c>
      <c r="D34" s="57" t="s">
        <v>125</v>
      </c>
      <c r="E34" s="57" t="s">
        <v>192</v>
      </c>
      <c r="F34" s="58">
        <v>3300</v>
      </c>
      <c r="G34" s="153">
        <f>SUM(Ведомственная!G863)</f>
        <v>3300</v>
      </c>
      <c r="I34" s="154">
        <f t="shared" si="1"/>
        <v>0</v>
      </c>
      <c r="J34" s="154"/>
    </row>
    <row r="35" spans="1:10" ht="31.5">
      <c r="A35" s="77" t="s">
        <v>56</v>
      </c>
      <c r="B35" s="59" t="s">
        <v>634</v>
      </c>
      <c r="C35" s="57" t="s">
        <v>101</v>
      </c>
      <c r="D35" s="57" t="s">
        <v>125</v>
      </c>
      <c r="E35" s="57" t="s">
        <v>192</v>
      </c>
      <c r="F35" s="58">
        <v>636.6</v>
      </c>
      <c r="G35" s="153">
        <f>SUM(Ведомственная!G864)</f>
        <v>636.6</v>
      </c>
      <c r="I35" s="154">
        <f t="shared" si="1"/>
        <v>0</v>
      </c>
      <c r="J35" s="154"/>
    </row>
    <row r="36" spans="1:10" ht="47.25">
      <c r="A36" s="77" t="s">
        <v>623</v>
      </c>
      <c r="B36" s="56" t="s">
        <v>624</v>
      </c>
      <c r="C36" s="57"/>
      <c r="D36" s="57"/>
      <c r="E36" s="57"/>
      <c r="F36" s="60">
        <f>F37</f>
        <v>7284.8</v>
      </c>
      <c r="I36" s="154">
        <f t="shared" si="1"/>
        <v>-7284.8</v>
      </c>
      <c r="J36" s="154"/>
    </row>
    <row r="37" spans="1:10" ht="31.5">
      <c r="A37" s="77" t="s">
        <v>134</v>
      </c>
      <c r="B37" s="56" t="s">
        <v>624</v>
      </c>
      <c r="C37" s="57" t="s">
        <v>135</v>
      </c>
      <c r="D37" s="57" t="s">
        <v>125</v>
      </c>
      <c r="E37" s="57" t="s">
        <v>48</v>
      </c>
      <c r="F37" s="60">
        <v>7284.8</v>
      </c>
      <c r="G37" s="153">
        <f>SUM(Ведомственная!G755)</f>
        <v>7284.8</v>
      </c>
      <c r="I37" s="154">
        <f t="shared" si="1"/>
        <v>0</v>
      </c>
      <c r="J37" s="154"/>
    </row>
    <row r="38" spans="1:10" ht="94.5">
      <c r="A38" s="77" t="s">
        <v>625</v>
      </c>
      <c r="B38" s="56" t="s">
        <v>626</v>
      </c>
      <c r="C38" s="57"/>
      <c r="D38" s="57"/>
      <c r="E38" s="57"/>
      <c r="F38" s="60">
        <f>F39+F40</f>
        <v>47568.9</v>
      </c>
      <c r="I38" s="154">
        <f t="shared" si="1"/>
        <v>-47568.9</v>
      </c>
      <c r="J38" s="154"/>
    </row>
    <row r="39" spans="1:10" ht="63">
      <c r="A39" s="51" t="s">
        <v>55</v>
      </c>
      <c r="B39" s="56" t="s">
        <v>626</v>
      </c>
      <c r="C39" s="57" t="s">
        <v>99</v>
      </c>
      <c r="D39" s="57" t="s">
        <v>125</v>
      </c>
      <c r="E39" s="57" t="s">
        <v>48</v>
      </c>
      <c r="F39" s="60">
        <v>43729.4</v>
      </c>
      <c r="G39" s="153">
        <f>SUM(Ведомственная!G757)</f>
        <v>43729.4</v>
      </c>
      <c r="I39" s="154">
        <f t="shared" si="1"/>
        <v>0</v>
      </c>
      <c r="J39" s="154"/>
    </row>
    <row r="40" spans="1:10" ht="31.5">
      <c r="A40" s="77" t="s">
        <v>56</v>
      </c>
      <c r="B40" s="56" t="s">
        <v>626</v>
      </c>
      <c r="C40" s="57" t="s">
        <v>101</v>
      </c>
      <c r="D40" s="57" t="s">
        <v>125</v>
      </c>
      <c r="E40" s="57" t="s">
        <v>48</v>
      </c>
      <c r="F40" s="60">
        <v>3839.5</v>
      </c>
      <c r="G40" s="153">
        <f>SUM(Ведомственная!G758)</f>
        <v>3839.5</v>
      </c>
      <c r="I40" s="154">
        <f t="shared" si="1"/>
        <v>0</v>
      </c>
      <c r="J40" s="154"/>
    </row>
    <row r="41" spans="1:10" ht="78.75">
      <c r="A41" s="77" t="s">
        <v>627</v>
      </c>
      <c r="B41" s="56" t="s">
        <v>628</v>
      </c>
      <c r="C41" s="57"/>
      <c r="D41" s="57"/>
      <c r="E41" s="57"/>
      <c r="F41" s="60">
        <f>F42+F43+F44</f>
        <v>686812.7000000001</v>
      </c>
      <c r="I41" s="154">
        <f t="shared" si="1"/>
        <v>-686812.7000000001</v>
      </c>
      <c r="J41" s="154"/>
    </row>
    <row r="42" spans="1:10" ht="63">
      <c r="A42" s="77" t="s">
        <v>55</v>
      </c>
      <c r="B42" s="56" t="s">
        <v>628</v>
      </c>
      <c r="C42" s="57" t="s">
        <v>99</v>
      </c>
      <c r="D42" s="57" t="s">
        <v>125</v>
      </c>
      <c r="E42" s="57" t="s">
        <v>48</v>
      </c>
      <c r="F42" s="60">
        <v>323748.9</v>
      </c>
      <c r="G42" s="153">
        <f>SUM(Ведомственная!G760)</f>
        <v>323748.9</v>
      </c>
      <c r="I42" s="154">
        <f t="shared" si="1"/>
        <v>0</v>
      </c>
      <c r="J42" s="154"/>
    </row>
    <row r="43" spans="1:10" ht="31.5">
      <c r="A43" s="77" t="s">
        <v>56</v>
      </c>
      <c r="B43" s="56" t="s">
        <v>628</v>
      </c>
      <c r="C43" s="57" t="s">
        <v>101</v>
      </c>
      <c r="D43" s="57" t="s">
        <v>125</v>
      </c>
      <c r="E43" s="57" t="s">
        <v>48</v>
      </c>
      <c r="F43" s="60">
        <v>4193.4</v>
      </c>
      <c r="G43" s="153">
        <f>SUM(Ведомственная!G761)</f>
        <v>4193.4</v>
      </c>
      <c r="I43" s="154">
        <f t="shared" si="1"/>
        <v>0</v>
      </c>
      <c r="J43" s="154"/>
    </row>
    <row r="44" spans="1:10" ht="31.5">
      <c r="A44" s="77" t="s">
        <v>134</v>
      </c>
      <c r="B44" s="56" t="s">
        <v>628</v>
      </c>
      <c r="C44" s="57" t="s">
        <v>135</v>
      </c>
      <c r="D44" s="57" t="s">
        <v>125</v>
      </c>
      <c r="E44" s="57" t="s">
        <v>48</v>
      </c>
      <c r="F44" s="60">
        <v>358870.4</v>
      </c>
      <c r="G44" s="153">
        <f>SUM(Ведомственная!G762)</f>
        <v>358870.4</v>
      </c>
      <c r="I44" s="154">
        <f t="shared" si="1"/>
        <v>0</v>
      </c>
      <c r="J44" s="154"/>
    </row>
    <row r="45" spans="1:10" ht="47.25">
      <c r="A45" s="77" t="s">
        <v>616</v>
      </c>
      <c r="B45" s="61" t="s">
        <v>617</v>
      </c>
      <c r="C45" s="62"/>
      <c r="D45" s="63"/>
      <c r="E45" s="63"/>
      <c r="F45" s="60">
        <f>F51+F46+F49</f>
        <v>521905.4</v>
      </c>
      <c r="H45" s="155">
        <f>SUM(G46:G57)</f>
        <v>521905.4</v>
      </c>
      <c r="I45" s="154">
        <f t="shared" si="1"/>
        <v>-521905.4</v>
      </c>
      <c r="J45" s="154"/>
    </row>
    <row r="46" spans="1:10" ht="47.25">
      <c r="A46" s="77" t="s">
        <v>612</v>
      </c>
      <c r="B46" s="132" t="s">
        <v>773</v>
      </c>
      <c r="C46" s="62"/>
      <c r="D46" s="63"/>
      <c r="E46" s="63"/>
      <c r="F46" s="60">
        <f>SUM(F47)</f>
        <v>5850</v>
      </c>
      <c r="H46" s="155"/>
      <c r="I46" s="154">
        <f t="shared" si="1"/>
        <v>-5850</v>
      </c>
      <c r="J46" s="154"/>
    </row>
    <row r="47" spans="1:10" ht="63">
      <c r="A47" s="163" t="s">
        <v>775</v>
      </c>
      <c r="B47" s="132" t="s">
        <v>774</v>
      </c>
      <c r="C47" s="62"/>
      <c r="D47" s="63"/>
      <c r="E47" s="63"/>
      <c r="F47" s="60">
        <f>SUM(F48)</f>
        <v>5850</v>
      </c>
      <c r="H47" s="155"/>
      <c r="I47" s="154">
        <f t="shared" si="1"/>
        <v>-5850</v>
      </c>
      <c r="J47" s="154"/>
    </row>
    <row r="48" spans="1:10" ht="31.5">
      <c r="A48" s="77" t="s">
        <v>283</v>
      </c>
      <c r="B48" s="132" t="s">
        <v>774</v>
      </c>
      <c r="C48" s="62">
        <v>600</v>
      </c>
      <c r="D48" s="57" t="s">
        <v>125</v>
      </c>
      <c r="E48" s="57" t="s">
        <v>38</v>
      </c>
      <c r="F48" s="60">
        <v>5850</v>
      </c>
      <c r="G48" s="153">
        <f>SUM(Ведомственная!G706)</f>
        <v>5850</v>
      </c>
      <c r="H48" s="155"/>
      <c r="I48" s="154">
        <f t="shared" si="1"/>
        <v>0</v>
      </c>
      <c r="J48" s="154"/>
    </row>
    <row r="49" spans="1:10" ht="78.75">
      <c r="A49" s="168" t="s">
        <v>1196</v>
      </c>
      <c r="B49" s="132" t="s">
        <v>1197</v>
      </c>
      <c r="C49" s="62"/>
      <c r="D49" s="57"/>
      <c r="E49" s="57"/>
      <c r="F49" s="60">
        <f>SUM(F50)</f>
        <v>12112.4</v>
      </c>
      <c r="H49" s="155"/>
      <c r="I49" s="154">
        <f t="shared" si="1"/>
        <v>-12112.4</v>
      </c>
      <c r="J49" s="154"/>
    </row>
    <row r="50" spans="1:10" ht="15.75">
      <c r="A50" s="168" t="s">
        <v>46</v>
      </c>
      <c r="B50" s="132" t="s">
        <v>1197</v>
      </c>
      <c r="C50" s="62">
        <v>300</v>
      </c>
      <c r="D50" s="57" t="s">
        <v>35</v>
      </c>
      <c r="E50" s="57" t="s">
        <v>17</v>
      </c>
      <c r="F50" s="60">
        <v>12112.4</v>
      </c>
      <c r="G50" s="153">
        <f>SUM(Ведомственная!G896)</f>
        <v>12112.4</v>
      </c>
      <c r="H50" s="155"/>
      <c r="I50" s="154">
        <f t="shared" si="1"/>
        <v>0</v>
      </c>
      <c r="J50" s="154"/>
    </row>
    <row r="51" spans="1:10" ht="94.5">
      <c r="A51" s="77" t="s">
        <v>618</v>
      </c>
      <c r="B51" s="61" t="s">
        <v>619</v>
      </c>
      <c r="C51" s="62"/>
      <c r="D51" s="63"/>
      <c r="E51" s="63"/>
      <c r="F51" s="60">
        <f>F52+F56</f>
        <v>503943</v>
      </c>
      <c r="I51" s="154">
        <f t="shared" si="1"/>
        <v>-503943</v>
      </c>
      <c r="J51" s="154"/>
    </row>
    <row r="52" spans="1:10" ht="47.25">
      <c r="A52" s="77" t="s">
        <v>620</v>
      </c>
      <c r="B52" s="61" t="s">
        <v>621</v>
      </c>
      <c r="C52" s="62"/>
      <c r="D52" s="63"/>
      <c r="E52" s="63"/>
      <c r="F52" s="60">
        <f>F53+F54+F55</f>
        <v>472140.1</v>
      </c>
      <c r="I52" s="154">
        <f t="shared" si="1"/>
        <v>-472140.1</v>
      </c>
      <c r="J52" s="154"/>
    </row>
    <row r="53" spans="1:10" ht="63">
      <c r="A53" s="77" t="s">
        <v>55</v>
      </c>
      <c r="B53" s="56" t="s">
        <v>621</v>
      </c>
      <c r="C53" s="57" t="s">
        <v>99</v>
      </c>
      <c r="D53" s="57" t="s">
        <v>125</v>
      </c>
      <c r="E53" s="57" t="s">
        <v>38</v>
      </c>
      <c r="F53" s="60">
        <v>75732.6</v>
      </c>
      <c r="G53" s="153">
        <f>SUM(Ведомственная!G709)</f>
        <v>75732.6</v>
      </c>
      <c r="I53" s="154">
        <f t="shared" si="1"/>
        <v>0</v>
      </c>
      <c r="J53" s="154"/>
    </row>
    <row r="54" spans="1:10" ht="31.5">
      <c r="A54" s="77" t="s">
        <v>56</v>
      </c>
      <c r="B54" s="56" t="s">
        <v>621</v>
      </c>
      <c r="C54" s="57" t="s">
        <v>101</v>
      </c>
      <c r="D54" s="57" t="s">
        <v>125</v>
      </c>
      <c r="E54" s="57" t="s">
        <v>38</v>
      </c>
      <c r="F54" s="60">
        <f>916.1+1468.3</f>
        <v>2384.4</v>
      </c>
      <c r="G54" s="153">
        <f>SUM(Ведомственная!G710)</f>
        <v>2384.4</v>
      </c>
      <c r="I54" s="154">
        <f t="shared" si="1"/>
        <v>0</v>
      </c>
      <c r="J54" s="154"/>
    </row>
    <row r="55" spans="1:10" ht="31.5">
      <c r="A55" s="77" t="s">
        <v>283</v>
      </c>
      <c r="B55" s="56" t="s">
        <v>621</v>
      </c>
      <c r="C55" s="57" t="s">
        <v>135</v>
      </c>
      <c r="D55" s="57" t="s">
        <v>125</v>
      </c>
      <c r="E55" s="57" t="s">
        <v>38</v>
      </c>
      <c r="F55" s="60">
        <v>394023.1</v>
      </c>
      <c r="G55" s="153">
        <f>SUM(Ведомственная!G711)</f>
        <v>394023.1</v>
      </c>
      <c r="I55" s="154">
        <f t="shared" si="1"/>
        <v>0</v>
      </c>
      <c r="J55" s="154"/>
    </row>
    <row r="56" spans="1:10" ht="78.75">
      <c r="A56" s="77" t="s">
        <v>641</v>
      </c>
      <c r="B56" s="56" t="s">
        <v>642</v>
      </c>
      <c r="C56" s="57"/>
      <c r="D56" s="57"/>
      <c r="E56" s="57"/>
      <c r="F56" s="58">
        <f>F57</f>
        <v>31802.9</v>
      </c>
      <c r="I56" s="154">
        <f t="shared" si="1"/>
        <v>-31802.9</v>
      </c>
      <c r="J56" s="154"/>
    </row>
    <row r="57" spans="1:10" ht="15.75">
      <c r="A57" s="77" t="s">
        <v>46</v>
      </c>
      <c r="B57" s="56" t="s">
        <v>642</v>
      </c>
      <c r="C57" s="57">
        <v>300</v>
      </c>
      <c r="D57" s="57" t="s">
        <v>35</v>
      </c>
      <c r="E57" s="57" t="s">
        <v>17</v>
      </c>
      <c r="F57" s="58">
        <v>31802.9</v>
      </c>
      <c r="G57" s="153">
        <f>SUM(Ведомственная!G899)</f>
        <v>31802.9</v>
      </c>
      <c r="I57" s="154">
        <f t="shared" si="1"/>
        <v>0</v>
      </c>
      <c r="J57" s="154"/>
    </row>
    <row r="58" spans="1:10" ht="47.25">
      <c r="A58" s="162" t="s">
        <v>752</v>
      </c>
      <c r="B58" s="73" t="s">
        <v>757</v>
      </c>
      <c r="C58" s="57"/>
      <c r="D58" s="57"/>
      <c r="E58" s="57"/>
      <c r="F58" s="58">
        <f>SUM(F59)+F73+F65+F69</f>
        <v>115461.90000000001</v>
      </c>
      <c r="H58" s="153">
        <f>SUM(G62:G76)</f>
        <v>115461.9</v>
      </c>
      <c r="I58" s="154">
        <f>SUM(F58-H58)</f>
        <v>1.4551915228366852E-11</v>
      </c>
      <c r="J58" s="154"/>
    </row>
    <row r="59" spans="1:10" ht="31.5">
      <c r="A59" s="12" t="s">
        <v>360</v>
      </c>
      <c r="B59" s="73" t="s">
        <v>758</v>
      </c>
      <c r="C59" s="57"/>
      <c r="D59" s="57"/>
      <c r="E59" s="57"/>
      <c r="F59" s="58">
        <f>SUM(F60)</f>
        <v>26500</v>
      </c>
      <c r="I59" s="154">
        <f t="shared" si="1"/>
        <v>-26500</v>
      </c>
      <c r="J59" s="154"/>
    </row>
    <row r="60" spans="1:10" ht="47.25">
      <c r="A60" s="77" t="s">
        <v>612</v>
      </c>
      <c r="B60" s="73" t="s">
        <v>759</v>
      </c>
      <c r="C60" s="57"/>
      <c r="D60" s="57"/>
      <c r="E60" s="57"/>
      <c r="F60" s="58">
        <f>SUM(F61)+F63</f>
        <v>26500</v>
      </c>
      <c r="I60" s="154">
        <f t="shared" si="1"/>
        <v>-26500</v>
      </c>
      <c r="J60" s="154"/>
    </row>
    <row r="61" spans="1:10" ht="15.75">
      <c r="A61" s="70" t="s">
        <v>761</v>
      </c>
      <c r="B61" s="73" t="s">
        <v>760</v>
      </c>
      <c r="C61" s="57"/>
      <c r="D61" s="57"/>
      <c r="E61" s="57"/>
      <c r="F61" s="58">
        <f>SUM(F62)</f>
        <v>11500</v>
      </c>
      <c r="I61" s="154">
        <f t="shared" si="1"/>
        <v>-11500</v>
      </c>
      <c r="J61" s="154"/>
    </row>
    <row r="62" spans="1:10" ht="31.5">
      <c r="A62" s="70" t="s">
        <v>359</v>
      </c>
      <c r="B62" s="73" t="s">
        <v>760</v>
      </c>
      <c r="C62" s="57" t="s">
        <v>313</v>
      </c>
      <c r="D62" s="57" t="s">
        <v>188</v>
      </c>
      <c r="E62" s="57" t="s">
        <v>188</v>
      </c>
      <c r="F62" s="58">
        <v>11500</v>
      </c>
      <c r="G62" s="153">
        <f>SUM(Ведомственная!G289)</f>
        <v>11500</v>
      </c>
      <c r="I62" s="154">
        <f t="shared" si="1"/>
        <v>0</v>
      </c>
      <c r="J62" s="154"/>
    </row>
    <row r="63" spans="1:10" ht="63">
      <c r="A63" s="70" t="s">
        <v>767</v>
      </c>
      <c r="B63" s="73" t="s">
        <v>766</v>
      </c>
      <c r="C63" s="57"/>
      <c r="D63" s="57"/>
      <c r="E63" s="57"/>
      <c r="F63" s="58">
        <f>SUM(F64)</f>
        <v>15000</v>
      </c>
      <c r="I63" s="154">
        <f t="shared" si="1"/>
        <v>-15000</v>
      </c>
      <c r="J63" s="154"/>
    </row>
    <row r="64" spans="1:10" ht="31.5">
      <c r="A64" s="70" t="s">
        <v>56</v>
      </c>
      <c r="B64" s="73" t="s">
        <v>766</v>
      </c>
      <c r="C64" s="57" t="s">
        <v>101</v>
      </c>
      <c r="D64" s="57" t="s">
        <v>188</v>
      </c>
      <c r="E64" s="57" t="s">
        <v>48</v>
      </c>
      <c r="F64" s="58">
        <v>15000</v>
      </c>
      <c r="G64" s="153">
        <f>SUM(Ведомственная!G235)</f>
        <v>15000</v>
      </c>
      <c r="I64" s="154">
        <f t="shared" si="1"/>
        <v>0</v>
      </c>
      <c r="J64" s="154"/>
    </row>
    <row r="65" spans="1:10" ht="31.5">
      <c r="A65" s="162" t="s">
        <v>1178</v>
      </c>
      <c r="B65" s="209" t="s">
        <v>1179</v>
      </c>
      <c r="C65" s="57"/>
      <c r="D65" s="57"/>
      <c r="E65" s="57"/>
      <c r="F65" s="58">
        <f>SUM(F66)</f>
        <v>29011.3</v>
      </c>
      <c r="I65" s="154">
        <f t="shared" si="1"/>
        <v>-29011.3</v>
      </c>
      <c r="J65" s="154"/>
    </row>
    <row r="66" spans="1:10" ht="47.25">
      <c r="A66" s="168" t="s">
        <v>700</v>
      </c>
      <c r="B66" s="209" t="s">
        <v>1180</v>
      </c>
      <c r="C66" s="57"/>
      <c r="D66" s="57"/>
      <c r="E66" s="57"/>
      <c r="F66" s="58">
        <f>SUM(F67)</f>
        <v>29011.3</v>
      </c>
      <c r="I66" s="154">
        <f t="shared" si="1"/>
        <v>-29011.3</v>
      </c>
      <c r="J66" s="154"/>
    </row>
    <row r="67" spans="1:10" ht="47.25">
      <c r="A67" s="168" t="s">
        <v>1181</v>
      </c>
      <c r="B67" s="209" t="s">
        <v>1182</v>
      </c>
      <c r="C67" s="57"/>
      <c r="D67" s="57"/>
      <c r="E67" s="57"/>
      <c r="F67" s="58">
        <f>SUM(F68)</f>
        <v>29011.3</v>
      </c>
      <c r="I67" s="154">
        <f t="shared" si="1"/>
        <v>-29011.3</v>
      </c>
      <c r="J67" s="154"/>
    </row>
    <row r="68" spans="1:10" ht="31.5">
      <c r="A68" s="77" t="s">
        <v>312</v>
      </c>
      <c r="B68" s="209" t="s">
        <v>1182</v>
      </c>
      <c r="C68" s="57" t="s">
        <v>313</v>
      </c>
      <c r="D68" s="57" t="s">
        <v>188</v>
      </c>
      <c r="E68" s="57" t="s">
        <v>38</v>
      </c>
      <c r="F68" s="58">
        <v>29011.3</v>
      </c>
      <c r="G68" s="153">
        <f>SUM(Ведомственная!G222)</f>
        <v>29011.3</v>
      </c>
      <c r="I68" s="154">
        <f t="shared" si="1"/>
        <v>0</v>
      </c>
      <c r="J68" s="154"/>
    </row>
    <row r="69" spans="1:10" ht="31.5">
      <c r="A69" s="168" t="s">
        <v>1183</v>
      </c>
      <c r="B69" s="209" t="s">
        <v>1184</v>
      </c>
      <c r="C69" s="57"/>
      <c r="D69" s="57"/>
      <c r="E69" s="57"/>
      <c r="F69" s="58">
        <f>SUM(F70)</f>
        <v>469.1</v>
      </c>
      <c r="I69" s="154">
        <f t="shared" si="1"/>
        <v>-469.1</v>
      </c>
      <c r="J69" s="154"/>
    </row>
    <row r="70" spans="1:10" ht="47.25">
      <c r="A70" s="168" t="s">
        <v>700</v>
      </c>
      <c r="B70" s="209" t="s">
        <v>1185</v>
      </c>
      <c r="C70" s="57"/>
      <c r="D70" s="57"/>
      <c r="E70" s="57"/>
      <c r="F70" s="58">
        <f>SUM(F71)</f>
        <v>469.1</v>
      </c>
      <c r="I70" s="154">
        <f t="shared" si="1"/>
        <v>-469.1</v>
      </c>
      <c r="J70" s="154"/>
    </row>
    <row r="71" spans="1:10" ht="63">
      <c r="A71" s="168" t="s">
        <v>1186</v>
      </c>
      <c r="B71" s="209" t="s">
        <v>1187</v>
      </c>
      <c r="C71" s="57"/>
      <c r="D71" s="57"/>
      <c r="E71" s="57"/>
      <c r="F71" s="58">
        <f>SUM(F72)</f>
        <v>469.1</v>
      </c>
      <c r="I71" s="154">
        <f t="shared" si="1"/>
        <v>-469.1</v>
      </c>
      <c r="J71" s="154"/>
    </row>
    <row r="72" spans="1:10" ht="15.75">
      <c r="A72" s="168" t="s">
        <v>46</v>
      </c>
      <c r="B72" s="209" t="s">
        <v>1187</v>
      </c>
      <c r="C72" s="57" t="s">
        <v>109</v>
      </c>
      <c r="D72" s="57" t="s">
        <v>35</v>
      </c>
      <c r="E72" s="57" t="s">
        <v>58</v>
      </c>
      <c r="F72" s="58">
        <v>469.1</v>
      </c>
      <c r="G72" s="153">
        <f>SUM(Ведомственная!G340)</f>
        <v>469.1</v>
      </c>
      <c r="I72" s="154">
        <f t="shared" si="1"/>
        <v>0</v>
      </c>
      <c r="J72" s="154"/>
    </row>
    <row r="73" spans="1:10" ht="31.5">
      <c r="A73" s="70" t="s">
        <v>769</v>
      </c>
      <c r="B73" s="80" t="s">
        <v>768</v>
      </c>
      <c r="C73" s="57"/>
      <c r="D73" s="57"/>
      <c r="E73" s="57"/>
      <c r="F73" s="64">
        <f>SUM(F74)</f>
        <v>59481.5</v>
      </c>
      <c r="I73" s="154">
        <f t="shared" si="1"/>
        <v>-59481.5</v>
      </c>
      <c r="J73" s="154"/>
    </row>
    <row r="74" spans="1:10" ht="47.25">
      <c r="A74" s="77" t="s">
        <v>612</v>
      </c>
      <c r="B74" s="80" t="s">
        <v>770</v>
      </c>
      <c r="C74" s="57"/>
      <c r="D74" s="57"/>
      <c r="E74" s="57"/>
      <c r="F74" s="64">
        <f>SUM(F75)</f>
        <v>59481.5</v>
      </c>
      <c r="I74" s="154">
        <f t="shared" si="1"/>
        <v>-59481.5</v>
      </c>
      <c r="J74" s="154"/>
    </row>
    <row r="75" spans="1:10" ht="31.5">
      <c r="A75" s="70" t="s">
        <v>772</v>
      </c>
      <c r="B75" s="80" t="s">
        <v>771</v>
      </c>
      <c r="C75" s="57"/>
      <c r="D75" s="57"/>
      <c r="E75" s="57"/>
      <c r="F75" s="64">
        <f>SUM(F76)</f>
        <v>59481.5</v>
      </c>
      <c r="I75" s="154">
        <f t="shared" si="1"/>
        <v>-59481.5</v>
      </c>
      <c r="J75" s="154"/>
    </row>
    <row r="76" spans="1:10" ht="31.5">
      <c r="A76" s="70" t="s">
        <v>56</v>
      </c>
      <c r="B76" s="80" t="s">
        <v>771</v>
      </c>
      <c r="C76" s="57" t="s">
        <v>101</v>
      </c>
      <c r="D76" s="57" t="s">
        <v>188</v>
      </c>
      <c r="E76" s="57" t="s">
        <v>58</v>
      </c>
      <c r="F76" s="64">
        <v>59481.5</v>
      </c>
      <c r="G76" s="153">
        <f>SUM(Ведомственная!G262)</f>
        <v>59481.5</v>
      </c>
      <c r="I76" s="154">
        <f t="shared" si="1"/>
        <v>0</v>
      </c>
      <c r="J76" s="154"/>
    </row>
    <row r="77" spans="1:10" ht="47.25">
      <c r="A77" s="77" t="s">
        <v>689</v>
      </c>
      <c r="B77" s="57" t="s">
        <v>690</v>
      </c>
      <c r="C77" s="57"/>
      <c r="D77" s="57"/>
      <c r="E77" s="57"/>
      <c r="F77" s="60">
        <f>F78+F84+F88</f>
        <v>24139.8</v>
      </c>
      <c r="H77" s="155">
        <f>SUM(G78:G93)</f>
        <v>24139.8</v>
      </c>
      <c r="I77" s="154">
        <f t="shared" si="1"/>
        <v>-24139.8</v>
      </c>
      <c r="J77" s="154"/>
    </row>
    <row r="78" spans="1:10" ht="31.5">
      <c r="A78" s="77" t="s">
        <v>691</v>
      </c>
      <c r="B78" s="57" t="s">
        <v>692</v>
      </c>
      <c r="C78" s="57"/>
      <c r="D78" s="57"/>
      <c r="E78" s="57"/>
      <c r="F78" s="64">
        <f>+F79</f>
        <v>21463.3</v>
      </c>
      <c r="I78" s="154">
        <f t="shared" si="1"/>
        <v>-21463.3</v>
      </c>
      <c r="J78" s="154"/>
    </row>
    <row r="79" spans="1:10" ht="47.25">
      <c r="A79" s="77" t="s">
        <v>700</v>
      </c>
      <c r="B79" s="57" t="s">
        <v>693</v>
      </c>
      <c r="C79" s="57"/>
      <c r="D79" s="57"/>
      <c r="E79" s="57"/>
      <c r="F79" s="64">
        <f>+F80+F82</f>
        <v>21463.3</v>
      </c>
      <c r="I79" s="154">
        <f t="shared" si="1"/>
        <v>-21463.3</v>
      </c>
      <c r="J79" s="154"/>
    </row>
    <row r="80" spans="1:10" ht="31.5">
      <c r="A80" s="77" t="s">
        <v>694</v>
      </c>
      <c r="B80" s="57" t="s">
        <v>695</v>
      </c>
      <c r="C80" s="57"/>
      <c r="D80" s="57"/>
      <c r="E80" s="57"/>
      <c r="F80" s="64">
        <f>+F81</f>
        <v>9197.8</v>
      </c>
      <c r="I80" s="154">
        <f t="shared" si="1"/>
        <v>-9197.8</v>
      </c>
      <c r="J80" s="154"/>
    </row>
    <row r="81" spans="1:10" ht="31.5">
      <c r="A81" s="77" t="s">
        <v>76</v>
      </c>
      <c r="B81" s="57" t="s">
        <v>695</v>
      </c>
      <c r="C81" s="57" t="s">
        <v>135</v>
      </c>
      <c r="D81" s="57" t="s">
        <v>189</v>
      </c>
      <c r="E81" s="57" t="s">
        <v>48</v>
      </c>
      <c r="F81" s="64">
        <v>9197.8</v>
      </c>
      <c r="G81" s="153">
        <f>SUM(Ведомственная!G685)</f>
        <v>9197.8</v>
      </c>
      <c r="I81" s="154">
        <f t="shared" si="1"/>
        <v>0</v>
      </c>
      <c r="J81" s="154"/>
    </row>
    <row r="82" spans="1:10" ht="31.5">
      <c r="A82" s="77" t="s">
        <v>1171</v>
      </c>
      <c r="B82" s="57" t="s">
        <v>1172</v>
      </c>
      <c r="C82" s="57"/>
      <c r="D82" s="57"/>
      <c r="E82" s="57"/>
      <c r="F82" s="64">
        <f>SUM(F83)</f>
        <v>12265.5</v>
      </c>
      <c r="I82" s="154">
        <f t="shared" si="1"/>
        <v>-12265.5</v>
      </c>
      <c r="J82" s="154"/>
    </row>
    <row r="83" spans="1:10" ht="31.5">
      <c r="A83" s="77" t="s">
        <v>283</v>
      </c>
      <c r="B83" s="57" t="s">
        <v>1172</v>
      </c>
      <c r="C83" s="57" t="s">
        <v>135</v>
      </c>
      <c r="D83" s="57" t="s">
        <v>189</v>
      </c>
      <c r="E83" s="57" t="s">
        <v>48</v>
      </c>
      <c r="F83" s="64">
        <v>12265.5</v>
      </c>
      <c r="G83" s="153">
        <f>SUM(Ведомственная!G687)</f>
        <v>12265.5</v>
      </c>
      <c r="I83" s="154">
        <f t="shared" si="1"/>
        <v>0</v>
      </c>
      <c r="J83" s="154"/>
    </row>
    <row r="84" spans="1:10" ht="15.75">
      <c r="A84" s="77" t="s">
        <v>696</v>
      </c>
      <c r="B84" s="57" t="s">
        <v>697</v>
      </c>
      <c r="C84" s="57"/>
      <c r="D84" s="57"/>
      <c r="E84" s="57"/>
      <c r="F84" s="64">
        <f>F85</f>
        <v>704.3</v>
      </c>
      <c r="I84" s="154">
        <f t="shared" si="1"/>
        <v>-704.3</v>
      </c>
      <c r="J84" s="154"/>
    </row>
    <row r="85" spans="1:10" ht="47.25">
      <c r="A85" s="77" t="s">
        <v>612</v>
      </c>
      <c r="B85" s="57" t="s">
        <v>698</v>
      </c>
      <c r="C85" s="57"/>
      <c r="D85" s="57"/>
      <c r="E85" s="57"/>
      <c r="F85" s="64">
        <f>+F86</f>
        <v>704.3</v>
      </c>
      <c r="I85" s="154">
        <f t="shared" si="1"/>
        <v>-704.3</v>
      </c>
      <c r="J85" s="154"/>
    </row>
    <row r="86" spans="1:10" ht="31.5">
      <c r="A86" s="77" t="s">
        <v>694</v>
      </c>
      <c r="B86" s="57" t="s">
        <v>699</v>
      </c>
      <c r="C86" s="57"/>
      <c r="D86" s="57"/>
      <c r="E86" s="57"/>
      <c r="F86" s="60">
        <f>+F87</f>
        <v>704.3</v>
      </c>
      <c r="I86" s="154">
        <f t="shared" si="1"/>
        <v>-704.3</v>
      </c>
      <c r="J86" s="154"/>
    </row>
    <row r="87" spans="1:10" ht="31.5">
      <c r="A87" s="77" t="s">
        <v>283</v>
      </c>
      <c r="B87" s="57" t="s">
        <v>699</v>
      </c>
      <c r="C87" s="57" t="s">
        <v>135</v>
      </c>
      <c r="D87" s="57" t="s">
        <v>189</v>
      </c>
      <c r="E87" s="57" t="s">
        <v>48</v>
      </c>
      <c r="F87" s="60">
        <v>704.3</v>
      </c>
      <c r="G87" s="153">
        <f>SUM(Ведомственная!G691)</f>
        <v>704.3</v>
      </c>
      <c r="I87" s="154">
        <f t="shared" si="1"/>
        <v>0</v>
      </c>
      <c r="J87" s="154"/>
    </row>
    <row r="88" spans="1:10" ht="15.75">
      <c r="A88" s="77" t="s">
        <v>765</v>
      </c>
      <c r="B88" s="57" t="s">
        <v>762</v>
      </c>
      <c r="C88" s="57"/>
      <c r="D88" s="57"/>
      <c r="E88" s="57"/>
      <c r="F88" s="60">
        <f>SUM(F89)</f>
        <v>1972.2</v>
      </c>
      <c r="I88" s="154">
        <f t="shared" si="1"/>
        <v>-1972.2</v>
      </c>
      <c r="J88" s="154"/>
    </row>
    <row r="89" spans="1:10" ht="47.25">
      <c r="A89" s="77" t="s">
        <v>612</v>
      </c>
      <c r="B89" s="57" t="s">
        <v>763</v>
      </c>
      <c r="C89" s="57"/>
      <c r="D89" s="57"/>
      <c r="E89" s="57"/>
      <c r="F89" s="60">
        <f>SUM(F90)+F92</f>
        <v>1972.2</v>
      </c>
      <c r="I89" s="154">
        <f t="shared" si="1"/>
        <v>-1972.2</v>
      </c>
      <c r="J89" s="154"/>
    </row>
    <row r="90" spans="1:10" ht="31.5">
      <c r="A90" s="77" t="s">
        <v>694</v>
      </c>
      <c r="B90" s="57" t="s">
        <v>764</v>
      </c>
      <c r="C90" s="57"/>
      <c r="D90" s="57"/>
      <c r="E90" s="57"/>
      <c r="F90" s="60">
        <f>SUM(F91)</f>
        <v>1533.2</v>
      </c>
      <c r="I90" s="154">
        <f t="shared" si="1"/>
        <v>-1533.2</v>
      </c>
      <c r="J90" s="154"/>
    </row>
    <row r="91" spans="1:10" ht="31.5">
      <c r="A91" s="77" t="s">
        <v>283</v>
      </c>
      <c r="B91" s="57" t="s">
        <v>764</v>
      </c>
      <c r="C91" s="57" t="s">
        <v>135</v>
      </c>
      <c r="D91" s="57" t="s">
        <v>189</v>
      </c>
      <c r="E91" s="57" t="s">
        <v>58</v>
      </c>
      <c r="F91" s="60">
        <v>1533.2</v>
      </c>
      <c r="G91" s="153">
        <f>SUM(Ведомственная!G697)</f>
        <v>1533.2</v>
      </c>
      <c r="I91" s="154">
        <f t="shared" si="1"/>
        <v>0</v>
      </c>
      <c r="J91" s="154"/>
    </row>
    <row r="92" spans="1:10" ht="47.25">
      <c r="A92" s="77" t="s">
        <v>1173</v>
      </c>
      <c r="B92" s="57" t="s">
        <v>1174</v>
      </c>
      <c r="C92" s="57"/>
      <c r="D92" s="57"/>
      <c r="E92" s="57"/>
      <c r="F92" s="60">
        <f>SUM(F93)</f>
        <v>439</v>
      </c>
      <c r="I92" s="154">
        <f t="shared" si="1"/>
        <v>-439</v>
      </c>
      <c r="J92" s="154"/>
    </row>
    <row r="93" spans="1:10" ht="31.5">
      <c r="A93" s="77" t="s">
        <v>283</v>
      </c>
      <c r="B93" s="57" t="s">
        <v>1174</v>
      </c>
      <c r="C93" s="57" t="s">
        <v>135</v>
      </c>
      <c r="D93" s="57" t="s">
        <v>189</v>
      </c>
      <c r="E93" s="57" t="s">
        <v>58</v>
      </c>
      <c r="F93" s="60">
        <v>439</v>
      </c>
      <c r="G93" s="153">
        <f>SUM(Ведомственная!G699)</f>
        <v>439</v>
      </c>
      <c r="I93" s="154">
        <f t="shared" si="1"/>
        <v>0</v>
      </c>
      <c r="J93" s="154"/>
    </row>
    <row r="94" spans="1:10" ht="47.25">
      <c r="A94" s="51" t="s">
        <v>646</v>
      </c>
      <c r="B94" s="53" t="s">
        <v>540</v>
      </c>
      <c r="C94" s="65"/>
      <c r="D94" s="65"/>
      <c r="E94" s="65"/>
      <c r="F94" s="54">
        <f>SUM(F95)+F179+F125</f>
        <v>995630.7999999999</v>
      </c>
      <c r="H94" s="155">
        <f>SUM(G96:G189)</f>
        <v>995630.8000000002</v>
      </c>
      <c r="I94" s="154">
        <f t="shared" si="1"/>
        <v>-995630.7999999999</v>
      </c>
      <c r="J94" s="154">
        <f>SUM(H94-F94)</f>
        <v>2.3283064365386963E-10</v>
      </c>
    </row>
    <row r="95" spans="1:10" ht="15.75">
      <c r="A95" s="51" t="s">
        <v>647</v>
      </c>
      <c r="B95" s="53" t="s">
        <v>541</v>
      </c>
      <c r="C95" s="53"/>
      <c r="D95" s="53"/>
      <c r="E95" s="53"/>
      <c r="F95" s="54">
        <f>SUM(F96)</f>
        <v>299785.2</v>
      </c>
      <c r="I95" s="154">
        <f t="shared" si="1"/>
        <v>-299785.2</v>
      </c>
      <c r="J95" s="154">
        <f>SUM(H95-F95)</f>
        <v>-299785.2</v>
      </c>
    </row>
    <row r="96" spans="1:10" ht="94.5">
      <c r="A96" s="51" t="s">
        <v>537</v>
      </c>
      <c r="B96" s="53" t="s">
        <v>542</v>
      </c>
      <c r="C96" s="53"/>
      <c r="D96" s="53"/>
      <c r="E96" s="53"/>
      <c r="F96" s="54">
        <f>SUM(F97+F102+F105+F108+F111+F114+F120+F122)+F117</f>
        <v>299785.2</v>
      </c>
      <c r="I96" s="154">
        <f t="shared" si="1"/>
        <v>-299785.2</v>
      </c>
      <c r="J96" s="154">
        <f>SUM(H96-F96)</f>
        <v>-299785.2</v>
      </c>
    </row>
    <row r="97" spans="1:10" ht="47.25">
      <c r="A97" s="51" t="s">
        <v>596</v>
      </c>
      <c r="B97" s="52" t="s">
        <v>597</v>
      </c>
      <c r="C97" s="52"/>
      <c r="D97" s="53"/>
      <c r="E97" s="53"/>
      <c r="F97" s="54">
        <f>F98+F99+F101+F100</f>
        <v>65814.2</v>
      </c>
      <c r="I97" s="154">
        <f t="shared" si="1"/>
        <v>-65814.2</v>
      </c>
      <c r="J97" s="154"/>
    </row>
    <row r="98" spans="1:10" ht="63">
      <c r="A98" s="51" t="s">
        <v>55</v>
      </c>
      <c r="B98" s="52" t="s">
        <v>597</v>
      </c>
      <c r="C98" s="52">
        <v>100</v>
      </c>
      <c r="D98" s="53" t="s">
        <v>35</v>
      </c>
      <c r="E98" s="53" t="s">
        <v>17</v>
      </c>
      <c r="F98" s="54">
        <v>44526.3</v>
      </c>
      <c r="G98" s="153">
        <f>SUM(Ведомственная!G569)</f>
        <v>44526.3</v>
      </c>
      <c r="I98" s="154">
        <f t="shared" si="1"/>
        <v>0</v>
      </c>
      <c r="J98" s="154"/>
    </row>
    <row r="99" spans="1:10" ht="31.5">
      <c r="A99" s="51" t="s">
        <v>56</v>
      </c>
      <c r="B99" s="52" t="s">
        <v>597</v>
      </c>
      <c r="C99" s="52">
        <v>200</v>
      </c>
      <c r="D99" s="53" t="s">
        <v>35</v>
      </c>
      <c r="E99" s="53" t="s">
        <v>17</v>
      </c>
      <c r="F99" s="54">
        <v>20564.6</v>
      </c>
      <c r="G99" s="153">
        <f>SUM(Ведомственная!G570)</f>
        <v>20564.6</v>
      </c>
      <c r="I99" s="154">
        <f aca="true" t="shared" si="2" ref="I99:I162">G99-F99</f>
        <v>0</v>
      </c>
      <c r="J99" s="154"/>
    </row>
    <row r="100" spans="1:10" ht="15.75">
      <c r="A100" s="51" t="s">
        <v>46</v>
      </c>
      <c r="B100" s="52" t="s">
        <v>597</v>
      </c>
      <c r="C100" s="52">
        <v>200</v>
      </c>
      <c r="D100" s="53" t="s">
        <v>35</v>
      </c>
      <c r="E100" s="53" t="s">
        <v>17</v>
      </c>
      <c r="F100" s="54">
        <v>185.5</v>
      </c>
      <c r="G100" s="153">
        <f>SUM(Ведомственная!G571)</f>
        <v>185.5</v>
      </c>
      <c r="I100" s="154">
        <f t="shared" si="2"/>
        <v>0</v>
      </c>
      <c r="J100" s="154"/>
    </row>
    <row r="101" spans="1:10" ht="15.75">
      <c r="A101" s="51" t="s">
        <v>26</v>
      </c>
      <c r="B101" s="52" t="s">
        <v>597</v>
      </c>
      <c r="C101" s="52">
        <v>800</v>
      </c>
      <c r="D101" s="53" t="s">
        <v>35</v>
      </c>
      <c r="E101" s="53" t="s">
        <v>17</v>
      </c>
      <c r="F101" s="54">
        <v>537.8</v>
      </c>
      <c r="G101" s="153">
        <f>SUM(Ведомственная!G572)</f>
        <v>537.8</v>
      </c>
      <c r="I101" s="154">
        <f t="shared" si="2"/>
        <v>0</v>
      </c>
      <c r="J101" s="154"/>
    </row>
    <row r="102" spans="1:10" ht="63">
      <c r="A102" s="51" t="s">
        <v>598</v>
      </c>
      <c r="B102" s="52" t="s">
        <v>599</v>
      </c>
      <c r="C102" s="52"/>
      <c r="D102" s="53"/>
      <c r="E102" s="53"/>
      <c r="F102" s="54">
        <f>F103+F104</f>
        <v>14118.5</v>
      </c>
      <c r="I102" s="154">
        <f t="shared" si="2"/>
        <v>-14118.5</v>
      </c>
      <c r="J102" s="154"/>
    </row>
    <row r="103" spans="1:10" ht="31.5">
      <c r="A103" s="51" t="s">
        <v>56</v>
      </c>
      <c r="B103" s="52" t="s">
        <v>599</v>
      </c>
      <c r="C103" s="52">
        <v>200</v>
      </c>
      <c r="D103" s="53" t="s">
        <v>35</v>
      </c>
      <c r="E103" s="53" t="s">
        <v>17</v>
      </c>
      <c r="F103" s="54">
        <v>197.1</v>
      </c>
      <c r="G103" s="153">
        <f>SUM(Ведомственная!G574)</f>
        <v>197.1</v>
      </c>
      <c r="I103" s="154">
        <f t="shared" si="2"/>
        <v>0</v>
      </c>
      <c r="J103" s="154"/>
    </row>
    <row r="104" spans="1:10" ht="15.75">
      <c r="A104" s="51" t="s">
        <v>46</v>
      </c>
      <c r="B104" s="52" t="s">
        <v>599</v>
      </c>
      <c r="C104" s="52">
        <v>300</v>
      </c>
      <c r="D104" s="53" t="s">
        <v>35</v>
      </c>
      <c r="E104" s="53" t="s">
        <v>17</v>
      </c>
      <c r="F104" s="54">
        <v>13921.4</v>
      </c>
      <c r="G104" s="153">
        <f>SUM(Ведомственная!G575)</f>
        <v>13921.4</v>
      </c>
      <c r="I104" s="154">
        <f t="shared" si="2"/>
        <v>0</v>
      </c>
      <c r="J104" s="154"/>
    </row>
    <row r="105" spans="1:10" ht="31.5">
      <c r="A105" s="51" t="s">
        <v>600</v>
      </c>
      <c r="B105" s="52" t="s">
        <v>601</v>
      </c>
      <c r="C105" s="52"/>
      <c r="D105" s="53"/>
      <c r="E105" s="53"/>
      <c r="F105" s="54">
        <f>F106+F107</f>
        <v>52185.4</v>
      </c>
      <c r="I105" s="154">
        <f t="shared" si="2"/>
        <v>-52185.4</v>
      </c>
      <c r="J105" s="154"/>
    </row>
    <row r="106" spans="1:10" ht="31.5">
      <c r="A106" s="51" t="s">
        <v>56</v>
      </c>
      <c r="B106" s="52" t="s">
        <v>601</v>
      </c>
      <c r="C106" s="52">
        <v>200</v>
      </c>
      <c r="D106" s="53" t="s">
        <v>35</v>
      </c>
      <c r="E106" s="53" t="s">
        <v>17</v>
      </c>
      <c r="F106" s="54">
        <v>775.3</v>
      </c>
      <c r="G106" s="153">
        <f>SUM(Ведомственная!G577)</f>
        <v>775.3</v>
      </c>
      <c r="I106" s="154">
        <f t="shared" si="2"/>
        <v>0</v>
      </c>
      <c r="J106" s="154"/>
    </row>
    <row r="107" spans="1:10" ht="15.75">
      <c r="A107" s="51" t="s">
        <v>46</v>
      </c>
      <c r="B107" s="52" t="s">
        <v>601</v>
      </c>
      <c r="C107" s="52">
        <v>300</v>
      </c>
      <c r="D107" s="53" t="s">
        <v>35</v>
      </c>
      <c r="E107" s="53" t="s">
        <v>17</v>
      </c>
      <c r="F107" s="54">
        <v>51410.1</v>
      </c>
      <c r="G107" s="153">
        <f>SUM(Ведомственная!G578)</f>
        <v>51410.1</v>
      </c>
      <c r="I107" s="154">
        <f t="shared" si="2"/>
        <v>0</v>
      </c>
      <c r="J107" s="154"/>
    </row>
    <row r="108" spans="1:10" ht="47.25">
      <c r="A108" s="51" t="s">
        <v>602</v>
      </c>
      <c r="B108" s="52" t="s">
        <v>603</v>
      </c>
      <c r="C108" s="52"/>
      <c r="D108" s="53"/>
      <c r="E108" s="53"/>
      <c r="F108" s="54">
        <f>F109+F110</f>
        <v>5357.2</v>
      </c>
      <c r="I108" s="154">
        <f t="shared" si="2"/>
        <v>-5357.2</v>
      </c>
      <c r="J108" s="154"/>
    </row>
    <row r="109" spans="1:10" ht="31.5">
      <c r="A109" s="51" t="s">
        <v>56</v>
      </c>
      <c r="B109" s="52" t="s">
        <v>603</v>
      </c>
      <c r="C109" s="52">
        <v>200</v>
      </c>
      <c r="D109" s="53" t="s">
        <v>35</v>
      </c>
      <c r="E109" s="53" t="s">
        <v>17</v>
      </c>
      <c r="F109" s="54">
        <v>79.2</v>
      </c>
      <c r="G109" s="153">
        <f>SUM(Ведомственная!G580)</f>
        <v>79.2</v>
      </c>
      <c r="I109" s="154">
        <f t="shared" si="2"/>
        <v>0</v>
      </c>
      <c r="J109" s="154"/>
    </row>
    <row r="110" spans="1:10" ht="15.75">
      <c r="A110" s="51" t="s">
        <v>46</v>
      </c>
      <c r="B110" s="52" t="s">
        <v>603</v>
      </c>
      <c r="C110" s="52">
        <v>300</v>
      </c>
      <c r="D110" s="53" t="s">
        <v>35</v>
      </c>
      <c r="E110" s="53" t="s">
        <v>17</v>
      </c>
      <c r="F110" s="54">
        <v>5278</v>
      </c>
      <c r="G110" s="153">
        <f>SUM(Ведомственная!G581)</f>
        <v>5278</v>
      </c>
      <c r="I110" s="154">
        <f t="shared" si="2"/>
        <v>0</v>
      </c>
      <c r="J110" s="154"/>
    </row>
    <row r="111" spans="1:10" ht="94.5">
      <c r="A111" s="51" t="s">
        <v>604</v>
      </c>
      <c r="B111" s="52" t="s">
        <v>605</v>
      </c>
      <c r="C111" s="52"/>
      <c r="D111" s="53"/>
      <c r="E111" s="53"/>
      <c r="F111" s="54">
        <f>F112+F113</f>
        <v>51036</v>
      </c>
      <c r="I111" s="154">
        <f t="shared" si="2"/>
        <v>-51036</v>
      </c>
      <c r="J111" s="154"/>
    </row>
    <row r="112" spans="1:10" ht="31.5">
      <c r="A112" s="51" t="s">
        <v>56</v>
      </c>
      <c r="B112" s="52" t="s">
        <v>605</v>
      </c>
      <c r="C112" s="52">
        <v>200</v>
      </c>
      <c r="D112" s="53" t="s">
        <v>35</v>
      </c>
      <c r="E112" s="53" t="s">
        <v>17</v>
      </c>
      <c r="F112" s="54">
        <v>753.9</v>
      </c>
      <c r="G112" s="153">
        <f>SUM(Ведомственная!G583)</f>
        <v>753.9</v>
      </c>
      <c r="I112" s="154">
        <f t="shared" si="2"/>
        <v>0</v>
      </c>
      <c r="J112" s="154"/>
    </row>
    <row r="113" spans="1:10" ht="15.75">
      <c r="A113" s="51" t="s">
        <v>46</v>
      </c>
      <c r="B113" s="52" t="s">
        <v>605</v>
      </c>
      <c r="C113" s="52">
        <v>300</v>
      </c>
      <c r="D113" s="53" t="s">
        <v>35</v>
      </c>
      <c r="E113" s="53" t="s">
        <v>17</v>
      </c>
      <c r="F113" s="54">
        <v>50282.1</v>
      </c>
      <c r="G113" s="153">
        <f>SUM(Ведомственная!G584)</f>
        <v>50282.1</v>
      </c>
      <c r="I113" s="154">
        <f t="shared" si="2"/>
        <v>0</v>
      </c>
      <c r="J113" s="154"/>
    </row>
    <row r="114" spans="1:10" ht="63">
      <c r="A114" s="51" t="s">
        <v>606</v>
      </c>
      <c r="B114" s="52" t="s">
        <v>607</v>
      </c>
      <c r="C114" s="52"/>
      <c r="D114" s="53"/>
      <c r="E114" s="53"/>
      <c r="F114" s="54">
        <f>F115+F116</f>
        <v>10110.199999999999</v>
      </c>
      <c r="I114" s="154">
        <f t="shared" si="2"/>
        <v>-10110.199999999999</v>
      </c>
      <c r="J114" s="154"/>
    </row>
    <row r="115" spans="1:10" ht="31.5">
      <c r="A115" s="51" t="s">
        <v>56</v>
      </c>
      <c r="B115" s="52" t="s">
        <v>607</v>
      </c>
      <c r="C115" s="52">
        <v>200</v>
      </c>
      <c r="D115" s="53" t="s">
        <v>35</v>
      </c>
      <c r="E115" s="53" t="s">
        <v>17</v>
      </c>
      <c r="F115" s="54">
        <v>149.9</v>
      </c>
      <c r="G115" s="153">
        <f>SUM(Ведомственная!G586)</f>
        <v>149.9</v>
      </c>
      <c r="I115" s="154">
        <f t="shared" si="2"/>
        <v>0</v>
      </c>
      <c r="J115" s="154"/>
    </row>
    <row r="116" spans="1:10" ht="15.75">
      <c r="A116" s="51" t="s">
        <v>46</v>
      </c>
      <c r="B116" s="52" t="s">
        <v>607</v>
      </c>
      <c r="C116" s="52">
        <v>300</v>
      </c>
      <c r="D116" s="53" t="s">
        <v>35</v>
      </c>
      <c r="E116" s="53" t="s">
        <v>17</v>
      </c>
      <c r="F116" s="54">
        <v>9960.3</v>
      </c>
      <c r="G116" s="153">
        <f>SUM(Ведомственная!G587)</f>
        <v>9960.3</v>
      </c>
      <c r="I116" s="154">
        <f t="shared" si="2"/>
        <v>0</v>
      </c>
      <c r="J116" s="154"/>
    </row>
    <row r="117" spans="1:10" ht="31.5">
      <c r="A117" s="51" t="s">
        <v>608</v>
      </c>
      <c r="B117" s="52" t="s">
        <v>609</v>
      </c>
      <c r="C117" s="52"/>
      <c r="D117" s="53"/>
      <c r="E117" s="53"/>
      <c r="F117" s="54">
        <f>F118+F119</f>
        <v>5528</v>
      </c>
      <c r="I117" s="154">
        <f t="shared" si="2"/>
        <v>-5528</v>
      </c>
      <c r="J117" s="154"/>
    </row>
    <row r="118" spans="1:10" ht="63">
      <c r="A118" s="51" t="s">
        <v>55</v>
      </c>
      <c r="B118" s="52" t="s">
        <v>609</v>
      </c>
      <c r="C118" s="52">
        <v>100</v>
      </c>
      <c r="D118" s="53" t="s">
        <v>35</v>
      </c>
      <c r="E118" s="53" t="s">
        <v>82</v>
      </c>
      <c r="F118" s="54">
        <v>4948.6</v>
      </c>
      <c r="G118" s="153">
        <f>SUM(Ведомственная!G599)</f>
        <v>4948.6</v>
      </c>
      <c r="I118" s="154">
        <f t="shared" si="2"/>
        <v>0</v>
      </c>
      <c r="J118" s="154"/>
    </row>
    <row r="119" spans="1:10" ht="31.5">
      <c r="A119" s="51" t="s">
        <v>56</v>
      </c>
      <c r="B119" s="52" t="s">
        <v>609</v>
      </c>
      <c r="C119" s="52">
        <v>200</v>
      </c>
      <c r="D119" s="53" t="s">
        <v>35</v>
      </c>
      <c r="E119" s="53" t="s">
        <v>82</v>
      </c>
      <c r="F119" s="54">
        <v>579.4</v>
      </c>
      <c r="G119" s="153">
        <f>SUM(Ведомственная!G600)</f>
        <v>579.4</v>
      </c>
      <c r="I119" s="154">
        <f t="shared" si="2"/>
        <v>0</v>
      </c>
      <c r="J119" s="154"/>
    </row>
    <row r="120" spans="1:10" ht="31.5">
      <c r="A120" s="51" t="s">
        <v>538</v>
      </c>
      <c r="B120" s="53" t="s">
        <v>543</v>
      </c>
      <c r="C120" s="53"/>
      <c r="D120" s="53"/>
      <c r="E120" s="53"/>
      <c r="F120" s="54">
        <f>SUM(F121)</f>
        <v>4500</v>
      </c>
      <c r="I120" s="154">
        <f t="shared" si="2"/>
        <v>-4500</v>
      </c>
      <c r="J120" s="154"/>
    </row>
    <row r="121" spans="1:10" ht="31.5">
      <c r="A121" s="51" t="s">
        <v>312</v>
      </c>
      <c r="B121" s="53" t="s">
        <v>543</v>
      </c>
      <c r="C121" s="53" t="s">
        <v>313</v>
      </c>
      <c r="D121" s="53" t="s">
        <v>35</v>
      </c>
      <c r="E121" s="53" t="s">
        <v>17</v>
      </c>
      <c r="F121" s="54">
        <v>4500</v>
      </c>
      <c r="G121" s="153">
        <f>SUM(Ведомственная!G352)</f>
        <v>4500</v>
      </c>
      <c r="I121" s="154">
        <f t="shared" si="2"/>
        <v>0</v>
      </c>
      <c r="J121" s="154"/>
    </row>
    <row r="122" spans="1:10" ht="126">
      <c r="A122" s="51" t="s">
        <v>561</v>
      </c>
      <c r="B122" s="53" t="s">
        <v>562</v>
      </c>
      <c r="C122" s="52"/>
      <c r="D122" s="53"/>
      <c r="E122" s="53"/>
      <c r="F122" s="54">
        <f>SUM(F123:F124)</f>
        <v>91135.7</v>
      </c>
      <c r="I122" s="154">
        <f t="shared" si="2"/>
        <v>-91135.7</v>
      </c>
      <c r="J122" s="154"/>
    </row>
    <row r="123" spans="1:10" ht="31.5">
      <c r="A123" s="51" t="s">
        <v>56</v>
      </c>
      <c r="B123" s="53" t="s">
        <v>562</v>
      </c>
      <c r="C123" s="52">
        <v>200</v>
      </c>
      <c r="D123" s="53" t="s">
        <v>35</v>
      </c>
      <c r="E123" s="53" t="s">
        <v>58</v>
      </c>
      <c r="F123" s="54">
        <v>1241.9</v>
      </c>
      <c r="G123" s="153">
        <f>SUM(Ведомственная!G478)</f>
        <v>1241.9</v>
      </c>
      <c r="I123" s="154">
        <f t="shared" si="2"/>
        <v>0</v>
      </c>
      <c r="J123" s="154"/>
    </row>
    <row r="124" spans="1:10" ht="15.75">
      <c r="A124" s="51" t="s">
        <v>46</v>
      </c>
      <c r="B124" s="53" t="s">
        <v>562</v>
      </c>
      <c r="C124" s="52">
        <v>300</v>
      </c>
      <c r="D124" s="53" t="s">
        <v>35</v>
      </c>
      <c r="E124" s="53" t="s">
        <v>58</v>
      </c>
      <c r="F124" s="54">
        <v>89893.8</v>
      </c>
      <c r="G124" s="153">
        <f>SUM(Ведомственная!G479)</f>
        <v>89893.8</v>
      </c>
      <c r="I124" s="154">
        <f t="shared" si="2"/>
        <v>0</v>
      </c>
      <c r="J124" s="154"/>
    </row>
    <row r="125" spans="1:10" ht="31.5">
      <c r="A125" s="51" t="s">
        <v>563</v>
      </c>
      <c r="B125" s="53" t="s">
        <v>564</v>
      </c>
      <c r="C125" s="52"/>
      <c r="D125" s="53"/>
      <c r="E125" s="53"/>
      <c r="F125" s="54">
        <f>F129+F126</f>
        <v>622966.7</v>
      </c>
      <c r="I125" s="154">
        <f t="shared" si="2"/>
        <v>-622966.7</v>
      </c>
      <c r="J125" s="154"/>
    </row>
    <row r="126" spans="1:10" ht="47.25">
      <c r="A126" s="51" t="s">
        <v>610</v>
      </c>
      <c r="B126" s="52" t="s">
        <v>611</v>
      </c>
      <c r="C126" s="52"/>
      <c r="D126" s="53"/>
      <c r="E126" s="53"/>
      <c r="F126" s="54">
        <f>F127+F128</f>
        <v>4237.2</v>
      </c>
      <c r="I126" s="154">
        <f t="shared" si="2"/>
        <v>-4237.2</v>
      </c>
      <c r="J126" s="154"/>
    </row>
    <row r="127" spans="1:10" ht="63">
      <c r="A127" s="51" t="s">
        <v>55</v>
      </c>
      <c r="B127" s="52" t="s">
        <v>611</v>
      </c>
      <c r="C127" s="52">
        <v>100</v>
      </c>
      <c r="D127" s="53" t="s">
        <v>35</v>
      </c>
      <c r="E127" s="53" t="s">
        <v>82</v>
      </c>
      <c r="F127" s="54">
        <v>3602.4</v>
      </c>
      <c r="G127" s="153">
        <f>SUM(Ведомственная!G603)</f>
        <v>3602.4</v>
      </c>
      <c r="I127" s="154">
        <f t="shared" si="2"/>
        <v>0</v>
      </c>
      <c r="J127" s="154"/>
    </row>
    <row r="128" spans="1:10" ht="31.5">
      <c r="A128" s="51" t="s">
        <v>56</v>
      </c>
      <c r="B128" s="52" t="s">
        <v>611</v>
      </c>
      <c r="C128" s="52">
        <v>200</v>
      </c>
      <c r="D128" s="53" t="s">
        <v>35</v>
      </c>
      <c r="E128" s="53" t="s">
        <v>82</v>
      </c>
      <c r="F128" s="54">
        <v>634.8</v>
      </c>
      <c r="G128" s="153">
        <f>SUM(Ведомственная!G604)</f>
        <v>634.8</v>
      </c>
      <c r="I128" s="154">
        <f t="shared" si="2"/>
        <v>0</v>
      </c>
      <c r="J128" s="154"/>
    </row>
    <row r="129" spans="1:10" ht="94.5">
      <c r="A129" s="51" t="s">
        <v>317</v>
      </c>
      <c r="B129" s="53" t="s">
        <v>565</v>
      </c>
      <c r="C129" s="52"/>
      <c r="D129" s="53"/>
      <c r="E129" s="53"/>
      <c r="F129" s="54">
        <f>F130+F133+F136+F139+F142+F145+F148+F151+F154+F157+F160+F163+F167+F170+F173+F176</f>
        <v>618729.5</v>
      </c>
      <c r="I129" s="154">
        <f t="shared" si="2"/>
        <v>-618729.5</v>
      </c>
      <c r="J129" s="154"/>
    </row>
    <row r="130" spans="1:10" ht="47.25">
      <c r="A130" s="51" t="s">
        <v>566</v>
      </c>
      <c r="B130" s="53" t="s">
        <v>567</v>
      </c>
      <c r="C130" s="52"/>
      <c r="D130" s="53"/>
      <c r="E130" s="53"/>
      <c r="F130" s="54">
        <f>F131+F132</f>
        <v>171422.19999999998</v>
      </c>
      <c r="I130" s="154">
        <f t="shared" si="2"/>
        <v>-171422.19999999998</v>
      </c>
      <c r="J130" s="154"/>
    </row>
    <row r="131" spans="1:10" ht="31.5">
      <c r="A131" s="51" t="s">
        <v>56</v>
      </c>
      <c r="B131" s="53" t="s">
        <v>567</v>
      </c>
      <c r="C131" s="52">
        <v>200</v>
      </c>
      <c r="D131" s="53" t="s">
        <v>35</v>
      </c>
      <c r="E131" s="53" t="s">
        <v>58</v>
      </c>
      <c r="F131" s="54">
        <v>2555.4</v>
      </c>
      <c r="G131" s="153">
        <f>SUM(Ведомственная!G483)</f>
        <v>2555.4</v>
      </c>
      <c r="I131" s="154">
        <f t="shared" si="2"/>
        <v>0</v>
      </c>
      <c r="J131" s="154"/>
    </row>
    <row r="132" spans="1:10" ht="15.75">
      <c r="A132" s="51" t="s">
        <v>46</v>
      </c>
      <c r="B132" s="53" t="s">
        <v>567</v>
      </c>
      <c r="C132" s="52">
        <v>300</v>
      </c>
      <c r="D132" s="53" t="s">
        <v>35</v>
      </c>
      <c r="E132" s="53" t="s">
        <v>58</v>
      </c>
      <c r="F132" s="54">
        <v>168866.8</v>
      </c>
      <c r="G132" s="153">
        <f>SUM(Ведомственная!G484)</f>
        <v>168866.8</v>
      </c>
      <c r="I132" s="154">
        <f t="shared" si="2"/>
        <v>0</v>
      </c>
      <c r="J132" s="154"/>
    </row>
    <row r="133" spans="1:10" ht="47.25">
      <c r="A133" s="51" t="s">
        <v>568</v>
      </c>
      <c r="B133" s="53" t="s">
        <v>569</v>
      </c>
      <c r="C133" s="53"/>
      <c r="D133" s="53"/>
      <c r="E133" s="53"/>
      <c r="F133" s="54">
        <f>F134+F135</f>
        <v>8404.2</v>
      </c>
      <c r="I133" s="154">
        <f t="shared" si="2"/>
        <v>-8404.2</v>
      </c>
      <c r="J133" s="154"/>
    </row>
    <row r="134" spans="1:10" ht="31.5">
      <c r="A134" s="51" t="s">
        <v>56</v>
      </c>
      <c r="B134" s="53" t="s">
        <v>569</v>
      </c>
      <c r="C134" s="53" t="s">
        <v>101</v>
      </c>
      <c r="D134" s="53" t="s">
        <v>35</v>
      </c>
      <c r="E134" s="53" t="s">
        <v>58</v>
      </c>
      <c r="F134" s="54">
        <v>125.5</v>
      </c>
      <c r="G134" s="153">
        <f>SUM(Ведомственная!G486)</f>
        <v>125.5</v>
      </c>
      <c r="I134" s="154">
        <f t="shared" si="2"/>
        <v>0</v>
      </c>
      <c r="J134" s="154"/>
    </row>
    <row r="135" spans="1:10" ht="15.75">
      <c r="A135" s="51" t="s">
        <v>46</v>
      </c>
      <c r="B135" s="53" t="s">
        <v>569</v>
      </c>
      <c r="C135" s="53" t="s">
        <v>109</v>
      </c>
      <c r="D135" s="53" t="s">
        <v>35</v>
      </c>
      <c r="E135" s="53" t="s">
        <v>58</v>
      </c>
      <c r="F135" s="54">
        <v>8278.7</v>
      </c>
      <c r="G135" s="153">
        <f>SUM(Ведомственная!G487)</f>
        <v>8278.7</v>
      </c>
      <c r="I135" s="154">
        <f t="shared" si="2"/>
        <v>0</v>
      </c>
      <c r="J135" s="154"/>
    </row>
    <row r="136" spans="1:10" ht="47.25">
      <c r="A136" s="51" t="s">
        <v>570</v>
      </c>
      <c r="B136" s="53" t="s">
        <v>571</v>
      </c>
      <c r="C136" s="53"/>
      <c r="D136" s="53"/>
      <c r="E136" s="53"/>
      <c r="F136" s="54">
        <f>F137+F138</f>
        <v>105759.9</v>
      </c>
      <c r="I136" s="154">
        <f t="shared" si="2"/>
        <v>-105759.9</v>
      </c>
      <c r="J136" s="154"/>
    </row>
    <row r="137" spans="1:10" ht="31.5">
      <c r="A137" s="51" t="s">
        <v>56</v>
      </c>
      <c r="B137" s="53" t="s">
        <v>571</v>
      </c>
      <c r="C137" s="53" t="s">
        <v>101</v>
      </c>
      <c r="D137" s="53" t="s">
        <v>35</v>
      </c>
      <c r="E137" s="53" t="s">
        <v>58</v>
      </c>
      <c r="F137" s="54">
        <v>1574.4</v>
      </c>
      <c r="G137" s="153">
        <f>SUM(Ведомственная!G489)</f>
        <v>1574.4</v>
      </c>
      <c r="I137" s="154">
        <f t="shared" si="2"/>
        <v>0</v>
      </c>
      <c r="J137" s="154"/>
    </row>
    <row r="138" spans="1:10" ht="15.75">
      <c r="A138" s="51" t="s">
        <v>46</v>
      </c>
      <c r="B138" s="53" t="s">
        <v>571</v>
      </c>
      <c r="C138" s="53" t="s">
        <v>109</v>
      </c>
      <c r="D138" s="53" t="s">
        <v>35</v>
      </c>
      <c r="E138" s="53" t="s">
        <v>58</v>
      </c>
      <c r="F138" s="54">
        <v>104185.5</v>
      </c>
      <c r="G138" s="153">
        <f>SUM(Ведомственная!G490)</f>
        <v>104185.5</v>
      </c>
      <c r="I138" s="154">
        <f t="shared" si="2"/>
        <v>0</v>
      </c>
      <c r="J138" s="154"/>
    </row>
    <row r="139" spans="1:10" ht="63">
      <c r="A139" s="51" t="s">
        <v>572</v>
      </c>
      <c r="B139" s="53" t="s">
        <v>573</v>
      </c>
      <c r="C139" s="53"/>
      <c r="D139" s="53"/>
      <c r="E139" s="53"/>
      <c r="F139" s="54">
        <f>F140+F141</f>
        <v>710.9</v>
      </c>
      <c r="I139" s="154">
        <f t="shared" si="2"/>
        <v>-710.9</v>
      </c>
      <c r="J139" s="154"/>
    </row>
    <row r="140" spans="1:10" ht="31.5">
      <c r="A140" s="51" t="s">
        <v>56</v>
      </c>
      <c r="B140" s="53" t="s">
        <v>573</v>
      </c>
      <c r="C140" s="53" t="s">
        <v>101</v>
      </c>
      <c r="D140" s="53" t="s">
        <v>35</v>
      </c>
      <c r="E140" s="53" t="s">
        <v>58</v>
      </c>
      <c r="F140" s="54">
        <v>10.9</v>
      </c>
      <c r="G140" s="153">
        <f>SUM(Ведомственная!G492)</f>
        <v>10.9</v>
      </c>
      <c r="I140" s="154">
        <f t="shared" si="2"/>
        <v>0</v>
      </c>
      <c r="J140" s="154"/>
    </row>
    <row r="141" spans="1:10" ht="15.75">
      <c r="A141" s="51" t="s">
        <v>46</v>
      </c>
      <c r="B141" s="53" t="s">
        <v>573</v>
      </c>
      <c r="C141" s="53" t="s">
        <v>109</v>
      </c>
      <c r="D141" s="53" t="s">
        <v>35</v>
      </c>
      <c r="E141" s="53" t="s">
        <v>58</v>
      </c>
      <c r="F141" s="54">
        <v>700</v>
      </c>
      <c r="G141" s="153">
        <f>SUM(Ведомственная!G493)</f>
        <v>700</v>
      </c>
      <c r="I141" s="154">
        <f t="shared" si="2"/>
        <v>0</v>
      </c>
      <c r="J141" s="154"/>
    </row>
    <row r="142" spans="1:10" ht="63">
      <c r="A142" s="51" t="s">
        <v>574</v>
      </c>
      <c r="B142" s="53" t="s">
        <v>575</v>
      </c>
      <c r="C142" s="53"/>
      <c r="D142" s="53"/>
      <c r="E142" s="53"/>
      <c r="F142" s="54">
        <f>F143+F144</f>
        <v>90</v>
      </c>
      <c r="I142" s="154">
        <f t="shared" si="2"/>
        <v>-90</v>
      </c>
      <c r="J142" s="154"/>
    </row>
    <row r="143" spans="1:10" ht="31.5">
      <c r="A143" s="51" t="s">
        <v>56</v>
      </c>
      <c r="B143" s="53" t="s">
        <v>575</v>
      </c>
      <c r="C143" s="53" t="s">
        <v>101</v>
      </c>
      <c r="D143" s="53" t="s">
        <v>35</v>
      </c>
      <c r="E143" s="53" t="s">
        <v>58</v>
      </c>
      <c r="F143" s="54">
        <v>1.5</v>
      </c>
      <c r="G143" s="153">
        <f>SUM(Ведомственная!G495)</f>
        <v>1.5</v>
      </c>
      <c r="I143" s="154">
        <f t="shared" si="2"/>
        <v>0</v>
      </c>
      <c r="J143" s="154"/>
    </row>
    <row r="144" spans="1:10" ht="15.75">
      <c r="A144" s="51" t="s">
        <v>46</v>
      </c>
      <c r="B144" s="53" t="s">
        <v>575</v>
      </c>
      <c r="C144" s="53" t="s">
        <v>109</v>
      </c>
      <c r="D144" s="53" t="s">
        <v>35</v>
      </c>
      <c r="E144" s="53" t="s">
        <v>58</v>
      </c>
      <c r="F144" s="54">
        <v>88.5</v>
      </c>
      <c r="G144" s="153">
        <f>SUM(Ведомственная!G496)</f>
        <v>88.5</v>
      </c>
      <c r="I144" s="154">
        <f t="shared" si="2"/>
        <v>0</v>
      </c>
      <c r="J144" s="154"/>
    </row>
    <row r="145" spans="1:10" ht="63">
      <c r="A145" s="51" t="s">
        <v>576</v>
      </c>
      <c r="B145" s="53" t="s">
        <v>577</v>
      </c>
      <c r="C145" s="53"/>
      <c r="D145" s="53"/>
      <c r="E145" s="53"/>
      <c r="F145" s="54">
        <f>F146+F147</f>
        <v>3260.2000000000003</v>
      </c>
      <c r="I145" s="154">
        <f t="shared" si="2"/>
        <v>-3260.2000000000003</v>
      </c>
      <c r="J145" s="154"/>
    </row>
    <row r="146" spans="1:10" ht="31.5">
      <c r="A146" s="51" t="s">
        <v>56</v>
      </c>
      <c r="B146" s="53" t="s">
        <v>577</v>
      </c>
      <c r="C146" s="53" t="s">
        <v>101</v>
      </c>
      <c r="D146" s="53" t="s">
        <v>35</v>
      </c>
      <c r="E146" s="53" t="s">
        <v>58</v>
      </c>
      <c r="F146" s="54">
        <v>192.9</v>
      </c>
      <c r="G146" s="153">
        <f>SUM(Ведомственная!G498)</f>
        <v>192.9</v>
      </c>
      <c r="I146" s="154">
        <f t="shared" si="2"/>
        <v>0</v>
      </c>
      <c r="J146" s="154"/>
    </row>
    <row r="147" spans="1:10" ht="15.75">
      <c r="A147" s="51" t="s">
        <v>46</v>
      </c>
      <c r="B147" s="53" t="s">
        <v>577</v>
      </c>
      <c r="C147" s="53" t="s">
        <v>109</v>
      </c>
      <c r="D147" s="53" t="s">
        <v>35</v>
      </c>
      <c r="E147" s="53" t="s">
        <v>58</v>
      </c>
      <c r="F147" s="54">
        <v>3067.3</v>
      </c>
      <c r="G147" s="153">
        <f>SUM(Ведомственная!G499)</f>
        <v>3067.3</v>
      </c>
      <c r="I147" s="154">
        <f t="shared" si="2"/>
        <v>0</v>
      </c>
      <c r="J147" s="154"/>
    </row>
    <row r="148" spans="1:10" ht="31.5">
      <c r="A148" s="51" t="s">
        <v>578</v>
      </c>
      <c r="B148" s="53" t="s">
        <v>579</v>
      </c>
      <c r="C148" s="53"/>
      <c r="D148" s="53"/>
      <c r="E148" s="53"/>
      <c r="F148" s="54">
        <f>F149+F150</f>
        <v>160047.2</v>
      </c>
      <c r="I148" s="154">
        <f t="shared" si="2"/>
        <v>-160047.2</v>
      </c>
      <c r="J148" s="154"/>
    </row>
    <row r="149" spans="1:10" ht="31.5">
      <c r="A149" s="51" t="s">
        <v>56</v>
      </c>
      <c r="B149" s="53" t="s">
        <v>579</v>
      </c>
      <c r="C149" s="53" t="s">
        <v>101</v>
      </c>
      <c r="D149" s="53" t="s">
        <v>35</v>
      </c>
      <c r="E149" s="53" t="s">
        <v>58</v>
      </c>
      <c r="F149" s="54">
        <v>2373.6</v>
      </c>
      <c r="G149" s="153">
        <f>SUM(Ведомственная!G501)</f>
        <v>2373.6</v>
      </c>
      <c r="I149" s="154">
        <f t="shared" si="2"/>
        <v>0</v>
      </c>
      <c r="J149" s="154"/>
    </row>
    <row r="150" spans="1:10" ht="15.75">
      <c r="A150" s="51" t="s">
        <v>46</v>
      </c>
      <c r="B150" s="53" t="s">
        <v>579</v>
      </c>
      <c r="C150" s="53" t="s">
        <v>109</v>
      </c>
      <c r="D150" s="53" t="s">
        <v>35</v>
      </c>
      <c r="E150" s="53" t="s">
        <v>58</v>
      </c>
      <c r="F150" s="54">
        <v>157673.6</v>
      </c>
      <c r="G150" s="153">
        <f>SUM(Ведомственная!G502)</f>
        <v>157673.6</v>
      </c>
      <c r="I150" s="154">
        <f t="shared" si="2"/>
        <v>0</v>
      </c>
      <c r="J150" s="154"/>
    </row>
    <row r="151" spans="1:10" ht="47.25">
      <c r="A151" s="51" t="s">
        <v>580</v>
      </c>
      <c r="B151" s="53" t="s">
        <v>581</v>
      </c>
      <c r="C151" s="53"/>
      <c r="D151" s="53"/>
      <c r="E151" s="53"/>
      <c r="F151" s="54">
        <f>F152+F153</f>
        <v>1971.5</v>
      </c>
      <c r="I151" s="154">
        <f t="shared" si="2"/>
        <v>-1971.5</v>
      </c>
      <c r="J151" s="154"/>
    </row>
    <row r="152" spans="1:10" ht="31.5">
      <c r="A152" s="51" t="s">
        <v>56</v>
      </c>
      <c r="B152" s="53" t="s">
        <v>581</v>
      </c>
      <c r="C152" s="53" t="s">
        <v>101</v>
      </c>
      <c r="D152" s="53" t="s">
        <v>35</v>
      </c>
      <c r="E152" s="53" t="s">
        <v>58</v>
      </c>
      <c r="F152" s="54">
        <v>29</v>
      </c>
      <c r="G152" s="153">
        <f>SUM(Ведомственная!G504)</f>
        <v>29</v>
      </c>
      <c r="I152" s="154">
        <f t="shared" si="2"/>
        <v>0</v>
      </c>
      <c r="J152" s="154"/>
    </row>
    <row r="153" spans="1:10" ht="15.75">
      <c r="A153" s="51" t="s">
        <v>46</v>
      </c>
      <c r="B153" s="53" t="s">
        <v>581</v>
      </c>
      <c r="C153" s="53" t="s">
        <v>109</v>
      </c>
      <c r="D153" s="53" t="s">
        <v>35</v>
      </c>
      <c r="E153" s="53" t="s">
        <v>58</v>
      </c>
      <c r="F153" s="54">
        <v>1942.5</v>
      </c>
      <c r="G153" s="153">
        <f>SUM(Ведомственная!G505)</f>
        <v>1942.5</v>
      </c>
      <c r="I153" s="154">
        <f t="shared" si="2"/>
        <v>0</v>
      </c>
      <c r="J153" s="154"/>
    </row>
    <row r="154" spans="1:10" ht="47.25">
      <c r="A154" s="51" t="s">
        <v>582</v>
      </c>
      <c r="B154" s="53" t="s">
        <v>583</v>
      </c>
      <c r="C154" s="53"/>
      <c r="D154" s="53"/>
      <c r="E154" s="53"/>
      <c r="F154" s="54">
        <f>F155+F156</f>
        <v>13459.8</v>
      </c>
      <c r="I154" s="154">
        <f t="shared" si="2"/>
        <v>-13459.8</v>
      </c>
      <c r="J154" s="154"/>
    </row>
    <row r="155" spans="1:10" ht="31.5">
      <c r="A155" s="51" t="s">
        <v>56</v>
      </c>
      <c r="B155" s="53" t="s">
        <v>583</v>
      </c>
      <c r="C155" s="53" t="s">
        <v>101</v>
      </c>
      <c r="D155" s="53" t="s">
        <v>35</v>
      </c>
      <c r="E155" s="53" t="s">
        <v>58</v>
      </c>
      <c r="F155" s="54">
        <v>198.9</v>
      </c>
      <c r="G155" s="153">
        <f>SUM(Ведомственная!G507)</f>
        <v>198.9</v>
      </c>
      <c r="I155" s="154">
        <f t="shared" si="2"/>
        <v>0</v>
      </c>
      <c r="J155" s="154"/>
    </row>
    <row r="156" spans="1:10" ht="15.75">
      <c r="A156" s="51" t="s">
        <v>46</v>
      </c>
      <c r="B156" s="53" t="s">
        <v>583</v>
      </c>
      <c r="C156" s="53" t="s">
        <v>109</v>
      </c>
      <c r="D156" s="53" t="s">
        <v>35</v>
      </c>
      <c r="E156" s="53" t="s">
        <v>58</v>
      </c>
      <c r="F156" s="54">
        <v>13260.9</v>
      </c>
      <c r="G156" s="153">
        <f>SUM(Ведомственная!G508)</f>
        <v>13260.9</v>
      </c>
      <c r="I156" s="154">
        <f t="shared" si="2"/>
        <v>0</v>
      </c>
      <c r="J156" s="154"/>
    </row>
    <row r="157" spans="1:10" ht="31.5">
      <c r="A157" s="51" t="s">
        <v>584</v>
      </c>
      <c r="B157" s="53" t="s">
        <v>585</v>
      </c>
      <c r="C157" s="53"/>
      <c r="D157" s="53"/>
      <c r="E157" s="53"/>
      <c r="F157" s="54">
        <f>F158+F159</f>
        <v>127639.90000000001</v>
      </c>
      <c r="I157" s="154">
        <f t="shared" si="2"/>
        <v>-127639.90000000001</v>
      </c>
      <c r="J157" s="154"/>
    </row>
    <row r="158" spans="1:10" ht="31.5">
      <c r="A158" s="51" t="s">
        <v>56</v>
      </c>
      <c r="B158" s="53" t="s">
        <v>585</v>
      </c>
      <c r="C158" s="53" t="s">
        <v>101</v>
      </c>
      <c r="D158" s="53" t="s">
        <v>35</v>
      </c>
      <c r="E158" s="53" t="s">
        <v>58</v>
      </c>
      <c r="F158" s="54">
        <v>1886.3</v>
      </c>
      <c r="G158" s="153">
        <f>SUM(Ведомственная!G510)</f>
        <v>1886.3</v>
      </c>
      <c r="I158" s="154">
        <f t="shared" si="2"/>
        <v>0</v>
      </c>
      <c r="J158" s="154"/>
    </row>
    <row r="159" spans="1:10" ht="15.75">
      <c r="A159" s="51" t="s">
        <v>46</v>
      </c>
      <c r="B159" s="53" t="s">
        <v>585</v>
      </c>
      <c r="C159" s="53" t="s">
        <v>109</v>
      </c>
      <c r="D159" s="53" t="s">
        <v>35</v>
      </c>
      <c r="E159" s="53" t="s">
        <v>58</v>
      </c>
      <c r="F159" s="54">
        <v>125753.6</v>
      </c>
      <c r="G159" s="153">
        <f>SUM(Ведомственная!G511)</f>
        <v>125753.6</v>
      </c>
      <c r="I159" s="154">
        <f t="shared" si="2"/>
        <v>0</v>
      </c>
      <c r="J159" s="154"/>
    </row>
    <row r="160" spans="1:10" ht="94.5">
      <c r="A160" s="51" t="s">
        <v>586</v>
      </c>
      <c r="B160" s="53" t="s">
        <v>587</v>
      </c>
      <c r="C160" s="53"/>
      <c r="D160" s="53"/>
      <c r="E160" s="53"/>
      <c r="F160" s="54">
        <f>F161+F162</f>
        <v>14</v>
      </c>
      <c r="I160" s="154">
        <f t="shared" si="2"/>
        <v>-14</v>
      </c>
      <c r="J160" s="154"/>
    </row>
    <row r="161" spans="1:10" ht="31.5">
      <c r="A161" s="51" t="s">
        <v>56</v>
      </c>
      <c r="B161" s="53" t="s">
        <v>587</v>
      </c>
      <c r="C161" s="53" t="s">
        <v>101</v>
      </c>
      <c r="D161" s="53" t="s">
        <v>35</v>
      </c>
      <c r="E161" s="53" t="s">
        <v>58</v>
      </c>
      <c r="F161" s="54">
        <v>0.2</v>
      </c>
      <c r="G161" s="153">
        <f>SUM(Ведомственная!G513)</f>
        <v>0.2</v>
      </c>
      <c r="I161" s="154">
        <f t="shared" si="2"/>
        <v>0</v>
      </c>
      <c r="J161" s="154"/>
    </row>
    <row r="162" spans="1:10" ht="15.75">
      <c r="A162" s="51" t="s">
        <v>46</v>
      </c>
      <c r="B162" s="53" t="s">
        <v>587</v>
      </c>
      <c r="C162" s="53" t="s">
        <v>109</v>
      </c>
      <c r="D162" s="53" t="s">
        <v>35</v>
      </c>
      <c r="E162" s="53" t="s">
        <v>58</v>
      </c>
      <c r="F162" s="54">
        <v>13.8</v>
      </c>
      <c r="G162" s="153">
        <f>SUM(Ведомственная!G514)</f>
        <v>13.8</v>
      </c>
      <c r="I162" s="154">
        <f t="shared" si="2"/>
        <v>0</v>
      </c>
      <c r="J162" s="154"/>
    </row>
    <row r="163" spans="1:10" ht="47.25">
      <c r="A163" s="51" t="s">
        <v>588</v>
      </c>
      <c r="B163" s="53" t="s">
        <v>589</v>
      </c>
      <c r="C163" s="53"/>
      <c r="D163" s="53"/>
      <c r="E163" s="53"/>
      <c r="F163" s="54">
        <f>F164+F165+F166</f>
        <v>8057.1</v>
      </c>
      <c r="I163" s="154">
        <f aca="true" t="shared" si="3" ref="I163:I226">G163-F163</f>
        <v>-8057.1</v>
      </c>
      <c r="J163" s="154"/>
    </row>
    <row r="164" spans="1:10" ht="31.5">
      <c r="A164" s="51" t="s">
        <v>56</v>
      </c>
      <c r="B164" s="53" t="s">
        <v>589</v>
      </c>
      <c r="C164" s="53" t="s">
        <v>101</v>
      </c>
      <c r="D164" s="53" t="s">
        <v>35</v>
      </c>
      <c r="E164" s="53" t="s">
        <v>58</v>
      </c>
      <c r="F164" s="54">
        <v>28.7</v>
      </c>
      <c r="G164" s="153">
        <f>SUM(Ведомственная!G516)</f>
        <v>28.7</v>
      </c>
      <c r="I164" s="154">
        <f t="shared" si="3"/>
        <v>0</v>
      </c>
      <c r="J164" s="154"/>
    </row>
    <row r="165" spans="1:10" ht="15.75">
      <c r="A165" s="51" t="s">
        <v>46</v>
      </c>
      <c r="B165" s="53" t="s">
        <v>589</v>
      </c>
      <c r="C165" s="53" t="s">
        <v>109</v>
      </c>
      <c r="D165" s="53" t="s">
        <v>35</v>
      </c>
      <c r="E165" s="53" t="s">
        <v>58</v>
      </c>
      <c r="F165" s="54">
        <v>7561.6</v>
      </c>
      <c r="G165" s="153">
        <f>SUM(Ведомственная!G517+Ведомственная!G886)+Ведомственная!G1004</f>
        <v>7561.6</v>
      </c>
      <c r="I165" s="154">
        <f t="shared" si="3"/>
        <v>0</v>
      </c>
      <c r="J165" s="154"/>
    </row>
    <row r="166" spans="1:10" ht="31.5">
      <c r="A166" s="51" t="s">
        <v>134</v>
      </c>
      <c r="B166" s="53" t="s">
        <v>589</v>
      </c>
      <c r="C166" s="53" t="s">
        <v>135</v>
      </c>
      <c r="D166" s="53" t="s">
        <v>35</v>
      </c>
      <c r="E166" s="53" t="s">
        <v>58</v>
      </c>
      <c r="F166" s="54">
        <v>466.8</v>
      </c>
      <c r="G166" s="153">
        <f>Ведомственная!G887</f>
        <v>466.8</v>
      </c>
      <c r="I166" s="154">
        <f t="shared" si="3"/>
        <v>0</v>
      </c>
      <c r="J166" s="154"/>
    </row>
    <row r="167" spans="1:10" ht="63">
      <c r="A167" s="51" t="s">
        <v>590</v>
      </c>
      <c r="B167" s="53" t="s">
        <v>591</v>
      </c>
      <c r="C167" s="53"/>
      <c r="D167" s="53"/>
      <c r="E167" s="53"/>
      <c r="F167" s="54">
        <f>F168+F169</f>
        <v>1635.2</v>
      </c>
      <c r="I167" s="154">
        <f t="shared" si="3"/>
        <v>-1635.2</v>
      </c>
      <c r="J167" s="154"/>
    </row>
    <row r="168" spans="1:10" ht="31.5">
      <c r="A168" s="51" t="s">
        <v>56</v>
      </c>
      <c r="B168" s="53" t="s">
        <v>591</v>
      </c>
      <c r="C168" s="53" t="s">
        <v>101</v>
      </c>
      <c r="D168" s="53" t="s">
        <v>35</v>
      </c>
      <c r="E168" s="53" t="s">
        <v>58</v>
      </c>
      <c r="F168" s="54">
        <v>28.4</v>
      </c>
      <c r="G168" s="153">
        <f>SUM(Ведомственная!G519)</f>
        <v>28.4</v>
      </c>
      <c r="I168" s="154">
        <f t="shared" si="3"/>
        <v>0</v>
      </c>
      <c r="J168" s="154"/>
    </row>
    <row r="169" spans="1:10" ht="15.75">
      <c r="A169" s="51" t="s">
        <v>46</v>
      </c>
      <c r="B169" s="53" t="s">
        <v>591</v>
      </c>
      <c r="C169" s="53" t="s">
        <v>109</v>
      </c>
      <c r="D169" s="53" t="s">
        <v>35</v>
      </c>
      <c r="E169" s="53" t="s">
        <v>58</v>
      </c>
      <c r="F169" s="54">
        <v>1606.8</v>
      </c>
      <c r="G169" s="153">
        <f>SUM(Ведомственная!G520)</f>
        <v>1606.8</v>
      </c>
      <c r="I169" s="154">
        <f t="shared" si="3"/>
        <v>0</v>
      </c>
      <c r="J169" s="154"/>
    </row>
    <row r="170" spans="1:10" ht="31.5">
      <c r="A170" s="51" t="s">
        <v>592</v>
      </c>
      <c r="B170" s="53" t="s">
        <v>593</v>
      </c>
      <c r="C170" s="53"/>
      <c r="D170" s="53"/>
      <c r="E170" s="53"/>
      <c r="F170" s="54">
        <f>F171+F172</f>
        <v>69.3</v>
      </c>
      <c r="I170" s="154">
        <f t="shared" si="3"/>
        <v>-69.3</v>
      </c>
      <c r="J170" s="154"/>
    </row>
    <row r="171" spans="1:10" ht="31.5">
      <c r="A171" s="51" t="s">
        <v>56</v>
      </c>
      <c r="B171" s="53" t="s">
        <v>593</v>
      </c>
      <c r="C171" s="53" t="s">
        <v>101</v>
      </c>
      <c r="D171" s="53" t="s">
        <v>35</v>
      </c>
      <c r="E171" s="53" t="s">
        <v>58</v>
      </c>
      <c r="F171" s="54">
        <v>1</v>
      </c>
      <c r="G171" s="153">
        <f>SUM(Ведомственная!G522)</f>
        <v>1</v>
      </c>
      <c r="I171" s="154">
        <f t="shared" si="3"/>
        <v>0</v>
      </c>
      <c r="J171" s="154"/>
    </row>
    <row r="172" spans="1:10" ht="15.75">
      <c r="A172" s="51" t="s">
        <v>46</v>
      </c>
      <c r="B172" s="53" t="s">
        <v>593</v>
      </c>
      <c r="C172" s="53" t="s">
        <v>109</v>
      </c>
      <c r="D172" s="53" t="s">
        <v>35</v>
      </c>
      <c r="E172" s="53" t="s">
        <v>58</v>
      </c>
      <c r="F172" s="54">
        <v>68.3</v>
      </c>
      <c r="G172" s="153">
        <f>SUM(Ведомственная!G523)</f>
        <v>68.3</v>
      </c>
      <c r="I172" s="154">
        <f t="shared" si="3"/>
        <v>0</v>
      </c>
      <c r="J172" s="154"/>
    </row>
    <row r="173" spans="1:10" ht="63">
      <c r="A173" s="51" t="s">
        <v>594</v>
      </c>
      <c r="B173" s="53" t="s">
        <v>595</v>
      </c>
      <c r="C173" s="53"/>
      <c r="D173" s="53"/>
      <c r="E173" s="53"/>
      <c r="F173" s="54">
        <f>F174+F175</f>
        <v>690.9000000000001</v>
      </c>
      <c r="I173" s="154">
        <f t="shared" si="3"/>
        <v>-690.9000000000001</v>
      </c>
      <c r="J173" s="154"/>
    </row>
    <row r="174" spans="1:10" ht="31.5">
      <c r="A174" s="51" t="s">
        <v>56</v>
      </c>
      <c r="B174" s="53" t="s">
        <v>595</v>
      </c>
      <c r="C174" s="53" t="s">
        <v>101</v>
      </c>
      <c r="D174" s="53" t="s">
        <v>35</v>
      </c>
      <c r="E174" s="53" t="s">
        <v>58</v>
      </c>
      <c r="F174" s="54">
        <v>16.2</v>
      </c>
      <c r="G174" s="153">
        <f>SUM(Ведомственная!G525)</f>
        <v>16.2</v>
      </c>
      <c r="I174" s="154">
        <f t="shared" si="3"/>
        <v>0</v>
      </c>
      <c r="J174" s="154"/>
    </row>
    <row r="175" spans="1:10" ht="15.75">
      <c r="A175" s="51" t="s">
        <v>46</v>
      </c>
      <c r="B175" s="53" t="s">
        <v>595</v>
      </c>
      <c r="C175" s="53" t="s">
        <v>109</v>
      </c>
      <c r="D175" s="53" t="s">
        <v>35</v>
      </c>
      <c r="E175" s="53" t="s">
        <v>58</v>
      </c>
      <c r="F175" s="54">
        <v>674.7</v>
      </c>
      <c r="G175" s="153">
        <f>SUM(Ведомственная!G526)</f>
        <v>674.7</v>
      </c>
      <c r="I175" s="154">
        <f t="shared" si="3"/>
        <v>0</v>
      </c>
      <c r="J175" s="154"/>
    </row>
    <row r="176" spans="1:10" ht="31.5">
      <c r="A176" s="51" t="s">
        <v>705</v>
      </c>
      <c r="B176" s="53" t="s">
        <v>706</v>
      </c>
      <c r="C176" s="53"/>
      <c r="D176" s="53"/>
      <c r="E176" s="53"/>
      <c r="F176" s="54">
        <f>SUM(F177:F178)</f>
        <v>15497.2</v>
      </c>
      <c r="I176" s="154">
        <f t="shared" si="3"/>
        <v>-15497.2</v>
      </c>
      <c r="J176" s="154"/>
    </row>
    <row r="177" spans="1:10" ht="31.5">
      <c r="A177" s="51" t="s">
        <v>56</v>
      </c>
      <c r="B177" s="53" t="s">
        <v>706</v>
      </c>
      <c r="C177" s="53" t="s">
        <v>101</v>
      </c>
      <c r="D177" s="53" t="s">
        <v>35</v>
      </c>
      <c r="E177" s="53" t="s">
        <v>58</v>
      </c>
      <c r="F177" s="54">
        <v>491.5</v>
      </c>
      <c r="G177" s="153">
        <f>SUM(Ведомственная!G528)</f>
        <v>491.5</v>
      </c>
      <c r="I177" s="154">
        <f t="shared" si="3"/>
        <v>0</v>
      </c>
      <c r="J177" s="154"/>
    </row>
    <row r="178" spans="1:10" ht="15.75">
      <c r="A178" s="51" t="s">
        <v>46</v>
      </c>
      <c r="B178" s="53" t="s">
        <v>706</v>
      </c>
      <c r="C178" s="53" t="s">
        <v>109</v>
      </c>
      <c r="D178" s="53" t="s">
        <v>35</v>
      </c>
      <c r="E178" s="53" t="s">
        <v>58</v>
      </c>
      <c r="F178" s="54">
        <v>15005.7</v>
      </c>
      <c r="G178" s="153">
        <f>SUM(Ведомственная!G529)</f>
        <v>15005.7</v>
      </c>
      <c r="I178" s="154">
        <f t="shared" si="3"/>
        <v>0</v>
      </c>
      <c r="J178" s="154"/>
    </row>
    <row r="179" spans="1:10" ht="47.25">
      <c r="A179" s="51" t="s">
        <v>555</v>
      </c>
      <c r="B179" s="53" t="s">
        <v>556</v>
      </c>
      <c r="C179" s="52"/>
      <c r="D179" s="53"/>
      <c r="E179" s="53"/>
      <c r="F179" s="54">
        <f>F185+F180</f>
        <v>72878.9</v>
      </c>
      <c r="I179" s="154">
        <f t="shared" si="3"/>
        <v>-72878.9</v>
      </c>
      <c r="J179" s="154"/>
    </row>
    <row r="180" spans="1:10" ht="47.25">
      <c r="A180" s="51" t="s">
        <v>612</v>
      </c>
      <c r="B180" s="52" t="s">
        <v>613</v>
      </c>
      <c r="C180" s="52"/>
      <c r="D180" s="53"/>
      <c r="E180" s="53"/>
      <c r="F180" s="54">
        <f>F181</f>
        <v>17222.6</v>
      </c>
      <c r="I180" s="154">
        <f t="shared" si="3"/>
        <v>-17222.6</v>
      </c>
      <c r="J180" s="154"/>
    </row>
    <row r="181" spans="1:10" ht="31.5">
      <c r="A181" s="51" t="s">
        <v>614</v>
      </c>
      <c r="B181" s="52" t="s">
        <v>615</v>
      </c>
      <c r="C181" s="52"/>
      <c r="D181" s="53"/>
      <c r="E181" s="53"/>
      <c r="F181" s="54">
        <f>F182+F183+F184</f>
        <v>17222.6</v>
      </c>
      <c r="I181" s="154">
        <f t="shared" si="3"/>
        <v>-17222.6</v>
      </c>
      <c r="J181" s="154"/>
    </row>
    <row r="182" spans="1:10" ht="63">
      <c r="A182" s="51" t="s">
        <v>55</v>
      </c>
      <c r="B182" s="52" t="s">
        <v>615</v>
      </c>
      <c r="C182" s="52">
        <v>100</v>
      </c>
      <c r="D182" s="53" t="s">
        <v>35</v>
      </c>
      <c r="E182" s="53" t="s">
        <v>82</v>
      </c>
      <c r="F182" s="54">
        <v>14583.1</v>
      </c>
      <c r="G182" s="153">
        <f>SUM(Ведомственная!G608)</f>
        <v>14583.1</v>
      </c>
      <c r="I182" s="154">
        <f t="shared" si="3"/>
        <v>0</v>
      </c>
      <c r="J182" s="154"/>
    </row>
    <row r="183" spans="1:10" ht="31.5">
      <c r="A183" s="51" t="s">
        <v>56</v>
      </c>
      <c r="B183" s="52" t="s">
        <v>615</v>
      </c>
      <c r="C183" s="52">
        <v>200</v>
      </c>
      <c r="D183" s="53" t="s">
        <v>35</v>
      </c>
      <c r="E183" s="53" t="s">
        <v>82</v>
      </c>
      <c r="F183" s="54">
        <v>2321.2</v>
      </c>
      <c r="G183" s="153">
        <f>SUM(Ведомственная!G609)</f>
        <v>2321.2</v>
      </c>
      <c r="I183" s="154">
        <f t="shared" si="3"/>
        <v>0</v>
      </c>
      <c r="J183" s="154"/>
    </row>
    <row r="184" spans="1:10" ht="15.75">
      <c r="A184" s="51" t="s">
        <v>26</v>
      </c>
      <c r="B184" s="52" t="s">
        <v>615</v>
      </c>
      <c r="C184" s="52">
        <v>800</v>
      </c>
      <c r="D184" s="53" t="s">
        <v>35</v>
      </c>
      <c r="E184" s="53" t="s">
        <v>82</v>
      </c>
      <c r="F184" s="54">
        <v>318.3</v>
      </c>
      <c r="G184" s="153">
        <f>SUM(Ведомственная!G610)</f>
        <v>318.3</v>
      </c>
      <c r="I184" s="154">
        <f t="shared" si="3"/>
        <v>0</v>
      </c>
      <c r="J184" s="154"/>
    </row>
    <row r="185" spans="1:10" ht="94.5">
      <c r="A185" s="51" t="s">
        <v>317</v>
      </c>
      <c r="B185" s="53" t="s">
        <v>557</v>
      </c>
      <c r="C185" s="52"/>
      <c r="D185" s="53"/>
      <c r="E185" s="53"/>
      <c r="F185" s="54">
        <f>F186</f>
        <v>55656.3</v>
      </c>
      <c r="I185" s="154">
        <f t="shared" si="3"/>
        <v>-55656.3</v>
      </c>
      <c r="J185" s="154"/>
    </row>
    <row r="186" spans="1:10" ht="31.5">
      <c r="A186" s="51" t="s">
        <v>558</v>
      </c>
      <c r="B186" s="53" t="s">
        <v>559</v>
      </c>
      <c r="C186" s="52"/>
      <c r="D186" s="53"/>
      <c r="E186" s="53"/>
      <c r="F186" s="54">
        <f>F187+F188+F189</f>
        <v>55656.3</v>
      </c>
      <c r="I186" s="154">
        <f t="shared" si="3"/>
        <v>-55656.3</v>
      </c>
      <c r="J186" s="154"/>
    </row>
    <row r="187" spans="1:10" ht="63">
      <c r="A187" s="51" t="s">
        <v>55</v>
      </c>
      <c r="B187" s="53" t="s">
        <v>559</v>
      </c>
      <c r="C187" s="52">
        <v>100</v>
      </c>
      <c r="D187" s="53" t="s">
        <v>35</v>
      </c>
      <c r="E187" s="53" t="s">
        <v>48</v>
      </c>
      <c r="F187" s="54">
        <v>44851.4</v>
      </c>
      <c r="G187" s="153">
        <f>SUM(Ведомственная!G463)</f>
        <v>44851.4</v>
      </c>
      <c r="I187" s="154">
        <f t="shared" si="3"/>
        <v>0</v>
      </c>
      <c r="J187" s="154"/>
    </row>
    <row r="188" spans="1:10" ht="31.5">
      <c r="A188" s="51" t="s">
        <v>56</v>
      </c>
      <c r="B188" s="53" t="s">
        <v>559</v>
      </c>
      <c r="C188" s="52">
        <v>200</v>
      </c>
      <c r="D188" s="53" t="s">
        <v>35</v>
      </c>
      <c r="E188" s="53" t="s">
        <v>48</v>
      </c>
      <c r="F188" s="54">
        <v>10591.9</v>
      </c>
      <c r="G188" s="153">
        <f>SUM(Ведомственная!G464)</f>
        <v>10591.9</v>
      </c>
      <c r="I188" s="154">
        <f t="shared" si="3"/>
        <v>0</v>
      </c>
      <c r="J188" s="154"/>
    </row>
    <row r="189" spans="1:10" ht="15.75">
      <c r="A189" s="51" t="s">
        <v>26</v>
      </c>
      <c r="B189" s="53" t="s">
        <v>559</v>
      </c>
      <c r="C189" s="52">
        <v>800</v>
      </c>
      <c r="D189" s="53" t="s">
        <v>35</v>
      </c>
      <c r="E189" s="53" t="s">
        <v>48</v>
      </c>
      <c r="F189" s="54">
        <v>213</v>
      </c>
      <c r="G189" s="153">
        <f>SUM(Ведомственная!G465)</f>
        <v>213</v>
      </c>
      <c r="I189" s="154">
        <f t="shared" si="3"/>
        <v>0</v>
      </c>
      <c r="J189" s="154"/>
    </row>
    <row r="190" spans="1:10" ht="63">
      <c r="A190" s="51" t="s">
        <v>550</v>
      </c>
      <c r="B190" s="53" t="s">
        <v>551</v>
      </c>
      <c r="C190" s="53"/>
      <c r="D190" s="53"/>
      <c r="E190" s="53"/>
      <c r="F190" s="54">
        <f>SUM(F191)</f>
        <v>5937.7</v>
      </c>
      <c r="H190" s="159">
        <f>SUM(G193:G195)</f>
        <v>5937.7</v>
      </c>
      <c r="I190" s="154">
        <f t="shared" si="3"/>
        <v>-5937.7</v>
      </c>
      <c r="J190" s="154">
        <f aca="true" t="shared" si="4" ref="J190:J238">SUM(H190-F190)</f>
        <v>0</v>
      </c>
    </row>
    <row r="191" spans="1:10" ht="94.5">
      <c r="A191" s="55" t="s">
        <v>246</v>
      </c>
      <c r="B191" s="53" t="s">
        <v>552</v>
      </c>
      <c r="C191" s="53"/>
      <c r="D191" s="53"/>
      <c r="E191" s="53"/>
      <c r="F191" s="54">
        <f>SUM(F192)</f>
        <v>5937.7</v>
      </c>
      <c r="I191" s="154">
        <f t="shared" si="3"/>
        <v>-5937.7</v>
      </c>
      <c r="J191" s="154">
        <f t="shared" si="4"/>
        <v>-5937.7</v>
      </c>
    </row>
    <row r="192" spans="1:10" ht="31.5">
      <c r="A192" s="51" t="s">
        <v>285</v>
      </c>
      <c r="B192" s="53" t="s">
        <v>553</v>
      </c>
      <c r="C192" s="53"/>
      <c r="D192" s="53"/>
      <c r="E192" s="53"/>
      <c r="F192" s="54">
        <f>SUM(F193:F195)</f>
        <v>5937.7</v>
      </c>
      <c r="I192" s="154">
        <f t="shared" si="3"/>
        <v>-5937.7</v>
      </c>
      <c r="J192" s="154">
        <f t="shared" si="4"/>
        <v>-5937.7</v>
      </c>
    </row>
    <row r="193" spans="1:10" ht="63">
      <c r="A193" s="51" t="s">
        <v>55</v>
      </c>
      <c r="B193" s="53" t="s">
        <v>553</v>
      </c>
      <c r="C193" s="53" t="s">
        <v>99</v>
      </c>
      <c r="D193" s="53" t="s">
        <v>58</v>
      </c>
      <c r="E193" s="53" t="s">
        <v>17</v>
      </c>
      <c r="F193" s="54">
        <v>3615.5</v>
      </c>
      <c r="G193" s="153">
        <f>SUM(Ведомственная!G142)</f>
        <v>3615.5</v>
      </c>
      <c r="I193" s="154">
        <f t="shared" si="3"/>
        <v>0</v>
      </c>
      <c r="J193" s="154">
        <f t="shared" si="4"/>
        <v>-3615.5</v>
      </c>
    </row>
    <row r="194" spans="1:10" ht="31.5">
      <c r="A194" s="51" t="s">
        <v>56</v>
      </c>
      <c r="B194" s="53" t="s">
        <v>553</v>
      </c>
      <c r="C194" s="53" t="s">
        <v>101</v>
      </c>
      <c r="D194" s="53" t="s">
        <v>58</v>
      </c>
      <c r="E194" s="53" t="s">
        <v>17</v>
      </c>
      <c r="F194" s="54">
        <v>2224.2</v>
      </c>
      <c r="G194" s="153">
        <f>SUM(Ведомственная!G143)</f>
        <v>2224.2</v>
      </c>
      <c r="I194" s="154">
        <f t="shared" si="3"/>
        <v>0</v>
      </c>
      <c r="J194" s="154">
        <f t="shared" si="4"/>
        <v>-2224.2</v>
      </c>
    </row>
    <row r="195" spans="1:10" ht="15.75">
      <c r="A195" s="51" t="s">
        <v>26</v>
      </c>
      <c r="B195" s="53" t="s">
        <v>553</v>
      </c>
      <c r="C195" s="53" t="s">
        <v>106</v>
      </c>
      <c r="D195" s="53" t="s">
        <v>58</v>
      </c>
      <c r="E195" s="53" t="s">
        <v>17</v>
      </c>
      <c r="F195" s="54">
        <v>98</v>
      </c>
      <c r="G195" s="153">
        <f>SUM(Ведомственная!G144)</f>
        <v>98</v>
      </c>
      <c r="I195" s="154">
        <f t="shared" si="3"/>
        <v>0</v>
      </c>
      <c r="J195" s="154">
        <f t="shared" si="4"/>
        <v>-98</v>
      </c>
    </row>
    <row r="196" spans="1:10" ht="31.5">
      <c r="A196" s="51" t="s">
        <v>319</v>
      </c>
      <c r="B196" s="52" t="s">
        <v>286</v>
      </c>
      <c r="C196" s="52"/>
      <c r="D196" s="53"/>
      <c r="E196" s="53"/>
      <c r="F196" s="54">
        <f>SUM(F197+F201)</f>
        <v>3010</v>
      </c>
      <c r="H196" s="155">
        <f>SUM(G200:G206)</f>
        <v>3010</v>
      </c>
      <c r="I196" s="154">
        <f t="shared" si="3"/>
        <v>-3010</v>
      </c>
      <c r="J196" s="154">
        <f t="shared" si="4"/>
        <v>0</v>
      </c>
    </row>
    <row r="197" spans="1:10" ht="47.25">
      <c r="A197" s="165" t="s">
        <v>782</v>
      </c>
      <c r="B197" s="53" t="s">
        <v>287</v>
      </c>
      <c r="C197" s="52"/>
      <c r="D197" s="53"/>
      <c r="E197" s="53"/>
      <c r="F197" s="54">
        <f>SUM(F198)</f>
        <v>1500</v>
      </c>
      <c r="I197" s="154">
        <f t="shared" si="3"/>
        <v>-1500</v>
      </c>
      <c r="J197" s="154">
        <f t="shared" si="4"/>
        <v>-1500</v>
      </c>
    </row>
    <row r="198" spans="1:10" ht="47.25">
      <c r="A198" s="66" t="s">
        <v>22</v>
      </c>
      <c r="B198" s="53" t="s">
        <v>344</v>
      </c>
      <c r="C198" s="52"/>
      <c r="D198" s="53"/>
      <c r="E198" s="53"/>
      <c r="F198" s="54">
        <f>SUM(F199)</f>
        <v>1500</v>
      </c>
      <c r="I198" s="154">
        <f t="shared" si="3"/>
        <v>-1500</v>
      </c>
      <c r="J198" s="154">
        <f t="shared" si="4"/>
        <v>-1500</v>
      </c>
    </row>
    <row r="199" spans="1:10" ht="31.5">
      <c r="A199" s="51" t="s">
        <v>288</v>
      </c>
      <c r="B199" s="53" t="s">
        <v>345</v>
      </c>
      <c r="C199" s="53"/>
      <c r="D199" s="53"/>
      <c r="E199" s="53"/>
      <c r="F199" s="54">
        <f>SUM(F200)</f>
        <v>1500</v>
      </c>
      <c r="I199" s="154">
        <f t="shared" si="3"/>
        <v>-1500</v>
      </c>
      <c r="J199" s="154">
        <f t="shared" si="4"/>
        <v>-1500</v>
      </c>
    </row>
    <row r="200" spans="1:10" ht="15.75">
      <c r="A200" s="51" t="s">
        <v>26</v>
      </c>
      <c r="B200" s="53" t="s">
        <v>345</v>
      </c>
      <c r="C200" s="53" t="s">
        <v>106</v>
      </c>
      <c r="D200" s="53" t="s">
        <v>17</v>
      </c>
      <c r="E200" s="53" t="s">
        <v>28</v>
      </c>
      <c r="F200" s="54">
        <v>1500</v>
      </c>
      <c r="G200" s="153">
        <f>SUM(Ведомственная!G197)</f>
        <v>1500</v>
      </c>
      <c r="I200" s="154">
        <f t="shared" si="3"/>
        <v>0</v>
      </c>
      <c r="J200" s="154">
        <f t="shared" si="4"/>
        <v>-1500</v>
      </c>
    </row>
    <row r="201" spans="1:10" ht="31.5">
      <c r="A201" s="51" t="s">
        <v>289</v>
      </c>
      <c r="B201" s="53" t="s">
        <v>290</v>
      </c>
      <c r="C201" s="52"/>
      <c r="D201" s="53"/>
      <c r="E201" s="53"/>
      <c r="F201" s="54">
        <f>SUM(F202)</f>
        <v>1510</v>
      </c>
      <c r="I201" s="154">
        <f t="shared" si="3"/>
        <v>-1510</v>
      </c>
      <c r="J201" s="154">
        <f t="shared" si="4"/>
        <v>-1510</v>
      </c>
    </row>
    <row r="202" spans="1:10" ht="31.5">
      <c r="A202" s="66" t="s">
        <v>73</v>
      </c>
      <c r="B202" s="53" t="s">
        <v>645</v>
      </c>
      <c r="C202" s="52"/>
      <c r="D202" s="53"/>
      <c r="E202" s="53"/>
      <c r="F202" s="54">
        <f>SUM(F203)+F205</f>
        <v>1510</v>
      </c>
      <c r="I202" s="154">
        <f t="shared" si="3"/>
        <v>-1510</v>
      </c>
      <c r="J202" s="154">
        <f t="shared" si="4"/>
        <v>-1510</v>
      </c>
    </row>
    <row r="203" spans="1:10" ht="47.25">
      <c r="A203" s="51" t="s">
        <v>291</v>
      </c>
      <c r="B203" s="53" t="s">
        <v>343</v>
      </c>
      <c r="C203" s="53"/>
      <c r="D203" s="53"/>
      <c r="E203" s="53"/>
      <c r="F203" s="54">
        <f>SUM(F204)</f>
        <v>1500</v>
      </c>
      <c r="I203" s="154">
        <f t="shared" si="3"/>
        <v>-1500</v>
      </c>
      <c r="J203" s="154">
        <f t="shared" si="4"/>
        <v>-1500</v>
      </c>
    </row>
    <row r="204" spans="1:10" ht="31.5">
      <c r="A204" s="51" t="s">
        <v>283</v>
      </c>
      <c r="B204" s="53" t="s">
        <v>343</v>
      </c>
      <c r="C204" s="53" t="s">
        <v>135</v>
      </c>
      <c r="D204" s="53" t="s">
        <v>17</v>
      </c>
      <c r="E204" s="53" t="s">
        <v>28</v>
      </c>
      <c r="F204" s="54">
        <v>1500</v>
      </c>
      <c r="G204" s="153">
        <f>SUM(Ведомственная!G201)</f>
        <v>1500</v>
      </c>
      <c r="I204" s="154">
        <f t="shared" si="3"/>
        <v>0</v>
      </c>
      <c r="J204" s="154">
        <f t="shared" si="4"/>
        <v>-1500</v>
      </c>
    </row>
    <row r="205" spans="1:10" ht="47.25">
      <c r="A205" s="51" t="s">
        <v>677</v>
      </c>
      <c r="B205" s="53" t="s">
        <v>655</v>
      </c>
      <c r="C205" s="53"/>
      <c r="D205" s="53"/>
      <c r="E205" s="67"/>
      <c r="F205" s="54">
        <f>SUM(F206)</f>
        <v>10</v>
      </c>
      <c r="I205" s="154">
        <f t="shared" si="3"/>
        <v>-10</v>
      </c>
      <c r="J205" s="154"/>
    </row>
    <row r="206" spans="1:10" ht="31.5">
      <c r="A206" s="51" t="s">
        <v>283</v>
      </c>
      <c r="B206" s="53" t="s">
        <v>655</v>
      </c>
      <c r="C206" s="53" t="s">
        <v>135</v>
      </c>
      <c r="D206" s="53" t="s">
        <v>17</v>
      </c>
      <c r="E206" s="53" t="s">
        <v>28</v>
      </c>
      <c r="F206" s="54">
        <v>10</v>
      </c>
      <c r="G206" s="153">
        <f>SUM(Ведомственная!G203)</f>
        <v>10</v>
      </c>
      <c r="I206" s="154">
        <f t="shared" si="3"/>
        <v>0</v>
      </c>
      <c r="J206" s="154"/>
    </row>
    <row r="207" spans="1:10" ht="31.5">
      <c r="A207" s="51" t="s">
        <v>518</v>
      </c>
      <c r="B207" s="53" t="s">
        <v>258</v>
      </c>
      <c r="C207" s="52"/>
      <c r="D207" s="53"/>
      <c r="E207" s="53"/>
      <c r="F207" s="54">
        <f>SUM(F208)</f>
        <v>357.70000000000005</v>
      </c>
      <c r="H207" s="155">
        <f>SUM(G210:G211)</f>
        <v>357.70000000000005</v>
      </c>
      <c r="I207" s="154">
        <f t="shared" si="3"/>
        <v>-357.70000000000005</v>
      </c>
      <c r="J207" s="154">
        <f t="shared" si="4"/>
        <v>0</v>
      </c>
    </row>
    <row r="208" spans="1:10" ht="94.5">
      <c r="A208" s="55" t="s">
        <v>246</v>
      </c>
      <c r="B208" s="52" t="s">
        <v>530</v>
      </c>
      <c r="C208" s="52"/>
      <c r="D208" s="53"/>
      <c r="E208" s="53"/>
      <c r="F208" s="54">
        <f>SUM(F209)</f>
        <v>357.70000000000005</v>
      </c>
      <c r="I208" s="154">
        <f t="shared" si="3"/>
        <v>-357.70000000000005</v>
      </c>
      <c r="J208" s="154">
        <f t="shared" si="4"/>
        <v>-357.70000000000005</v>
      </c>
    </row>
    <row r="209" spans="1:10" ht="31.5">
      <c r="A209" s="51" t="s">
        <v>255</v>
      </c>
      <c r="B209" s="52" t="s">
        <v>531</v>
      </c>
      <c r="C209" s="52"/>
      <c r="D209" s="53"/>
      <c r="E209" s="53"/>
      <c r="F209" s="54">
        <f>SUM(F210:F211)</f>
        <v>357.70000000000005</v>
      </c>
      <c r="I209" s="154">
        <f t="shared" si="3"/>
        <v>-357.70000000000005</v>
      </c>
      <c r="J209" s="154">
        <f t="shared" si="4"/>
        <v>-357.70000000000005</v>
      </c>
    </row>
    <row r="210" spans="1:10" ht="63">
      <c r="A210" s="51" t="s">
        <v>55</v>
      </c>
      <c r="B210" s="52" t="s">
        <v>531</v>
      </c>
      <c r="C210" s="52">
        <v>100</v>
      </c>
      <c r="D210" s="53" t="s">
        <v>38</v>
      </c>
      <c r="E210" s="53" t="s">
        <v>17</v>
      </c>
      <c r="F210" s="54">
        <v>288.8</v>
      </c>
      <c r="G210" s="153">
        <f>SUM(Ведомственная!G69)</f>
        <v>288.8</v>
      </c>
      <c r="I210" s="154">
        <f t="shared" si="3"/>
        <v>0</v>
      </c>
      <c r="J210" s="154">
        <f t="shared" si="4"/>
        <v>-288.8</v>
      </c>
    </row>
    <row r="211" spans="1:10" ht="31.5">
      <c r="A211" s="51" t="s">
        <v>56</v>
      </c>
      <c r="B211" s="52" t="s">
        <v>531</v>
      </c>
      <c r="C211" s="53" t="s">
        <v>101</v>
      </c>
      <c r="D211" s="53" t="s">
        <v>38</v>
      </c>
      <c r="E211" s="53" t="s">
        <v>17</v>
      </c>
      <c r="F211" s="54">
        <v>68.9</v>
      </c>
      <c r="G211" s="153">
        <f>SUM(Ведомственная!G70)</f>
        <v>68.9</v>
      </c>
      <c r="I211" s="154">
        <f t="shared" si="3"/>
        <v>0</v>
      </c>
      <c r="J211" s="154">
        <f t="shared" si="4"/>
        <v>-68.9</v>
      </c>
    </row>
    <row r="212" spans="1:10" ht="31.5">
      <c r="A212" s="51" t="s">
        <v>259</v>
      </c>
      <c r="B212" s="53" t="s">
        <v>260</v>
      </c>
      <c r="C212" s="52"/>
      <c r="D212" s="53"/>
      <c r="E212" s="53"/>
      <c r="F212" s="54">
        <f>SUM(F213:F214)</f>
        <v>100</v>
      </c>
      <c r="H212" s="153">
        <f>SUM(G213:G214)</f>
        <v>100</v>
      </c>
      <c r="I212" s="154">
        <f t="shared" si="3"/>
        <v>-100</v>
      </c>
      <c r="J212" s="154">
        <f t="shared" si="4"/>
        <v>0</v>
      </c>
    </row>
    <row r="213" spans="1:10" ht="31.5">
      <c r="A213" s="51" t="s">
        <v>56</v>
      </c>
      <c r="B213" s="52" t="s">
        <v>260</v>
      </c>
      <c r="C213" s="52">
        <v>200</v>
      </c>
      <c r="D213" s="53" t="s">
        <v>38</v>
      </c>
      <c r="E213" s="53">
        <v>13</v>
      </c>
      <c r="F213" s="54">
        <v>100</v>
      </c>
      <c r="G213" s="153">
        <f>SUM(Ведомственная!G94)</f>
        <v>100</v>
      </c>
      <c r="I213" s="154">
        <f t="shared" si="3"/>
        <v>0</v>
      </c>
      <c r="J213" s="154">
        <f t="shared" si="4"/>
        <v>-100</v>
      </c>
    </row>
    <row r="214" spans="1:10" ht="29.25" customHeight="1" hidden="1">
      <c r="A214" s="51" t="s">
        <v>26</v>
      </c>
      <c r="B214" s="52" t="s">
        <v>260</v>
      </c>
      <c r="C214" s="52">
        <v>800</v>
      </c>
      <c r="D214" s="53" t="s">
        <v>38</v>
      </c>
      <c r="E214" s="53">
        <v>13</v>
      </c>
      <c r="F214" s="54"/>
      <c r="G214" s="153">
        <f>SUM(Ведомственная!G95)</f>
        <v>0</v>
      </c>
      <c r="I214" s="154">
        <f t="shared" si="3"/>
        <v>0</v>
      </c>
      <c r="J214" s="154">
        <f t="shared" si="4"/>
        <v>0</v>
      </c>
    </row>
    <row r="215" spans="1:10" ht="31.5">
      <c r="A215" s="55" t="s">
        <v>239</v>
      </c>
      <c r="B215" s="52" t="s">
        <v>240</v>
      </c>
      <c r="C215" s="52"/>
      <c r="D215" s="53"/>
      <c r="E215" s="53"/>
      <c r="F215" s="54">
        <f>SUM(F216)</f>
        <v>128435.90000000001</v>
      </c>
      <c r="H215" s="155">
        <f>SUM(G216:G230)</f>
        <v>128435.90000000001</v>
      </c>
      <c r="I215" s="154">
        <f t="shared" si="3"/>
        <v>-128435.90000000001</v>
      </c>
      <c r="J215" s="154">
        <f t="shared" si="4"/>
        <v>0</v>
      </c>
    </row>
    <row r="216" spans="1:10" ht="47.25">
      <c r="A216" s="51" t="s">
        <v>84</v>
      </c>
      <c r="B216" s="53" t="s">
        <v>241</v>
      </c>
      <c r="C216" s="53"/>
      <c r="D216" s="53"/>
      <c r="E216" s="53"/>
      <c r="F216" s="54">
        <f>SUM(F217)+F219+F223+F226+F228</f>
        <v>128435.90000000001</v>
      </c>
      <c r="I216" s="154">
        <f t="shared" si="3"/>
        <v>-128435.90000000001</v>
      </c>
      <c r="J216" s="154">
        <f t="shared" si="4"/>
        <v>-128435.90000000001</v>
      </c>
    </row>
    <row r="217" spans="1:10" ht="15.75">
      <c r="A217" s="51" t="s">
        <v>242</v>
      </c>
      <c r="B217" s="53" t="s">
        <v>243</v>
      </c>
      <c r="C217" s="53"/>
      <c r="D217" s="53"/>
      <c r="E217" s="53"/>
      <c r="F217" s="54">
        <f>SUM(F218)</f>
        <v>1618.2</v>
      </c>
      <c r="I217" s="154">
        <f t="shared" si="3"/>
        <v>-1618.2</v>
      </c>
      <c r="J217" s="154">
        <f t="shared" si="4"/>
        <v>-1618.2</v>
      </c>
    </row>
    <row r="218" spans="1:10" ht="63">
      <c r="A218" s="51" t="s">
        <v>55</v>
      </c>
      <c r="B218" s="53" t="s">
        <v>243</v>
      </c>
      <c r="C218" s="53" t="s">
        <v>99</v>
      </c>
      <c r="D218" s="53" t="s">
        <v>38</v>
      </c>
      <c r="E218" s="53" t="s">
        <v>48</v>
      </c>
      <c r="F218" s="54">
        <v>1618.2</v>
      </c>
      <c r="G218" s="153">
        <f>SUM(Ведомственная!G58)</f>
        <v>1618.2</v>
      </c>
      <c r="I218" s="154">
        <f t="shared" si="3"/>
        <v>0</v>
      </c>
      <c r="J218" s="154">
        <f t="shared" si="4"/>
        <v>-1618.2</v>
      </c>
    </row>
    <row r="219" spans="1:10" ht="15.75">
      <c r="A219" s="51" t="s">
        <v>86</v>
      </c>
      <c r="B219" s="53" t="s">
        <v>251</v>
      </c>
      <c r="C219" s="53"/>
      <c r="D219" s="53"/>
      <c r="E219" s="53"/>
      <c r="F219" s="54">
        <f>SUM(F220:F222)</f>
        <v>97941</v>
      </c>
      <c r="I219" s="154">
        <f t="shared" si="3"/>
        <v>-97941</v>
      </c>
      <c r="J219" s="154">
        <f t="shared" si="4"/>
        <v>-97941</v>
      </c>
    </row>
    <row r="220" spans="1:10" ht="63">
      <c r="A220" s="51" t="s">
        <v>55</v>
      </c>
      <c r="B220" s="53" t="s">
        <v>251</v>
      </c>
      <c r="C220" s="53" t="s">
        <v>99</v>
      </c>
      <c r="D220" s="53" t="s">
        <v>38</v>
      </c>
      <c r="E220" s="53" t="s">
        <v>17</v>
      </c>
      <c r="F220" s="54">
        <v>97911</v>
      </c>
      <c r="G220" s="153">
        <f>SUM(Ведомственная!G74)</f>
        <v>97911</v>
      </c>
      <c r="I220" s="154">
        <f t="shared" si="3"/>
        <v>0</v>
      </c>
      <c r="J220" s="154">
        <f t="shared" si="4"/>
        <v>-97911</v>
      </c>
    </row>
    <row r="221" spans="1:10" ht="29.25" customHeight="1">
      <c r="A221" s="51" t="s">
        <v>56</v>
      </c>
      <c r="B221" s="53" t="s">
        <v>251</v>
      </c>
      <c r="C221" s="53" t="s">
        <v>101</v>
      </c>
      <c r="D221" s="53" t="s">
        <v>38</v>
      </c>
      <c r="E221" s="53" t="s">
        <v>17</v>
      </c>
      <c r="F221" s="54">
        <v>30</v>
      </c>
      <c r="G221" s="153">
        <f>SUM(Ведомственная!G75)</f>
        <v>30</v>
      </c>
      <c r="I221" s="154">
        <f t="shared" si="3"/>
        <v>0</v>
      </c>
      <c r="J221" s="154">
        <f t="shared" si="4"/>
        <v>-30</v>
      </c>
    </row>
    <row r="222" spans="1:10" ht="15.75" hidden="1">
      <c r="A222" s="51" t="s">
        <v>46</v>
      </c>
      <c r="B222" s="53" t="s">
        <v>251</v>
      </c>
      <c r="C222" s="53" t="s">
        <v>109</v>
      </c>
      <c r="D222" s="53" t="s">
        <v>38</v>
      </c>
      <c r="E222" s="53" t="s">
        <v>17</v>
      </c>
      <c r="F222" s="54">
        <v>0</v>
      </c>
      <c r="G222" s="153">
        <f>SUM(Ведомственная!G76)</f>
        <v>0</v>
      </c>
      <c r="I222" s="154">
        <f t="shared" si="3"/>
        <v>0</v>
      </c>
      <c r="J222" s="154">
        <f t="shared" si="4"/>
        <v>0</v>
      </c>
    </row>
    <row r="223" spans="1:10" ht="15.75">
      <c r="A223" s="51" t="s">
        <v>105</v>
      </c>
      <c r="B223" s="52" t="s">
        <v>261</v>
      </c>
      <c r="C223" s="52"/>
      <c r="D223" s="53"/>
      <c r="E223" s="53"/>
      <c r="F223" s="54">
        <f>SUM(F224:F225)</f>
        <v>3792.6</v>
      </c>
      <c r="I223" s="154">
        <f t="shared" si="3"/>
        <v>-3792.6</v>
      </c>
      <c r="J223" s="154">
        <f t="shared" si="4"/>
        <v>-3792.6</v>
      </c>
    </row>
    <row r="224" spans="1:10" ht="31.5">
      <c r="A224" s="51" t="s">
        <v>56</v>
      </c>
      <c r="B224" s="52" t="s">
        <v>261</v>
      </c>
      <c r="C224" s="52">
        <v>200</v>
      </c>
      <c r="D224" s="53" t="s">
        <v>38</v>
      </c>
      <c r="E224" s="53">
        <v>13</v>
      </c>
      <c r="F224" s="54">
        <v>3723</v>
      </c>
      <c r="G224" s="153">
        <f>SUM(Ведомственная!G99)</f>
        <v>3723</v>
      </c>
      <c r="I224" s="154">
        <f t="shared" si="3"/>
        <v>0</v>
      </c>
      <c r="J224" s="154">
        <f t="shared" si="4"/>
        <v>-3723</v>
      </c>
    </row>
    <row r="225" spans="1:10" ht="15.75">
      <c r="A225" s="51" t="s">
        <v>26</v>
      </c>
      <c r="B225" s="52" t="s">
        <v>261</v>
      </c>
      <c r="C225" s="52">
        <v>800</v>
      </c>
      <c r="D225" s="53" t="s">
        <v>38</v>
      </c>
      <c r="E225" s="53">
        <v>13</v>
      </c>
      <c r="F225" s="54">
        <v>69.6</v>
      </c>
      <c r="G225" s="153">
        <f>SUM(Ведомственная!G100)</f>
        <v>69.6</v>
      </c>
      <c r="I225" s="154">
        <f t="shared" si="3"/>
        <v>0</v>
      </c>
      <c r="J225" s="154">
        <f t="shared" si="4"/>
        <v>-69.6</v>
      </c>
    </row>
    <row r="226" spans="1:10" ht="31.5">
      <c r="A226" s="51" t="s">
        <v>107</v>
      </c>
      <c r="B226" s="52" t="s">
        <v>262</v>
      </c>
      <c r="C226" s="52"/>
      <c r="D226" s="53"/>
      <c r="E226" s="53"/>
      <c r="F226" s="54">
        <f>SUM(F227)</f>
        <v>9482.800000000001</v>
      </c>
      <c r="I226" s="154">
        <f t="shared" si="3"/>
        <v>-9482.800000000001</v>
      </c>
      <c r="J226" s="154">
        <f t="shared" si="4"/>
        <v>-9482.800000000001</v>
      </c>
    </row>
    <row r="227" spans="1:10" ht="31.5">
      <c r="A227" s="51" t="s">
        <v>56</v>
      </c>
      <c r="B227" s="52" t="s">
        <v>262</v>
      </c>
      <c r="C227" s="52">
        <v>200</v>
      </c>
      <c r="D227" s="53" t="s">
        <v>38</v>
      </c>
      <c r="E227" s="53">
        <v>13</v>
      </c>
      <c r="F227" s="54">
        <f>9633.1-150.3</f>
        <v>9482.800000000001</v>
      </c>
      <c r="G227" s="153">
        <f>SUM(Ведомственная!G102)</f>
        <v>9482.800000000001</v>
      </c>
      <c r="I227" s="154">
        <f aca="true" t="shared" si="5" ref="I227:I290">G227-F227</f>
        <v>0</v>
      </c>
      <c r="J227" s="154">
        <f t="shared" si="4"/>
        <v>-9482.800000000001</v>
      </c>
    </row>
    <row r="228" spans="1:10" ht="31.5">
      <c r="A228" s="51" t="s">
        <v>108</v>
      </c>
      <c r="B228" s="52" t="s">
        <v>263</v>
      </c>
      <c r="C228" s="52"/>
      <c r="D228" s="53"/>
      <c r="E228" s="53"/>
      <c r="F228" s="54">
        <f>SUM(F229:F230)</f>
        <v>15601.300000000001</v>
      </c>
      <c r="I228" s="154">
        <f t="shared" si="5"/>
        <v>-15601.300000000001</v>
      </c>
      <c r="J228" s="154">
        <f t="shared" si="4"/>
        <v>-15601.300000000001</v>
      </c>
    </row>
    <row r="229" spans="1:10" ht="31.5">
      <c r="A229" s="51" t="s">
        <v>56</v>
      </c>
      <c r="B229" s="52" t="s">
        <v>263</v>
      </c>
      <c r="C229" s="52">
        <v>200</v>
      </c>
      <c r="D229" s="53" t="s">
        <v>38</v>
      </c>
      <c r="E229" s="53">
        <v>13</v>
      </c>
      <c r="F229" s="54">
        <f>12920.2-64.4</f>
        <v>12855.800000000001</v>
      </c>
      <c r="G229" s="153">
        <f>SUM(Ведомственная!G104)</f>
        <v>12855.8</v>
      </c>
      <c r="I229" s="154">
        <f t="shared" si="5"/>
        <v>0</v>
      </c>
      <c r="J229" s="154">
        <f t="shared" si="4"/>
        <v>-12855.800000000001</v>
      </c>
    </row>
    <row r="230" spans="1:10" ht="15.75">
      <c r="A230" s="51" t="s">
        <v>26</v>
      </c>
      <c r="B230" s="52" t="s">
        <v>263</v>
      </c>
      <c r="C230" s="52">
        <v>800</v>
      </c>
      <c r="D230" s="53" t="s">
        <v>38</v>
      </c>
      <c r="E230" s="53">
        <v>13</v>
      </c>
      <c r="F230" s="54">
        <v>2745.5</v>
      </c>
      <c r="G230" s="153">
        <f>SUM(Ведомственная!G105)</f>
        <v>2745.5</v>
      </c>
      <c r="I230" s="154">
        <f t="shared" si="5"/>
        <v>0</v>
      </c>
      <c r="J230" s="154">
        <f t="shared" si="4"/>
        <v>-2745.5</v>
      </c>
    </row>
    <row r="231" spans="1:10" ht="31.5">
      <c r="A231" s="99" t="s">
        <v>361</v>
      </c>
      <c r="B231" s="68" t="s">
        <v>411</v>
      </c>
      <c r="C231" s="68"/>
      <c r="D231" s="68"/>
      <c r="E231" s="68"/>
      <c r="F231" s="69">
        <f>SUM(F232,F239)</f>
        <v>88357.49999999999</v>
      </c>
      <c r="H231" s="155">
        <f>SUM(G234:G243)</f>
        <v>88357.50000000001</v>
      </c>
      <c r="I231" s="154">
        <f t="shared" si="5"/>
        <v>-88357.49999999999</v>
      </c>
      <c r="J231" s="154">
        <f t="shared" si="4"/>
        <v>2.9103830456733704E-11</v>
      </c>
    </row>
    <row r="232" spans="1:10" ht="15.75">
      <c r="A232" s="17" t="s">
        <v>39</v>
      </c>
      <c r="B232" s="68" t="s">
        <v>412</v>
      </c>
      <c r="C232" s="68"/>
      <c r="D232" s="68"/>
      <c r="E232" s="68"/>
      <c r="F232" s="69">
        <f>SUM(F233+F237)+F235</f>
        <v>80245.29999999999</v>
      </c>
      <c r="I232" s="154">
        <f t="shared" si="5"/>
        <v>-80245.29999999999</v>
      </c>
      <c r="J232" s="154">
        <f t="shared" si="4"/>
        <v>-80245.29999999999</v>
      </c>
    </row>
    <row r="233" spans="1:10" ht="15.75">
      <c r="A233" s="17" t="s">
        <v>362</v>
      </c>
      <c r="B233" s="68" t="s">
        <v>413</v>
      </c>
      <c r="C233" s="68"/>
      <c r="D233" s="68"/>
      <c r="E233" s="68"/>
      <c r="F233" s="69">
        <f>SUM(F234)</f>
        <v>48802.6</v>
      </c>
      <c r="I233" s="154">
        <f t="shared" si="5"/>
        <v>-48802.6</v>
      </c>
      <c r="J233" s="154">
        <f t="shared" si="4"/>
        <v>-48802.6</v>
      </c>
    </row>
    <row r="234" spans="1:10" ht="29.25" customHeight="1">
      <c r="A234" s="17" t="s">
        <v>56</v>
      </c>
      <c r="B234" s="68" t="s">
        <v>413</v>
      </c>
      <c r="C234" s="68" t="s">
        <v>101</v>
      </c>
      <c r="D234" s="68" t="s">
        <v>188</v>
      </c>
      <c r="E234" s="68" t="s">
        <v>58</v>
      </c>
      <c r="F234" s="69">
        <v>48802.6</v>
      </c>
      <c r="G234" s="153">
        <f>SUM(Ведомственная!G266)</f>
        <v>48802.6</v>
      </c>
      <c r="I234" s="154">
        <f t="shared" si="5"/>
        <v>0</v>
      </c>
      <c r="J234" s="154">
        <f t="shared" si="4"/>
        <v>-48802.6</v>
      </c>
    </row>
    <row r="235" spans="1:10" ht="15.75">
      <c r="A235" s="17" t="s">
        <v>363</v>
      </c>
      <c r="B235" s="68" t="s">
        <v>414</v>
      </c>
      <c r="C235" s="68"/>
      <c r="D235" s="68"/>
      <c r="E235" s="68"/>
      <c r="F235" s="69">
        <f>SUM(F236)</f>
        <v>1585.9</v>
      </c>
      <c r="I235" s="154">
        <f t="shared" si="5"/>
        <v>-1585.9</v>
      </c>
      <c r="J235" s="154">
        <f t="shared" si="4"/>
        <v>-1585.9</v>
      </c>
    </row>
    <row r="236" spans="1:10" ht="31.5">
      <c r="A236" s="17" t="s">
        <v>56</v>
      </c>
      <c r="B236" s="68" t="s">
        <v>414</v>
      </c>
      <c r="C236" s="68" t="s">
        <v>101</v>
      </c>
      <c r="D236" s="68" t="s">
        <v>188</v>
      </c>
      <c r="E236" s="68" t="s">
        <v>58</v>
      </c>
      <c r="F236" s="69">
        <v>1585.9</v>
      </c>
      <c r="G236" s="153">
        <f>SUM(Ведомственная!G268)</f>
        <v>1585.9</v>
      </c>
      <c r="I236" s="154">
        <f t="shared" si="5"/>
        <v>0</v>
      </c>
      <c r="J236" s="154">
        <f t="shared" si="4"/>
        <v>-1585.9</v>
      </c>
    </row>
    <row r="237" spans="1:10" ht="15.75">
      <c r="A237" s="17" t="s">
        <v>364</v>
      </c>
      <c r="B237" s="68" t="s">
        <v>415</v>
      </c>
      <c r="C237" s="68"/>
      <c r="D237" s="68"/>
      <c r="E237" s="68"/>
      <c r="F237" s="69">
        <f>SUM(F238)</f>
        <v>29856.8</v>
      </c>
      <c r="I237" s="154">
        <f t="shared" si="5"/>
        <v>-29856.8</v>
      </c>
      <c r="J237" s="154">
        <f t="shared" si="4"/>
        <v>-29856.8</v>
      </c>
    </row>
    <row r="238" spans="1:10" ht="31.5">
      <c r="A238" s="17" t="s">
        <v>56</v>
      </c>
      <c r="B238" s="68" t="s">
        <v>415</v>
      </c>
      <c r="C238" s="68" t="s">
        <v>101</v>
      </c>
      <c r="D238" s="68" t="s">
        <v>188</v>
      </c>
      <c r="E238" s="68" t="s">
        <v>58</v>
      </c>
      <c r="F238" s="69">
        <v>29856.8</v>
      </c>
      <c r="G238" s="153">
        <f>SUM(Ведомственная!G270)</f>
        <v>29856.8</v>
      </c>
      <c r="I238" s="154">
        <f t="shared" si="5"/>
        <v>0</v>
      </c>
      <c r="J238" s="154">
        <f t="shared" si="4"/>
        <v>-29856.8</v>
      </c>
    </row>
    <row r="239" spans="1:10" ht="47.25">
      <c r="A239" s="17" t="s">
        <v>30</v>
      </c>
      <c r="B239" s="68" t="s">
        <v>416</v>
      </c>
      <c r="C239" s="68"/>
      <c r="D239" s="68"/>
      <c r="E239" s="68"/>
      <c r="F239" s="69">
        <f>SUM(F242+F240)</f>
        <v>8112.200000000001</v>
      </c>
      <c r="I239" s="154">
        <f t="shared" si="5"/>
        <v>-8112.200000000001</v>
      </c>
      <c r="J239" s="154">
        <f aca="true" t="shared" si="6" ref="J239:J308">SUM(H239-F239)</f>
        <v>-8112.200000000001</v>
      </c>
    </row>
    <row r="240" spans="1:10" ht="15.75">
      <c r="A240" s="70" t="s">
        <v>363</v>
      </c>
      <c r="B240" s="80" t="s">
        <v>1175</v>
      </c>
      <c r="C240" s="68"/>
      <c r="D240" s="68"/>
      <c r="E240" s="68"/>
      <c r="F240" s="69">
        <f>SUM(F241)</f>
        <v>807.6</v>
      </c>
      <c r="I240" s="154">
        <f t="shared" si="5"/>
        <v>-807.6</v>
      </c>
      <c r="J240" s="154"/>
    </row>
    <row r="241" spans="1:10" ht="31.5">
      <c r="A241" s="70" t="s">
        <v>283</v>
      </c>
      <c r="B241" s="80" t="s">
        <v>1175</v>
      </c>
      <c r="C241" s="68" t="s">
        <v>135</v>
      </c>
      <c r="D241" s="68" t="s">
        <v>188</v>
      </c>
      <c r="E241" s="68" t="s">
        <v>58</v>
      </c>
      <c r="F241" s="69">
        <v>807.6</v>
      </c>
      <c r="G241" s="153">
        <f>SUM(Ведомственная!G273)</f>
        <v>807.6</v>
      </c>
      <c r="I241" s="154">
        <f t="shared" si="5"/>
        <v>0</v>
      </c>
      <c r="J241" s="154"/>
    </row>
    <row r="242" spans="1:10" ht="15.75">
      <c r="A242" s="17" t="s">
        <v>364</v>
      </c>
      <c r="B242" s="68" t="s">
        <v>417</v>
      </c>
      <c r="C242" s="68"/>
      <c r="D242" s="68"/>
      <c r="E242" s="68"/>
      <c r="F242" s="69">
        <f>SUM(F243)</f>
        <v>7304.6</v>
      </c>
      <c r="I242" s="154">
        <f t="shared" si="5"/>
        <v>-7304.6</v>
      </c>
      <c r="J242" s="154">
        <f t="shared" si="6"/>
        <v>-7304.6</v>
      </c>
    </row>
    <row r="243" spans="1:10" ht="31.5">
      <c r="A243" s="17" t="s">
        <v>283</v>
      </c>
      <c r="B243" s="68" t="s">
        <v>417</v>
      </c>
      <c r="C243" s="68" t="s">
        <v>135</v>
      </c>
      <c r="D243" s="68" t="s">
        <v>188</v>
      </c>
      <c r="E243" s="68" t="s">
        <v>58</v>
      </c>
      <c r="F243" s="69">
        <v>7304.6</v>
      </c>
      <c r="G243" s="153">
        <f>SUM(Ведомственная!G275)</f>
        <v>7304.6</v>
      </c>
      <c r="I243" s="154">
        <f t="shared" si="5"/>
        <v>0</v>
      </c>
      <c r="J243" s="154">
        <f t="shared" si="6"/>
        <v>-7304.6</v>
      </c>
    </row>
    <row r="244" spans="1:10" ht="47.25">
      <c r="A244" s="17" t="s">
        <v>354</v>
      </c>
      <c r="B244" s="68" t="s">
        <v>401</v>
      </c>
      <c r="C244" s="68"/>
      <c r="D244" s="68"/>
      <c r="E244" s="68"/>
      <c r="F244" s="69">
        <f>SUM(F245)</f>
        <v>39079.6</v>
      </c>
      <c r="H244" s="155">
        <f>SUM(G246:G248)</f>
        <v>39079.6</v>
      </c>
      <c r="I244" s="154">
        <f t="shared" si="5"/>
        <v>-39079.6</v>
      </c>
      <c r="J244" s="154">
        <f t="shared" si="6"/>
        <v>0</v>
      </c>
    </row>
    <row r="245" spans="1:10" ht="15.75">
      <c r="A245" s="17" t="s">
        <v>39</v>
      </c>
      <c r="B245" s="68" t="s">
        <v>402</v>
      </c>
      <c r="C245" s="68"/>
      <c r="D245" s="68"/>
      <c r="E245" s="68"/>
      <c r="F245" s="69">
        <f>SUM(F246)</f>
        <v>39079.6</v>
      </c>
      <c r="I245" s="154">
        <f t="shared" si="5"/>
        <v>-39079.6</v>
      </c>
      <c r="J245" s="154">
        <f t="shared" si="6"/>
        <v>-39079.6</v>
      </c>
    </row>
    <row r="246" spans="1:10" ht="15.75">
      <c r="A246" s="17" t="s">
        <v>355</v>
      </c>
      <c r="B246" s="68" t="s">
        <v>403</v>
      </c>
      <c r="C246" s="68"/>
      <c r="D246" s="68"/>
      <c r="E246" s="68"/>
      <c r="F246" s="69">
        <f>SUM(F247:F248)</f>
        <v>39079.6</v>
      </c>
      <c r="I246" s="154">
        <f t="shared" si="5"/>
        <v>-39079.6</v>
      </c>
      <c r="J246" s="154">
        <f t="shared" si="6"/>
        <v>-39079.6</v>
      </c>
    </row>
    <row r="247" spans="1:10" ht="31.5">
      <c r="A247" s="17" t="s">
        <v>56</v>
      </c>
      <c r="B247" s="68" t="s">
        <v>403</v>
      </c>
      <c r="C247" s="68" t="s">
        <v>101</v>
      </c>
      <c r="D247" s="68" t="s">
        <v>188</v>
      </c>
      <c r="E247" s="68" t="s">
        <v>48</v>
      </c>
      <c r="F247" s="69">
        <v>5055.7</v>
      </c>
      <c r="G247" s="153">
        <f>SUM(Ведомственная!G239)</f>
        <v>5055.7</v>
      </c>
      <c r="I247" s="154">
        <f t="shared" si="5"/>
        <v>0</v>
      </c>
      <c r="J247" s="154">
        <f t="shared" si="6"/>
        <v>-5055.7</v>
      </c>
    </row>
    <row r="248" spans="1:10" ht="15.75">
      <c r="A248" s="70" t="s">
        <v>26</v>
      </c>
      <c r="B248" s="68" t="s">
        <v>403</v>
      </c>
      <c r="C248" s="68" t="s">
        <v>106</v>
      </c>
      <c r="D248" s="68" t="s">
        <v>188</v>
      </c>
      <c r="E248" s="68" t="s">
        <v>48</v>
      </c>
      <c r="F248" s="69">
        <v>34023.9</v>
      </c>
      <c r="G248" s="153">
        <f>SUM(Ведомственная!G240)</f>
        <v>34023.9</v>
      </c>
      <c r="I248" s="154">
        <f t="shared" si="5"/>
        <v>0</v>
      </c>
      <c r="J248" s="154"/>
    </row>
    <row r="249" spans="1:10" ht="47.25">
      <c r="A249" s="17" t="s">
        <v>441</v>
      </c>
      <c r="B249" s="68" t="s">
        <v>404</v>
      </c>
      <c r="C249" s="68"/>
      <c r="D249" s="68"/>
      <c r="E249" s="68"/>
      <c r="F249" s="69">
        <f>SUM(F250)</f>
        <v>2557</v>
      </c>
      <c r="H249" s="155">
        <f>SUM(G250:G254)</f>
        <v>2557</v>
      </c>
      <c r="I249" s="154">
        <f t="shared" si="5"/>
        <v>-2557</v>
      </c>
      <c r="J249" s="154">
        <f t="shared" si="6"/>
        <v>0</v>
      </c>
    </row>
    <row r="250" spans="1:10" ht="15.75">
      <c r="A250" s="17" t="s">
        <v>39</v>
      </c>
      <c r="B250" s="68" t="s">
        <v>405</v>
      </c>
      <c r="C250" s="68"/>
      <c r="D250" s="68"/>
      <c r="E250" s="68"/>
      <c r="F250" s="69">
        <f>SUM(F253)+F251</f>
        <v>2557</v>
      </c>
      <c r="I250" s="154">
        <f t="shared" si="5"/>
        <v>-2557</v>
      </c>
      <c r="J250" s="154">
        <f t="shared" si="6"/>
        <v>-2557</v>
      </c>
    </row>
    <row r="251" spans="1:10" ht="15.75">
      <c r="A251" s="17" t="s">
        <v>364</v>
      </c>
      <c r="B251" s="68" t="s">
        <v>418</v>
      </c>
      <c r="C251" s="68"/>
      <c r="D251" s="68"/>
      <c r="E251" s="68"/>
      <c r="F251" s="69">
        <f>SUM(F252)</f>
        <v>1550</v>
      </c>
      <c r="I251" s="154">
        <f t="shared" si="5"/>
        <v>-1550</v>
      </c>
      <c r="J251" s="154">
        <f t="shared" si="6"/>
        <v>-1550</v>
      </c>
    </row>
    <row r="252" spans="1:10" ht="31.5">
      <c r="A252" s="17" t="s">
        <v>56</v>
      </c>
      <c r="B252" s="68" t="s">
        <v>418</v>
      </c>
      <c r="C252" s="68" t="s">
        <v>101</v>
      </c>
      <c r="D252" s="68" t="s">
        <v>188</v>
      </c>
      <c r="E252" s="68" t="s">
        <v>58</v>
      </c>
      <c r="F252" s="69">
        <v>1550</v>
      </c>
      <c r="G252" s="161">
        <f>SUM(Ведомственная!G279)</f>
        <v>1550</v>
      </c>
      <c r="I252" s="154">
        <f t="shared" si="5"/>
        <v>0</v>
      </c>
      <c r="J252" s="154">
        <f t="shared" si="6"/>
        <v>-1550</v>
      </c>
    </row>
    <row r="253" spans="1:10" ht="15.75">
      <c r="A253" s="17" t="s">
        <v>355</v>
      </c>
      <c r="B253" s="68" t="s">
        <v>406</v>
      </c>
      <c r="C253" s="68"/>
      <c r="D253" s="68"/>
      <c r="E253" s="68"/>
      <c r="F253" s="69">
        <f>SUM(F254)</f>
        <v>1007</v>
      </c>
      <c r="G253" s="161"/>
      <c r="I253" s="154">
        <f t="shared" si="5"/>
        <v>-1007</v>
      </c>
      <c r="J253" s="154">
        <f t="shared" si="6"/>
        <v>-1007</v>
      </c>
    </row>
    <row r="254" spans="1:10" ht="31.5">
      <c r="A254" s="17" t="s">
        <v>56</v>
      </c>
      <c r="B254" s="68" t="s">
        <v>406</v>
      </c>
      <c r="C254" s="68" t="s">
        <v>101</v>
      </c>
      <c r="D254" s="68" t="s">
        <v>188</v>
      </c>
      <c r="E254" s="68" t="s">
        <v>48</v>
      </c>
      <c r="F254" s="69">
        <v>1007</v>
      </c>
      <c r="G254" s="161">
        <f>SUM(Ведомственная!G244)</f>
        <v>1007</v>
      </c>
      <c r="I254" s="154">
        <f t="shared" si="5"/>
        <v>0</v>
      </c>
      <c r="J254" s="154">
        <f t="shared" si="6"/>
        <v>-1007</v>
      </c>
    </row>
    <row r="255" spans="1:10" ht="47.25">
      <c r="A255" s="17" t="s">
        <v>346</v>
      </c>
      <c r="B255" s="68" t="s">
        <v>387</v>
      </c>
      <c r="C255" s="68"/>
      <c r="D255" s="68"/>
      <c r="E255" s="68"/>
      <c r="F255" s="69">
        <f>SUM(F256)+F261</f>
        <v>192984.90000000002</v>
      </c>
      <c r="G255" s="161"/>
      <c r="H255" s="155">
        <f>SUM(G257:G266)</f>
        <v>192984.90000000002</v>
      </c>
      <c r="I255" s="154">
        <f t="shared" si="5"/>
        <v>-192984.90000000002</v>
      </c>
      <c r="J255" s="154">
        <f t="shared" si="6"/>
        <v>0</v>
      </c>
    </row>
    <row r="256" spans="1:10" ht="31.5">
      <c r="A256" s="17" t="s">
        <v>350</v>
      </c>
      <c r="B256" s="68" t="s">
        <v>392</v>
      </c>
      <c r="C256" s="68"/>
      <c r="D256" s="68"/>
      <c r="E256" s="68"/>
      <c r="F256" s="69">
        <f>SUM(F257)</f>
        <v>99741.90000000001</v>
      </c>
      <c r="I256" s="154">
        <f t="shared" si="5"/>
        <v>-99741.90000000001</v>
      </c>
      <c r="J256" s="154">
        <f t="shared" si="6"/>
        <v>-99741.90000000001</v>
      </c>
    </row>
    <row r="257" spans="1:10" ht="15.75">
      <c r="A257" s="17" t="s">
        <v>39</v>
      </c>
      <c r="B257" s="68" t="s">
        <v>393</v>
      </c>
      <c r="C257" s="68"/>
      <c r="D257" s="68"/>
      <c r="E257" s="68"/>
      <c r="F257" s="69">
        <f>SUM(F258)</f>
        <v>99741.90000000001</v>
      </c>
      <c r="I257" s="154">
        <f t="shared" si="5"/>
        <v>-99741.90000000001</v>
      </c>
      <c r="J257" s="154">
        <f t="shared" si="6"/>
        <v>-99741.90000000001</v>
      </c>
    </row>
    <row r="258" spans="1:10" ht="47.25">
      <c r="A258" s="17" t="s">
        <v>351</v>
      </c>
      <c r="B258" s="68" t="s">
        <v>394</v>
      </c>
      <c r="C258" s="68"/>
      <c r="D258" s="68"/>
      <c r="E258" s="68"/>
      <c r="F258" s="69">
        <f>SUM(F259:F260)</f>
        <v>99741.90000000001</v>
      </c>
      <c r="I258" s="154">
        <f t="shared" si="5"/>
        <v>-99741.90000000001</v>
      </c>
      <c r="J258" s="154">
        <f t="shared" si="6"/>
        <v>-99741.90000000001</v>
      </c>
    </row>
    <row r="259" spans="1:10" ht="31.5">
      <c r="A259" s="17" t="s">
        <v>56</v>
      </c>
      <c r="B259" s="68" t="s">
        <v>394</v>
      </c>
      <c r="C259" s="68" t="s">
        <v>101</v>
      </c>
      <c r="D259" s="68" t="s">
        <v>17</v>
      </c>
      <c r="E259" s="68" t="s">
        <v>192</v>
      </c>
      <c r="F259" s="69">
        <v>99508.8</v>
      </c>
      <c r="G259" s="161">
        <f>SUM(Ведомственная!G182)</f>
        <v>99508.8</v>
      </c>
      <c r="I259" s="154">
        <f t="shared" si="5"/>
        <v>0</v>
      </c>
      <c r="J259" s="154">
        <f t="shared" si="6"/>
        <v>-99508.8</v>
      </c>
    </row>
    <row r="260" spans="1:10" ht="31.5">
      <c r="A260" s="70" t="s">
        <v>359</v>
      </c>
      <c r="B260" s="68" t="s">
        <v>394</v>
      </c>
      <c r="C260" s="68" t="s">
        <v>313</v>
      </c>
      <c r="D260" s="68" t="s">
        <v>17</v>
      </c>
      <c r="E260" s="68" t="s">
        <v>192</v>
      </c>
      <c r="F260" s="69">
        <v>233.1</v>
      </c>
      <c r="G260" s="161">
        <f>SUM(Ведомственная!G183)</f>
        <v>233.1</v>
      </c>
      <c r="I260" s="154">
        <f t="shared" si="5"/>
        <v>0</v>
      </c>
      <c r="J260" s="154">
        <f t="shared" si="6"/>
        <v>-233.1</v>
      </c>
    </row>
    <row r="261" spans="1:10" ht="31.5">
      <c r="A261" s="17" t="s">
        <v>347</v>
      </c>
      <c r="B261" s="68" t="s">
        <v>388</v>
      </c>
      <c r="C261" s="68"/>
      <c r="D261" s="68"/>
      <c r="E261" s="68"/>
      <c r="F261" s="69">
        <f>SUM(F262)</f>
        <v>93243</v>
      </c>
      <c r="I261" s="154">
        <f t="shared" si="5"/>
        <v>-93243</v>
      </c>
      <c r="J261" s="154">
        <f t="shared" si="6"/>
        <v>-93243</v>
      </c>
    </row>
    <row r="262" spans="1:10" ht="47.25">
      <c r="A262" s="17" t="s">
        <v>22</v>
      </c>
      <c r="B262" s="68" t="s">
        <v>389</v>
      </c>
      <c r="C262" s="68"/>
      <c r="D262" s="68"/>
      <c r="E262" s="68"/>
      <c r="F262" s="69">
        <f>SUM(F263+F265)</f>
        <v>93243</v>
      </c>
      <c r="I262" s="154">
        <f t="shared" si="5"/>
        <v>-93243</v>
      </c>
      <c r="J262" s="154">
        <f t="shared" si="6"/>
        <v>-93243</v>
      </c>
    </row>
    <row r="263" spans="1:10" ht="15.75">
      <c r="A263" s="17" t="s">
        <v>24</v>
      </c>
      <c r="B263" s="68" t="s">
        <v>390</v>
      </c>
      <c r="C263" s="68"/>
      <c r="D263" s="68"/>
      <c r="E263" s="68"/>
      <c r="F263" s="69">
        <f>SUM(F264)</f>
        <v>47643</v>
      </c>
      <c r="I263" s="154">
        <f t="shared" si="5"/>
        <v>-47643</v>
      </c>
      <c r="J263" s="154">
        <f t="shared" si="6"/>
        <v>-47643</v>
      </c>
    </row>
    <row r="264" spans="1:10" ht="15.75">
      <c r="A264" s="17" t="s">
        <v>26</v>
      </c>
      <c r="B264" s="68" t="s">
        <v>390</v>
      </c>
      <c r="C264" s="68" t="s">
        <v>106</v>
      </c>
      <c r="D264" s="68" t="s">
        <v>17</v>
      </c>
      <c r="E264" s="68" t="s">
        <v>19</v>
      </c>
      <c r="F264" s="69">
        <v>47643</v>
      </c>
      <c r="G264" s="153">
        <f>SUM(Ведомственная!G174)</f>
        <v>47643</v>
      </c>
      <c r="I264" s="154">
        <f t="shared" si="5"/>
        <v>0</v>
      </c>
      <c r="J264" s="154">
        <f t="shared" si="6"/>
        <v>-47643</v>
      </c>
    </row>
    <row r="265" spans="1:10" ht="15.75">
      <c r="A265" s="17" t="s">
        <v>348</v>
      </c>
      <c r="B265" s="68" t="s">
        <v>391</v>
      </c>
      <c r="C265" s="68"/>
      <c r="D265" s="68"/>
      <c r="E265" s="68"/>
      <c r="F265" s="69">
        <f>SUM(F266)</f>
        <v>45600</v>
      </c>
      <c r="I265" s="154">
        <f t="shared" si="5"/>
        <v>-45600</v>
      </c>
      <c r="J265" s="154">
        <f t="shared" si="6"/>
        <v>-45600</v>
      </c>
    </row>
    <row r="266" spans="1:10" ht="15.75">
      <c r="A266" s="17" t="s">
        <v>26</v>
      </c>
      <c r="B266" s="68" t="s">
        <v>391</v>
      </c>
      <c r="C266" s="68" t="s">
        <v>106</v>
      </c>
      <c r="D266" s="68" t="s">
        <v>17</v>
      </c>
      <c r="E266" s="68" t="s">
        <v>19</v>
      </c>
      <c r="F266" s="69">
        <v>45600</v>
      </c>
      <c r="G266" s="153">
        <f>SUM(Ведомственная!G176)</f>
        <v>45600</v>
      </c>
      <c r="I266" s="154">
        <f t="shared" si="5"/>
        <v>0</v>
      </c>
      <c r="J266" s="154">
        <f t="shared" si="6"/>
        <v>-45600</v>
      </c>
    </row>
    <row r="267" spans="1:10" ht="47.25">
      <c r="A267" s="17" t="s">
        <v>440</v>
      </c>
      <c r="B267" s="68" t="s">
        <v>395</v>
      </c>
      <c r="C267" s="68"/>
      <c r="D267" s="68"/>
      <c r="E267" s="68"/>
      <c r="F267" s="69">
        <f>SUM(F268)</f>
        <v>10338.7</v>
      </c>
      <c r="H267" s="155">
        <f>SUM(G268:G270)</f>
        <v>10338.7</v>
      </c>
      <c r="I267" s="154">
        <f t="shared" si="5"/>
        <v>-10338.7</v>
      </c>
      <c r="J267" s="154">
        <f t="shared" si="6"/>
        <v>0</v>
      </c>
    </row>
    <row r="268" spans="1:10" ht="15.75">
      <c r="A268" s="17" t="s">
        <v>39</v>
      </c>
      <c r="B268" s="68" t="s">
        <v>396</v>
      </c>
      <c r="C268" s="68"/>
      <c r="D268" s="68"/>
      <c r="E268" s="68"/>
      <c r="F268" s="69">
        <f>SUM(F269)</f>
        <v>10338.7</v>
      </c>
      <c r="I268" s="154">
        <f t="shared" si="5"/>
        <v>-10338.7</v>
      </c>
      <c r="J268" s="154">
        <f t="shared" si="6"/>
        <v>-10338.7</v>
      </c>
    </row>
    <row r="269" spans="1:10" ht="47.25">
      <c r="A269" s="17" t="s">
        <v>351</v>
      </c>
      <c r="B269" s="68" t="s">
        <v>397</v>
      </c>
      <c r="C269" s="68"/>
      <c r="D269" s="68"/>
      <c r="E269" s="68"/>
      <c r="F269" s="69">
        <f>SUM(F270)</f>
        <v>10338.7</v>
      </c>
      <c r="I269" s="154">
        <f t="shared" si="5"/>
        <v>-10338.7</v>
      </c>
      <c r="J269" s="154">
        <f t="shared" si="6"/>
        <v>-10338.7</v>
      </c>
    </row>
    <row r="270" spans="1:10" ht="31.5">
      <c r="A270" s="17" t="s">
        <v>56</v>
      </c>
      <c r="B270" s="68" t="s">
        <v>397</v>
      </c>
      <c r="C270" s="68" t="s">
        <v>101</v>
      </c>
      <c r="D270" s="68" t="s">
        <v>17</v>
      </c>
      <c r="E270" s="68" t="s">
        <v>192</v>
      </c>
      <c r="F270" s="69">
        <v>10338.7</v>
      </c>
      <c r="G270" s="153">
        <f>SUM(Ведомственная!G187)</f>
        <v>10338.7</v>
      </c>
      <c r="I270" s="154">
        <f t="shared" si="5"/>
        <v>0</v>
      </c>
      <c r="J270" s="154">
        <f t="shared" si="6"/>
        <v>-10338.7</v>
      </c>
    </row>
    <row r="271" spans="1:10" ht="47.25">
      <c r="A271" s="17" t="s">
        <v>370</v>
      </c>
      <c r="B271" s="68" t="s">
        <v>376</v>
      </c>
      <c r="C271" s="68"/>
      <c r="D271" s="68"/>
      <c r="E271" s="68"/>
      <c r="F271" s="69">
        <f>SUM(F272,F282,F286)</f>
        <v>18528.500000000004</v>
      </c>
      <c r="H271" s="155">
        <f>SUM(G272:G288)</f>
        <v>18528.5</v>
      </c>
      <c r="I271" s="154">
        <f t="shared" si="5"/>
        <v>-18528.500000000004</v>
      </c>
      <c r="J271" s="154">
        <f t="shared" si="6"/>
        <v>-3.637978807091713E-12</v>
      </c>
    </row>
    <row r="272" spans="1:10" ht="47.25">
      <c r="A272" s="17" t="s">
        <v>371</v>
      </c>
      <c r="B272" s="68" t="s">
        <v>377</v>
      </c>
      <c r="C272" s="68"/>
      <c r="D272" s="68"/>
      <c r="E272" s="68"/>
      <c r="F272" s="69">
        <f>SUM(F273,F278)</f>
        <v>16935.4</v>
      </c>
      <c r="I272" s="154">
        <f t="shared" si="5"/>
        <v>-16935.4</v>
      </c>
      <c r="J272" s="154">
        <f t="shared" si="6"/>
        <v>-16935.4</v>
      </c>
    </row>
    <row r="273" spans="1:10" ht="15.75">
      <c r="A273" s="17" t="s">
        <v>39</v>
      </c>
      <c r="B273" s="68" t="s">
        <v>378</v>
      </c>
      <c r="C273" s="68"/>
      <c r="D273" s="68"/>
      <c r="E273" s="68"/>
      <c r="F273" s="69">
        <f>SUM(F274)+F276</f>
        <v>1079.9</v>
      </c>
      <c r="I273" s="154">
        <f t="shared" si="5"/>
        <v>-1079.9</v>
      </c>
      <c r="J273" s="154">
        <f t="shared" si="6"/>
        <v>-1079.9</v>
      </c>
    </row>
    <row r="274" spans="1:10" ht="31.5">
      <c r="A274" s="17" t="s">
        <v>372</v>
      </c>
      <c r="B274" s="68" t="s">
        <v>379</v>
      </c>
      <c r="C274" s="68"/>
      <c r="D274" s="68"/>
      <c r="E274" s="68"/>
      <c r="F274" s="69">
        <f>SUM(F275)</f>
        <v>1036.9</v>
      </c>
      <c r="I274" s="154">
        <f t="shared" si="5"/>
        <v>-1036.9</v>
      </c>
      <c r="J274" s="154">
        <f t="shared" si="6"/>
        <v>-1036.9</v>
      </c>
    </row>
    <row r="275" spans="1:10" ht="31.5">
      <c r="A275" s="17" t="s">
        <v>56</v>
      </c>
      <c r="B275" s="68" t="s">
        <v>379</v>
      </c>
      <c r="C275" s="68" t="s">
        <v>101</v>
      </c>
      <c r="D275" s="68" t="s">
        <v>58</v>
      </c>
      <c r="E275" s="68" t="s">
        <v>192</v>
      </c>
      <c r="F275" s="69">
        <v>1036.9</v>
      </c>
      <c r="G275" s="153">
        <f>SUM(Ведомственная!G150)</f>
        <v>1036.9</v>
      </c>
      <c r="I275" s="154">
        <f t="shared" si="5"/>
        <v>0</v>
      </c>
      <c r="J275" s="154">
        <f t="shared" si="6"/>
        <v>-1036.9</v>
      </c>
    </row>
    <row r="276" spans="1:10" ht="31.5">
      <c r="A276" s="17" t="s">
        <v>373</v>
      </c>
      <c r="B276" s="68" t="s">
        <v>380</v>
      </c>
      <c r="C276" s="68"/>
      <c r="D276" s="68"/>
      <c r="E276" s="68"/>
      <c r="F276" s="69">
        <f>SUM(F277)</f>
        <v>43</v>
      </c>
      <c r="I276" s="154">
        <f t="shared" si="5"/>
        <v>-43</v>
      </c>
      <c r="J276" s="154">
        <f t="shared" si="6"/>
        <v>-43</v>
      </c>
    </row>
    <row r="277" spans="1:10" ht="31.5">
      <c r="A277" s="17" t="s">
        <v>56</v>
      </c>
      <c r="B277" s="68" t="s">
        <v>380</v>
      </c>
      <c r="C277" s="68" t="s">
        <v>101</v>
      </c>
      <c r="D277" s="68" t="s">
        <v>58</v>
      </c>
      <c r="E277" s="68" t="s">
        <v>192</v>
      </c>
      <c r="F277" s="69">
        <v>43</v>
      </c>
      <c r="G277" s="153">
        <f>SUM(Ведомственная!G152)</f>
        <v>43</v>
      </c>
      <c r="I277" s="154">
        <f t="shared" si="5"/>
        <v>0</v>
      </c>
      <c r="J277" s="154">
        <f t="shared" si="6"/>
        <v>-43</v>
      </c>
    </row>
    <row r="278" spans="1:10" ht="31.5">
      <c r="A278" s="17" t="s">
        <v>49</v>
      </c>
      <c r="B278" s="68" t="s">
        <v>381</v>
      </c>
      <c r="C278" s="68"/>
      <c r="D278" s="68"/>
      <c r="E278" s="68"/>
      <c r="F278" s="69">
        <f>SUM(F279:F281)</f>
        <v>15855.500000000002</v>
      </c>
      <c r="I278" s="154">
        <f t="shared" si="5"/>
        <v>-15855.500000000002</v>
      </c>
      <c r="J278" s="154">
        <f t="shared" si="6"/>
        <v>-15855.500000000002</v>
      </c>
    </row>
    <row r="279" spans="1:10" ht="63">
      <c r="A279" s="17" t="s">
        <v>55</v>
      </c>
      <c r="B279" s="68" t="s">
        <v>381</v>
      </c>
      <c r="C279" s="68" t="s">
        <v>99</v>
      </c>
      <c r="D279" s="68" t="s">
        <v>58</v>
      </c>
      <c r="E279" s="68" t="s">
        <v>192</v>
      </c>
      <c r="F279" s="69">
        <v>10390.1</v>
      </c>
      <c r="G279" s="153">
        <f>SUM(Ведомственная!G154)</f>
        <v>10390.1</v>
      </c>
      <c r="I279" s="154">
        <f t="shared" si="5"/>
        <v>0</v>
      </c>
      <c r="J279" s="154">
        <f t="shared" si="6"/>
        <v>-10390.1</v>
      </c>
    </row>
    <row r="280" spans="1:10" ht="31.5">
      <c r="A280" s="17" t="s">
        <v>56</v>
      </c>
      <c r="B280" s="68" t="s">
        <v>381</v>
      </c>
      <c r="C280" s="68" t="s">
        <v>101</v>
      </c>
      <c r="D280" s="68" t="s">
        <v>58</v>
      </c>
      <c r="E280" s="68" t="s">
        <v>192</v>
      </c>
      <c r="F280" s="69">
        <v>5343.3</v>
      </c>
      <c r="G280" s="153">
        <f>SUM(Ведомственная!G155)</f>
        <v>5343.3</v>
      </c>
      <c r="I280" s="154">
        <f t="shared" si="5"/>
        <v>0</v>
      </c>
      <c r="J280" s="154">
        <f t="shared" si="6"/>
        <v>-5343.3</v>
      </c>
    </row>
    <row r="281" spans="1:10" ht="15.75">
      <c r="A281" s="17" t="s">
        <v>26</v>
      </c>
      <c r="B281" s="68" t="s">
        <v>381</v>
      </c>
      <c r="C281" s="68" t="s">
        <v>106</v>
      </c>
      <c r="D281" s="68" t="s">
        <v>58</v>
      </c>
      <c r="E281" s="68" t="s">
        <v>192</v>
      </c>
      <c r="F281" s="69">
        <v>122.1</v>
      </c>
      <c r="G281" s="153">
        <f>SUM(Ведомственная!G156)</f>
        <v>122.1</v>
      </c>
      <c r="I281" s="154">
        <f t="shared" si="5"/>
        <v>0</v>
      </c>
      <c r="J281" s="154">
        <f t="shared" si="6"/>
        <v>-122.1</v>
      </c>
    </row>
    <row r="282" spans="1:10" ht="47.25">
      <c r="A282" s="17" t="s">
        <v>374</v>
      </c>
      <c r="B282" s="68" t="s">
        <v>382</v>
      </c>
      <c r="C282" s="68"/>
      <c r="D282" s="68"/>
      <c r="E282" s="68"/>
      <c r="F282" s="69">
        <f>SUM(F283)</f>
        <v>1133.2</v>
      </c>
      <c r="I282" s="154">
        <f t="shared" si="5"/>
        <v>-1133.2</v>
      </c>
      <c r="J282" s="154">
        <f t="shared" si="6"/>
        <v>-1133.2</v>
      </c>
    </row>
    <row r="283" spans="1:10" ht="15.75">
      <c r="A283" s="17" t="s">
        <v>39</v>
      </c>
      <c r="B283" s="68" t="s">
        <v>383</v>
      </c>
      <c r="C283" s="68"/>
      <c r="D283" s="68"/>
      <c r="E283" s="68"/>
      <c r="F283" s="69">
        <f>SUM(F284)</f>
        <v>1133.2</v>
      </c>
      <c r="I283" s="154">
        <f t="shared" si="5"/>
        <v>-1133.2</v>
      </c>
      <c r="J283" s="154">
        <f t="shared" si="6"/>
        <v>-1133.2</v>
      </c>
    </row>
    <row r="284" spans="1:10" ht="31.5">
      <c r="A284" s="17" t="s">
        <v>373</v>
      </c>
      <c r="B284" s="68" t="s">
        <v>384</v>
      </c>
      <c r="C284" s="68"/>
      <c r="D284" s="68"/>
      <c r="E284" s="68"/>
      <c r="F284" s="69">
        <f>SUM(F285)</f>
        <v>1133.2</v>
      </c>
      <c r="I284" s="154">
        <f t="shared" si="5"/>
        <v>-1133.2</v>
      </c>
      <c r="J284" s="154">
        <f t="shared" si="6"/>
        <v>-1133.2</v>
      </c>
    </row>
    <row r="285" spans="1:10" ht="31.5">
      <c r="A285" s="17" t="s">
        <v>56</v>
      </c>
      <c r="B285" s="68" t="s">
        <v>384</v>
      </c>
      <c r="C285" s="68" t="s">
        <v>101</v>
      </c>
      <c r="D285" s="68" t="s">
        <v>58</v>
      </c>
      <c r="E285" s="68" t="s">
        <v>192</v>
      </c>
      <c r="F285" s="69">
        <v>1133.2</v>
      </c>
      <c r="G285" s="153">
        <f>SUM(Ведомственная!G160)</f>
        <v>1133.2</v>
      </c>
      <c r="I285" s="154">
        <f t="shared" si="5"/>
        <v>0</v>
      </c>
      <c r="J285" s="154">
        <f t="shared" si="6"/>
        <v>-1133.2</v>
      </c>
    </row>
    <row r="286" spans="1:10" ht="47.25">
      <c r="A286" s="17" t="s">
        <v>375</v>
      </c>
      <c r="B286" s="68" t="s">
        <v>385</v>
      </c>
      <c r="C286" s="68"/>
      <c r="D286" s="68"/>
      <c r="E286" s="68"/>
      <c r="F286" s="69">
        <f>SUM(F287)</f>
        <v>459.9</v>
      </c>
      <c r="I286" s="154">
        <f t="shared" si="5"/>
        <v>-459.9</v>
      </c>
      <c r="J286" s="154">
        <f t="shared" si="6"/>
        <v>-459.9</v>
      </c>
    </row>
    <row r="287" spans="1:10" ht="15.75">
      <c r="A287" s="17" t="s">
        <v>39</v>
      </c>
      <c r="B287" s="68" t="s">
        <v>386</v>
      </c>
      <c r="C287" s="68"/>
      <c r="D287" s="68"/>
      <c r="E287" s="68"/>
      <c r="F287" s="69">
        <f>SUM(F288)</f>
        <v>459.9</v>
      </c>
      <c r="I287" s="154">
        <f t="shared" si="5"/>
        <v>-459.9</v>
      </c>
      <c r="J287" s="154">
        <f t="shared" si="6"/>
        <v>-459.9</v>
      </c>
    </row>
    <row r="288" spans="1:10" ht="31.5">
      <c r="A288" s="17" t="s">
        <v>56</v>
      </c>
      <c r="B288" s="68" t="s">
        <v>386</v>
      </c>
      <c r="C288" s="68" t="s">
        <v>101</v>
      </c>
      <c r="D288" s="68" t="s">
        <v>58</v>
      </c>
      <c r="E288" s="68" t="s">
        <v>192</v>
      </c>
      <c r="F288" s="69">
        <v>459.9</v>
      </c>
      <c r="G288" s="153">
        <f>SUM(Ведомственная!G163)</f>
        <v>459.9</v>
      </c>
      <c r="I288" s="154">
        <f t="shared" si="5"/>
        <v>0</v>
      </c>
      <c r="J288" s="154">
        <f t="shared" si="6"/>
        <v>-459.9</v>
      </c>
    </row>
    <row r="289" spans="1:10" ht="31.5">
      <c r="A289" s="51" t="s">
        <v>305</v>
      </c>
      <c r="B289" s="52" t="s">
        <v>306</v>
      </c>
      <c r="C289" s="52"/>
      <c r="D289" s="53"/>
      <c r="E289" s="53"/>
      <c r="F289" s="54">
        <f>SUM(F297)+F290+F294</f>
        <v>3129.6</v>
      </c>
      <c r="H289" s="155">
        <f>SUM(G290:G298)</f>
        <v>3129.6</v>
      </c>
      <c r="I289" s="154">
        <f t="shared" si="5"/>
        <v>-3129.6</v>
      </c>
      <c r="J289" s="154">
        <f t="shared" si="6"/>
        <v>0</v>
      </c>
    </row>
    <row r="290" spans="1:10" ht="31.5">
      <c r="A290" s="17" t="s">
        <v>357</v>
      </c>
      <c r="B290" s="68" t="s">
        <v>407</v>
      </c>
      <c r="C290" s="68"/>
      <c r="D290" s="68"/>
      <c r="E290" s="68"/>
      <c r="F290" s="69">
        <f>SUM(F291)</f>
        <v>395.5</v>
      </c>
      <c r="I290" s="154">
        <f t="shared" si="5"/>
        <v>-395.5</v>
      </c>
      <c r="J290" s="154">
        <f t="shared" si="6"/>
        <v>-395.5</v>
      </c>
    </row>
    <row r="291" spans="1:10" ht="31.5">
      <c r="A291" s="17" t="s">
        <v>358</v>
      </c>
      <c r="B291" s="68" t="s">
        <v>408</v>
      </c>
      <c r="C291" s="68"/>
      <c r="D291" s="68"/>
      <c r="E291" s="68"/>
      <c r="F291" s="69">
        <f>SUM(F292:F293)</f>
        <v>395.5</v>
      </c>
      <c r="I291" s="154">
        <f aca="true" t="shared" si="7" ref="I291:I354">G291-F291</f>
        <v>-395.5</v>
      </c>
      <c r="J291" s="154">
        <f t="shared" si="6"/>
        <v>-395.5</v>
      </c>
    </row>
    <row r="292" spans="1:10" ht="29.25" customHeight="1">
      <c r="A292" s="17" t="s">
        <v>359</v>
      </c>
      <c r="B292" s="68" t="s">
        <v>408</v>
      </c>
      <c r="C292" s="68" t="s">
        <v>313</v>
      </c>
      <c r="D292" s="68" t="s">
        <v>17</v>
      </c>
      <c r="E292" s="68" t="s">
        <v>192</v>
      </c>
      <c r="F292" s="69">
        <v>395.5</v>
      </c>
      <c r="G292" s="153">
        <f>SUM(Ведомственная!G191)</f>
        <v>395.5</v>
      </c>
      <c r="I292" s="154">
        <f t="shared" si="7"/>
        <v>0</v>
      </c>
      <c r="J292" s="154">
        <f t="shared" si="6"/>
        <v>-395.5</v>
      </c>
    </row>
    <row r="293" spans="1:10" ht="31.5" hidden="1">
      <c r="A293" s="17" t="s">
        <v>359</v>
      </c>
      <c r="B293" s="68" t="s">
        <v>408</v>
      </c>
      <c r="C293" s="68" t="s">
        <v>313</v>
      </c>
      <c r="D293" s="68" t="s">
        <v>188</v>
      </c>
      <c r="E293" s="68" t="s">
        <v>48</v>
      </c>
      <c r="F293" s="69"/>
      <c r="G293" s="153">
        <f>SUM(Ведомственная!G248)</f>
        <v>0</v>
      </c>
      <c r="I293" s="154">
        <f t="shared" si="7"/>
        <v>0</v>
      </c>
      <c r="J293" s="154">
        <f t="shared" si="6"/>
        <v>0</v>
      </c>
    </row>
    <row r="294" spans="1:10" ht="31.5">
      <c r="A294" s="17" t="s">
        <v>360</v>
      </c>
      <c r="B294" s="68" t="s">
        <v>409</v>
      </c>
      <c r="C294" s="68"/>
      <c r="D294" s="68"/>
      <c r="E294" s="68"/>
      <c r="F294" s="69">
        <f>SUM(F295)</f>
        <v>2260.5</v>
      </c>
      <c r="I294" s="154">
        <f t="shared" si="7"/>
        <v>-2260.5</v>
      </c>
      <c r="J294" s="154">
        <f t="shared" si="6"/>
        <v>-2260.5</v>
      </c>
    </row>
    <row r="295" spans="1:10" ht="31.5">
      <c r="A295" s="17" t="s">
        <v>358</v>
      </c>
      <c r="B295" s="68" t="s">
        <v>410</v>
      </c>
      <c r="C295" s="68"/>
      <c r="D295" s="68"/>
      <c r="E295" s="68"/>
      <c r="F295" s="69">
        <f>SUM(F296)</f>
        <v>2260.5</v>
      </c>
      <c r="I295" s="154">
        <f t="shared" si="7"/>
        <v>-2260.5</v>
      </c>
      <c r="J295" s="154">
        <f t="shared" si="6"/>
        <v>-2260.5</v>
      </c>
    </row>
    <row r="296" spans="1:10" ht="31.5">
      <c r="A296" s="17" t="s">
        <v>359</v>
      </c>
      <c r="B296" s="68" t="s">
        <v>410</v>
      </c>
      <c r="C296" s="68" t="s">
        <v>313</v>
      </c>
      <c r="D296" s="68" t="s">
        <v>188</v>
      </c>
      <c r="E296" s="68" t="s">
        <v>48</v>
      </c>
      <c r="F296" s="69">
        <v>2260.5</v>
      </c>
      <c r="G296" s="153">
        <f>SUM(Ведомственная!G251)</f>
        <v>2260.5</v>
      </c>
      <c r="I296" s="154">
        <f t="shared" si="7"/>
        <v>0</v>
      </c>
      <c r="J296" s="154">
        <f t="shared" si="6"/>
        <v>-2260.5</v>
      </c>
    </row>
    <row r="297" spans="1:10" ht="31.5">
      <c r="A297" s="51" t="s">
        <v>320</v>
      </c>
      <c r="B297" s="52" t="s">
        <v>307</v>
      </c>
      <c r="C297" s="52"/>
      <c r="D297" s="53"/>
      <c r="E297" s="53"/>
      <c r="F297" s="54">
        <f>SUM(F298)</f>
        <v>473.6</v>
      </c>
      <c r="I297" s="154">
        <f t="shared" si="7"/>
        <v>-473.6</v>
      </c>
      <c r="J297" s="154">
        <f t="shared" si="6"/>
        <v>-473.6</v>
      </c>
    </row>
    <row r="298" spans="1:10" ht="15.75">
      <c r="A298" s="51" t="s">
        <v>46</v>
      </c>
      <c r="B298" s="52" t="s">
        <v>307</v>
      </c>
      <c r="C298" s="52">
        <v>300</v>
      </c>
      <c r="D298" s="53" t="s">
        <v>35</v>
      </c>
      <c r="E298" s="53" t="s">
        <v>58</v>
      </c>
      <c r="F298" s="54">
        <v>473.6</v>
      </c>
      <c r="G298" s="153">
        <f>SUM(Ведомственная!G343)</f>
        <v>473.6</v>
      </c>
      <c r="I298" s="154">
        <f t="shared" si="7"/>
        <v>0</v>
      </c>
      <c r="J298" s="154">
        <f t="shared" si="6"/>
        <v>-473.6</v>
      </c>
    </row>
    <row r="299" spans="1:10" ht="31.5">
      <c r="A299" s="17" t="s">
        <v>352</v>
      </c>
      <c r="B299" s="68" t="s">
        <v>398</v>
      </c>
      <c r="C299" s="68"/>
      <c r="D299" s="68"/>
      <c r="E299" s="68"/>
      <c r="F299" s="69">
        <f>SUM(F303)+F300</f>
        <v>17414.100000000002</v>
      </c>
      <c r="H299" s="155">
        <f>SUM(G300:G307)</f>
        <v>17414.100000000002</v>
      </c>
      <c r="I299" s="154">
        <f t="shared" si="7"/>
        <v>-17414.100000000002</v>
      </c>
      <c r="J299" s="154">
        <f t="shared" si="6"/>
        <v>0</v>
      </c>
    </row>
    <row r="300" spans="1:10" ht="31.5">
      <c r="A300" s="17" t="s">
        <v>358</v>
      </c>
      <c r="B300" s="71" t="s">
        <v>421</v>
      </c>
      <c r="C300" s="71"/>
      <c r="D300" s="71"/>
      <c r="E300" s="71"/>
      <c r="F300" s="72">
        <f>SUM(F301)+F302</f>
        <v>12362.900000000001</v>
      </c>
      <c r="I300" s="154">
        <f t="shared" si="7"/>
        <v>-12362.900000000001</v>
      </c>
      <c r="J300" s="154">
        <f t="shared" si="6"/>
        <v>-12362.900000000001</v>
      </c>
    </row>
    <row r="301" spans="1:10" ht="31.5">
      <c r="A301" s="17" t="s">
        <v>359</v>
      </c>
      <c r="B301" s="71" t="s">
        <v>421</v>
      </c>
      <c r="C301" s="71" t="s">
        <v>313</v>
      </c>
      <c r="D301" s="71" t="s">
        <v>188</v>
      </c>
      <c r="E301" s="71" t="s">
        <v>188</v>
      </c>
      <c r="F301" s="72">
        <f>510.8+467-0.1</f>
        <v>977.6999999999999</v>
      </c>
      <c r="G301" s="153">
        <f>SUM(Ведомственная!G292)+Ведомственная!G333+Ведомственная!G383</f>
        <v>977.6999999999999</v>
      </c>
      <c r="I301" s="154">
        <f t="shared" si="7"/>
        <v>0</v>
      </c>
      <c r="J301" s="154">
        <f t="shared" si="6"/>
        <v>-977.6999999999999</v>
      </c>
    </row>
    <row r="302" spans="1:10" ht="31.5">
      <c r="A302" s="17" t="s">
        <v>359</v>
      </c>
      <c r="B302" s="71" t="s">
        <v>421</v>
      </c>
      <c r="C302" s="71" t="s">
        <v>313</v>
      </c>
      <c r="D302" s="71" t="s">
        <v>189</v>
      </c>
      <c r="E302" s="71" t="s">
        <v>188</v>
      </c>
      <c r="F302" s="72">
        <v>11385.2</v>
      </c>
      <c r="G302" s="153">
        <f>Ведомственная!G393</f>
        <v>11385.2</v>
      </c>
      <c r="I302" s="154">
        <f t="shared" si="7"/>
        <v>0</v>
      </c>
      <c r="J302" s="154">
        <f t="shared" si="6"/>
        <v>-11385.2</v>
      </c>
    </row>
    <row r="303" spans="1:10" ht="31.5">
      <c r="A303" s="17" t="s">
        <v>353</v>
      </c>
      <c r="B303" s="68" t="s">
        <v>399</v>
      </c>
      <c r="C303" s="68"/>
      <c r="D303" s="68"/>
      <c r="E303" s="68"/>
      <c r="F303" s="69">
        <f>SUM(F304)</f>
        <v>5051.2</v>
      </c>
      <c r="I303" s="154">
        <f t="shared" si="7"/>
        <v>-5051.2</v>
      </c>
      <c r="J303" s="154">
        <f t="shared" si="6"/>
        <v>-5051.2</v>
      </c>
    </row>
    <row r="304" spans="1:10" ht="31.5">
      <c r="A304" s="17" t="s">
        <v>49</v>
      </c>
      <c r="B304" s="68" t="s">
        <v>400</v>
      </c>
      <c r="C304" s="68"/>
      <c r="D304" s="68"/>
      <c r="E304" s="68"/>
      <c r="F304" s="69">
        <f>SUM(F305:F307)</f>
        <v>5051.2</v>
      </c>
      <c r="I304" s="154">
        <f t="shared" si="7"/>
        <v>-5051.2</v>
      </c>
      <c r="J304" s="154">
        <f t="shared" si="6"/>
        <v>-5051.2</v>
      </c>
    </row>
    <row r="305" spans="1:10" ht="63">
      <c r="A305" s="17" t="s">
        <v>55</v>
      </c>
      <c r="B305" s="68" t="s">
        <v>400</v>
      </c>
      <c r="C305" s="68" t="s">
        <v>99</v>
      </c>
      <c r="D305" s="68" t="s">
        <v>17</v>
      </c>
      <c r="E305" s="68" t="s">
        <v>28</v>
      </c>
      <c r="F305" s="69">
        <v>3995.8</v>
      </c>
      <c r="G305" s="153">
        <f>SUM(Ведомственная!G207)</f>
        <v>3995.8</v>
      </c>
      <c r="I305" s="154">
        <f t="shared" si="7"/>
        <v>0</v>
      </c>
      <c r="J305" s="154">
        <f t="shared" si="6"/>
        <v>-3995.8</v>
      </c>
    </row>
    <row r="306" spans="1:10" ht="31.5">
      <c r="A306" s="17" t="s">
        <v>56</v>
      </c>
      <c r="B306" s="68" t="s">
        <v>400</v>
      </c>
      <c r="C306" s="68" t="s">
        <v>101</v>
      </c>
      <c r="D306" s="68" t="s">
        <v>17</v>
      </c>
      <c r="E306" s="68" t="s">
        <v>28</v>
      </c>
      <c r="F306" s="69">
        <v>1032</v>
      </c>
      <c r="G306" s="153">
        <f>SUM(Ведомственная!G208)</f>
        <v>1032</v>
      </c>
      <c r="I306" s="154">
        <f t="shared" si="7"/>
        <v>0</v>
      </c>
      <c r="J306" s="154">
        <f t="shared" si="6"/>
        <v>-1032</v>
      </c>
    </row>
    <row r="307" spans="1:10" ht="15.75">
      <c r="A307" s="17" t="s">
        <v>26</v>
      </c>
      <c r="B307" s="68" t="s">
        <v>400</v>
      </c>
      <c r="C307" s="68" t="s">
        <v>106</v>
      </c>
      <c r="D307" s="68" t="s">
        <v>17</v>
      </c>
      <c r="E307" s="68" t="s">
        <v>28</v>
      </c>
      <c r="F307" s="69">
        <v>23.4</v>
      </c>
      <c r="G307" s="153">
        <f>SUM(Ведомственная!G209)</f>
        <v>23.4</v>
      </c>
      <c r="I307" s="154">
        <f t="shared" si="7"/>
        <v>0</v>
      </c>
      <c r="J307" s="154">
        <f t="shared" si="6"/>
        <v>-23.4</v>
      </c>
    </row>
    <row r="308" spans="1:10" ht="31.5">
      <c r="A308" s="51" t="s">
        <v>302</v>
      </c>
      <c r="B308" s="52" t="s">
        <v>303</v>
      </c>
      <c r="C308" s="52"/>
      <c r="D308" s="53"/>
      <c r="E308" s="53"/>
      <c r="F308" s="54">
        <f>SUM(F309+F315)</f>
        <v>5655.8</v>
      </c>
      <c r="H308" s="155">
        <f>SUM(G311:G318)</f>
        <v>5655.799999999999</v>
      </c>
      <c r="I308" s="154">
        <f t="shared" si="7"/>
        <v>-5655.8</v>
      </c>
      <c r="J308" s="154">
        <f t="shared" si="6"/>
        <v>-9.094947017729282E-13</v>
      </c>
    </row>
    <row r="309" spans="1:10" ht="15.75">
      <c r="A309" s="51" t="s">
        <v>39</v>
      </c>
      <c r="B309" s="52" t="s">
        <v>315</v>
      </c>
      <c r="C309" s="52"/>
      <c r="D309" s="53"/>
      <c r="E309" s="53"/>
      <c r="F309" s="54">
        <f>SUM(F310)+F312</f>
        <v>894.1</v>
      </c>
      <c r="I309" s="154">
        <f t="shared" si="7"/>
        <v>-894.1</v>
      </c>
      <c r="J309" s="154">
        <f aca="true" t="shared" si="8" ref="J309:J377">SUM(H309-F309)</f>
        <v>-894.1</v>
      </c>
    </row>
    <row r="310" spans="1:10" ht="47.25" hidden="1">
      <c r="A310" s="51" t="s">
        <v>366</v>
      </c>
      <c r="B310" s="52" t="s">
        <v>367</v>
      </c>
      <c r="C310" s="52"/>
      <c r="D310" s="53"/>
      <c r="E310" s="53"/>
      <c r="F310" s="54">
        <f>SUM(F311)</f>
        <v>0</v>
      </c>
      <c r="I310" s="154">
        <f t="shared" si="7"/>
        <v>0</v>
      </c>
      <c r="J310" s="154">
        <f t="shared" si="8"/>
        <v>0</v>
      </c>
    </row>
    <row r="311" spans="1:10" ht="15.75" hidden="1">
      <c r="A311" s="51" t="s">
        <v>100</v>
      </c>
      <c r="B311" s="52" t="s">
        <v>367</v>
      </c>
      <c r="C311" s="53" t="s">
        <v>101</v>
      </c>
      <c r="D311" s="53"/>
      <c r="E311" s="53"/>
      <c r="F311" s="54"/>
      <c r="G311" s="153">
        <f>SUM(Ведомственная!G308)</f>
        <v>0</v>
      </c>
      <c r="I311" s="154">
        <f t="shared" si="7"/>
        <v>0</v>
      </c>
      <c r="J311" s="154">
        <f t="shared" si="8"/>
        <v>0</v>
      </c>
    </row>
    <row r="312" spans="1:10" ht="47.25">
      <c r="A312" s="51" t="s">
        <v>366</v>
      </c>
      <c r="B312" s="52" t="s">
        <v>367</v>
      </c>
      <c r="C312" s="52"/>
      <c r="D312" s="53"/>
      <c r="E312" s="53"/>
      <c r="F312" s="54">
        <f>SUM(F313:F314)</f>
        <v>894.1</v>
      </c>
      <c r="I312" s="154">
        <f t="shared" si="7"/>
        <v>-894.1</v>
      </c>
      <c r="J312" s="154">
        <f t="shared" si="8"/>
        <v>-894.1</v>
      </c>
    </row>
    <row r="313" spans="1:10" ht="63">
      <c r="A313" s="51" t="s">
        <v>55</v>
      </c>
      <c r="B313" s="52" t="s">
        <v>367</v>
      </c>
      <c r="C313" s="52">
        <v>100</v>
      </c>
      <c r="D313" s="53" t="s">
        <v>82</v>
      </c>
      <c r="E313" s="53" t="s">
        <v>188</v>
      </c>
      <c r="F313" s="54">
        <v>25</v>
      </c>
      <c r="G313" s="153">
        <f>SUM(Ведомственная!G310)</f>
        <v>25</v>
      </c>
      <c r="I313" s="154">
        <f t="shared" si="7"/>
        <v>0</v>
      </c>
      <c r="J313" s="154">
        <f t="shared" si="8"/>
        <v>-25</v>
      </c>
    </row>
    <row r="314" spans="1:10" ht="31.5">
      <c r="A314" s="51" t="s">
        <v>56</v>
      </c>
      <c r="B314" s="52" t="s">
        <v>367</v>
      </c>
      <c r="C314" s="53" t="s">
        <v>101</v>
      </c>
      <c r="D314" s="53" t="s">
        <v>82</v>
      </c>
      <c r="E314" s="53" t="s">
        <v>188</v>
      </c>
      <c r="F314" s="54">
        <v>869.1</v>
      </c>
      <c r="G314" s="153">
        <f>SUM(Ведомственная!G311)</f>
        <v>869.1</v>
      </c>
      <c r="I314" s="154">
        <f t="shared" si="7"/>
        <v>0</v>
      </c>
      <c r="J314" s="154">
        <f t="shared" si="8"/>
        <v>-869.1</v>
      </c>
    </row>
    <row r="315" spans="1:10" ht="31.5">
      <c r="A315" s="51" t="s">
        <v>49</v>
      </c>
      <c r="B315" s="52" t="s">
        <v>304</v>
      </c>
      <c r="C315" s="52"/>
      <c r="D315" s="53"/>
      <c r="E315" s="53"/>
      <c r="F315" s="54">
        <f>SUM(F316:F318)</f>
        <v>4761.7</v>
      </c>
      <c r="I315" s="154">
        <f t="shared" si="7"/>
        <v>-4761.7</v>
      </c>
      <c r="J315" s="154">
        <f t="shared" si="8"/>
        <v>-4761.7</v>
      </c>
    </row>
    <row r="316" spans="1:10" ht="63">
      <c r="A316" s="51" t="s">
        <v>55</v>
      </c>
      <c r="B316" s="52" t="s">
        <v>304</v>
      </c>
      <c r="C316" s="53" t="s">
        <v>99</v>
      </c>
      <c r="D316" s="53" t="s">
        <v>82</v>
      </c>
      <c r="E316" s="53" t="s">
        <v>58</v>
      </c>
      <c r="F316" s="54">
        <v>3964.8</v>
      </c>
      <c r="G316" s="153">
        <f>SUM(Ведомственная!G301)</f>
        <v>3964.7999999999997</v>
      </c>
      <c r="I316" s="154">
        <f t="shared" si="7"/>
        <v>0</v>
      </c>
      <c r="J316" s="154">
        <f t="shared" si="8"/>
        <v>-3964.8</v>
      </c>
    </row>
    <row r="317" spans="1:10" ht="31.5">
      <c r="A317" s="51" t="s">
        <v>56</v>
      </c>
      <c r="B317" s="52" t="s">
        <v>304</v>
      </c>
      <c r="C317" s="53" t="s">
        <v>101</v>
      </c>
      <c r="D317" s="53" t="s">
        <v>82</v>
      </c>
      <c r="E317" s="53" t="s">
        <v>58</v>
      </c>
      <c r="F317" s="54">
        <v>742</v>
      </c>
      <c r="G317" s="153">
        <f>SUM(Ведомственная!G302)</f>
        <v>741.9999999999999</v>
      </c>
      <c r="I317" s="154">
        <f t="shared" si="7"/>
        <v>0</v>
      </c>
      <c r="J317" s="154">
        <f t="shared" si="8"/>
        <v>-742</v>
      </c>
    </row>
    <row r="318" spans="1:10" ht="15.75">
      <c r="A318" s="51" t="s">
        <v>26</v>
      </c>
      <c r="B318" s="52" t="s">
        <v>304</v>
      </c>
      <c r="C318" s="53" t="s">
        <v>106</v>
      </c>
      <c r="D318" s="53" t="s">
        <v>82</v>
      </c>
      <c r="E318" s="53" t="s">
        <v>58</v>
      </c>
      <c r="F318" s="54">
        <v>54.9</v>
      </c>
      <c r="G318" s="153">
        <f>SUM(Ведомственная!G303)</f>
        <v>54.9</v>
      </c>
      <c r="I318" s="154">
        <f t="shared" si="7"/>
        <v>0</v>
      </c>
      <c r="J318" s="154">
        <f t="shared" si="8"/>
        <v>-54.9</v>
      </c>
    </row>
    <row r="319" spans="1:10" ht="47.25">
      <c r="A319" s="51" t="s">
        <v>316</v>
      </c>
      <c r="B319" s="52" t="s">
        <v>264</v>
      </c>
      <c r="C319" s="52"/>
      <c r="D319" s="53"/>
      <c r="E319" s="53"/>
      <c r="F319" s="54">
        <f>SUM(F320)+F332+F330</f>
        <v>13410.9</v>
      </c>
      <c r="H319" s="155">
        <f>SUM(G320:G336)</f>
        <v>13410.9</v>
      </c>
      <c r="I319" s="154">
        <f t="shared" si="7"/>
        <v>-13410.9</v>
      </c>
      <c r="J319" s="154">
        <f t="shared" si="8"/>
        <v>0</v>
      </c>
    </row>
    <row r="320" spans="1:10" ht="47.25">
      <c r="A320" s="51" t="s">
        <v>265</v>
      </c>
      <c r="B320" s="52" t="s">
        <v>266</v>
      </c>
      <c r="C320" s="52"/>
      <c r="D320" s="53"/>
      <c r="E320" s="53"/>
      <c r="F320" s="54">
        <f>SUM(F323)+F321</f>
        <v>12760.9</v>
      </c>
      <c r="I320" s="154">
        <f t="shared" si="7"/>
        <v>-12760.9</v>
      </c>
      <c r="J320" s="154">
        <f t="shared" si="8"/>
        <v>-12760.9</v>
      </c>
    </row>
    <row r="321" spans="1:10" ht="47.25">
      <c r="A321" s="70" t="s">
        <v>652</v>
      </c>
      <c r="B321" s="52" t="s">
        <v>653</v>
      </c>
      <c r="C321" s="73"/>
      <c r="D321" s="74"/>
      <c r="E321" s="67"/>
      <c r="F321" s="72">
        <f>F322</f>
        <v>2000</v>
      </c>
      <c r="I321" s="154">
        <f t="shared" si="7"/>
        <v>-2000</v>
      </c>
      <c r="J321" s="154">
        <f t="shared" si="8"/>
        <v>-2000</v>
      </c>
    </row>
    <row r="322" spans="1:10" ht="31.5">
      <c r="A322" s="70" t="s">
        <v>359</v>
      </c>
      <c r="B322" s="52" t="s">
        <v>653</v>
      </c>
      <c r="C322" s="73" t="s">
        <v>313</v>
      </c>
      <c r="D322" s="53" t="s">
        <v>125</v>
      </c>
      <c r="E322" s="53" t="s">
        <v>38</v>
      </c>
      <c r="F322" s="72">
        <v>2000</v>
      </c>
      <c r="G322" s="153">
        <f>Ведомственная!G322</f>
        <v>2000</v>
      </c>
      <c r="I322" s="154">
        <f t="shared" si="7"/>
        <v>0</v>
      </c>
      <c r="J322" s="154"/>
    </row>
    <row r="323" spans="1:10" ht="47.25">
      <c r="A323" s="51" t="s">
        <v>84</v>
      </c>
      <c r="B323" s="52" t="s">
        <v>267</v>
      </c>
      <c r="C323" s="52"/>
      <c r="D323" s="53"/>
      <c r="E323" s="53"/>
      <c r="F323" s="54">
        <f>SUM(F324)</f>
        <v>10760.9</v>
      </c>
      <c r="I323" s="154">
        <f t="shared" si="7"/>
        <v>-10760.9</v>
      </c>
      <c r="J323" s="154">
        <f t="shared" si="8"/>
        <v>-10760.9</v>
      </c>
    </row>
    <row r="324" spans="1:10" ht="31.5">
      <c r="A324" s="51" t="s">
        <v>268</v>
      </c>
      <c r="B324" s="52" t="s">
        <v>269</v>
      </c>
      <c r="C324" s="52"/>
      <c r="D324" s="53"/>
      <c r="E324" s="53"/>
      <c r="F324" s="54">
        <f>SUM(F325:F329)</f>
        <v>10760.9</v>
      </c>
      <c r="I324" s="154">
        <f t="shared" si="7"/>
        <v>-10760.9</v>
      </c>
      <c r="J324" s="154">
        <f t="shared" si="8"/>
        <v>-10760.9</v>
      </c>
    </row>
    <row r="325" spans="1:10" ht="31.5">
      <c r="A325" s="51" t="s">
        <v>56</v>
      </c>
      <c r="B325" s="52" t="s">
        <v>269</v>
      </c>
      <c r="C325" s="52">
        <v>200</v>
      </c>
      <c r="D325" s="53" t="s">
        <v>38</v>
      </c>
      <c r="E325" s="53">
        <v>13</v>
      </c>
      <c r="F325" s="54">
        <v>8090.9</v>
      </c>
      <c r="G325" s="153">
        <f>SUM(Ведомственная!G110)</f>
        <v>8090.9</v>
      </c>
      <c r="I325" s="154">
        <f t="shared" si="7"/>
        <v>0</v>
      </c>
      <c r="J325" s="154">
        <f t="shared" si="8"/>
        <v>-8090.9</v>
      </c>
    </row>
    <row r="326" spans="1:10" ht="31.5">
      <c r="A326" s="166" t="s">
        <v>56</v>
      </c>
      <c r="B326" s="52" t="s">
        <v>269</v>
      </c>
      <c r="C326" s="52">
        <v>200</v>
      </c>
      <c r="D326" s="167" t="s">
        <v>188</v>
      </c>
      <c r="E326" s="167" t="s">
        <v>48</v>
      </c>
      <c r="F326" s="54">
        <v>2332</v>
      </c>
      <c r="G326" s="153">
        <f>SUM(Ведомственная!G256)</f>
        <v>2332</v>
      </c>
      <c r="I326" s="154">
        <f t="shared" si="7"/>
        <v>0</v>
      </c>
      <c r="J326" s="154"/>
    </row>
    <row r="327" spans="1:10" ht="31.5">
      <c r="A327" s="166" t="s">
        <v>56</v>
      </c>
      <c r="B327" s="52" t="s">
        <v>269</v>
      </c>
      <c r="C327" s="52">
        <v>200</v>
      </c>
      <c r="D327" s="167" t="s">
        <v>82</v>
      </c>
      <c r="E327" s="167" t="s">
        <v>188</v>
      </c>
      <c r="F327" s="54">
        <v>53</v>
      </c>
      <c r="G327" s="153">
        <f>SUM(Ведомственная!G316)</f>
        <v>53</v>
      </c>
      <c r="I327" s="154">
        <f t="shared" si="7"/>
        <v>0</v>
      </c>
      <c r="J327" s="154"/>
    </row>
    <row r="328" spans="1:10" ht="31.5">
      <c r="A328" s="166" t="s">
        <v>56</v>
      </c>
      <c r="B328" s="52" t="s">
        <v>269</v>
      </c>
      <c r="C328" s="52">
        <v>200</v>
      </c>
      <c r="D328" s="167" t="s">
        <v>125</v>
      </c>
      <c r="E328" s="167" t="s">
        <v>48</v>
      </c>
      <c r="F328" s="54">
        <v>200</v>
      </c>
      <c r="G328" s="153">
        <f>SUM(Ведомственная!G328)</f>
        <v>200</v>
      </c>
      <c r="I328" s="154">
        <f t="shared" si="7"/>
        <v>0</v>
      </c>
      <c r="J328" s="154"/>
    </row>
    <row r="329" spans="1:10" ht="15.75">
      <c r="A329" s="51" t="s">
        <v>26</v>
      </c>
      <c r="B329" s="52" t="s">
        <v>269</v>
      </c>
      <c r="C329" s="52">
        <v>800</v>
      </c>
      <c r="D329" s="53" t="s">
        <v>38</v>
      </c>
      <c r="E329" s="53">
        <v>13</v>
      </c>
      <c r="F329" s="54">
        <v>85</v>
      </c>
      <c r="G329" s="153">
        <f>SUM(Ведомственная!G111)</f>
        <v>85</v>
      </c>
      <c r="I329" s="154">
        <f t="shared" si="7"/>
        <v>0</v>
      </c>
      <c r="J329" s="154">
        <f t="shared" si="8"/>
        <v>-85</v>
      </c>
    </row>
    <row r="330" spans="1:10" ht="47.25">
      <c r="A330" s="51" t="s">
        <v>292</v>
      </c>
      <c r="B330" s="52" t="s">
        <v>293</v>
      </c>
      <c r="C330" s="53"/>
      <c r="D330" s="53"/>
      <c r="E330" s="53"/>
      <c r="F330" s="54">
        <f>SUM(F331)</f>
        <v>550</v>
      </c>
      <c r="I330" s="154">
        <f t="shared" si="7"/>
        <v>-550</v>
      </c>
      <c r="J330" s="154">
        <f t="shared" si="8"/>
        <v>-550</v>
      </c>
    </row>
    <row r="331" spans="1:10" ht="31.5">
      <c r="A331" s="51" t="s">
        <v>56</v>
      </c>
      <c r="B331" s="52" t="s">
        <v>293</v>
      </c>
      <c r="C331" s="53" t="s">
        <v>101</v>
      </c>
      <c r="D331" s="53" t="s">
        <v>17</v>
      </c>
      <c r="E331" s="53" t="s">
        <v>28</v>
      </c>
      <c r="F331" s="54">
        <f>490+60</f>
        <v>550</v>
      </c>
      <c r="G331" s="153">
        <f>SUM(Ведомственная!G212)</f>
        <v>550</v>
      </c>
      <c r="I331" s="154">
        <f t="shared" si="7"/>
        <v>0</v>
      </c>
      <c r="J331" s="154">
        <f t="shared" si="8"/>
        <v>-550</v>
      </c>
    </row>
    <row r="332" spans="1:10" ht="31.5">
      <c r="A332" s="51" t="s">
        <v>270</v>
      </c>
      <c r="B332" s="52" t="s">
        <v>271</v>
      </c>
      <c r="C332" s="52"/>
      <c r="D332" s="53"/>
      <c r="E332" s="53"/>
      <c r="F332" s="54">
        <f>SUM(F333)</f>
        <v>100</v>
      </c>
      <c r="I332" s="154">
        <f t="shared" si="7"/>
        <v>-100</v>
      </c>
      <c r="J332" s="154">
        <f t="shared" si="8"/>
        <v>-100</v>
      </c>
    </row>
    <row r="333" spans="1:10" ht="47.25">
      <c r="A333" s="51" t="s">
        <v>84</v>
      </c>
      <c r="B333" s="52" t="s">
        <v>272</v>
      </c>
      <c r="C333" s="52"/>
      <c r="D333" s="53"/>
      <c r="E333" s="53"/>
      <c r="F333" s="54">
        <f>SUM(F334)</f>
        <v>100</v>
      </c>
      <c r="I333" s="154">
        <f t="shared" si="7"/>
        <v>-100</v>
      </c>
      <c r="J333" s="154">
        <f t="shared" si="8"/>
        <v>-100</v>
      </c>
    </row>
    <row r="334" spans="1:10" ht="31.5">
      <c r="A334" s="51" t="s">
        <v>268</v>
      </c>
      <c r="B334" s="52" t="s">
        <v>273</v>
      </c>
      <c r="C334" s="52"/>
      <c r="D334" s="53"/>
      <c r="E334" s="53"/>
      <c r="F334" s="54">
        <f>SUM(F335:F336)</f>
        <v>100</v>
      </c>
      <c r="I334" s="154">
        <f t="shared" si="7"/>
        <v>-100</v>
      </c>
      <c r="J334" s="154">
        <f t="shared" si="8"/>
        <v>-100</v>
      </c>
    </row>
    <row r="335" spans="1:10" ht="29.25" customHeight="1">
      <c r="A335" s="51" t="s">
        <v>56</v>
      </c>
      <c r="B335" s="52" t="s">
        <v>273</v>
      </c>
      <c r="C335" s="52">
        <v>200</v>
      </c>
      <c r="D335" s="53" t="s">
        <v>38</v>
      </c>
      <c r="E335" s="53">
        <v>13</v>
      </c>
      <c r="F335" s="54">
        <v>100</v>
      </c>
      <c r="G335" s="153">
        <f>SUM(Ведомственная!G115)</f>
        <v>100</v>
      </c>
      <c r="I335" s="154">
        <f t="shared" si="7"/>
        <v>0</v>
      </c>
      <c r="J335" s="154">
        <f t="shared" si="8"/>
        <v>-100</v>
      </c>
    </row>
    <row r="336" spans="1:10" ht="15.75" hidden="1">
      <c r="A336" s="51" t="s">
        <v>26</v>
      </c>
      <c r="B336" s="52" t="s">
        <v>273</v>
      </c>
      <c r="C336" s="52">
        <v>800</v>
      </c>
      <c r="D336" s="53" t="s">
        <v>38</v>
      </c>
      <c r="E336" s="53">
        <v>13</v>
      </c>
      <c r="F336" s="54"/>
      <c r="G336" s="153">
        <f>SUM(Ведомственная!G116)</f>
        <v>0</v>
      </c>
      <c r="I336" s="154">
        <f t="shared" si="7"/>
        <v>0</v>
      </c>
      <c r="J336" s="154">
        <f t="shared" si="8"/>
        <v>0</v>
      </c>
    </row>
    <row r="337" spans="1:10" ht="31.5">
      <c r="A337" s="51" t="s">
        <v>295</v>
      </c>
      <c r="B337" s="52" t="s">
        <v>296</v>
      </c>
      <c r="C337" s="53"/>
      <c r="D337" s="53"/>
      <c r="E337" s="53"/>
      <c r="F337" s="54">
        <f>SUM(F338)+F342+F344</f>
        <v>49742.5</v>
      </c>
      <c r="H337" s="155">
        <f>SUM(G338:G349)</f>
        <v>49742.5</v>
      </c>
      <c r="I337" s="154">
        <f t="shared" si="7"/>
        <v>-49742.5</v>
      </c>
      <c r="J337" s="154">
        <f t="shared" si="8"/>
        <v>0</v>
      </c>
    </row>
    <row r="338" spans="1:10" ht="31.5">
      <c r="A338" s="51" t="s">
        <v>297</v>
      </c>
      <c r="B338" s="52" t="s">
        <v>299</v>
      </c>
      <c r="C338" s="53"/>
      <c r="D338" s="53"/>
      <c r="E338" s="53"/>
      <c r="F338" s="54">
        <f>SUM(F340)</f>
        <v>3648</v>
      </c>
      <c r="I338" s="154">
        <f t="shared" si="7"/>
        <v>-3648</v>
      </c>
      <c r="J338" s="154">
        <f t="shared" si="8"/>
        <v>-3648</v>
      </c>
    </row>
    <row r="339" spans="1:10" ht="15.75" hidden="1">
      <c r="A339" s="51" t="s">
        <v>100</v>
      </c>
      <c r="B339" s="52" t="s">
        <v>299</v>
      </c>
      <c r="C339" s="53" t="s">
        <v>101</v>
      </c>
      <c r="D339" s="53"/>
      <c r="E339" s="53"/>
      <c r="F339" s="54">
        <v>0</v>
      </c>
      <c r="G339" s="153">
        <f>SUM(Ведомственная!G229)</f>
        <v>0</v>
      </c>
      <c r="I339" s="154">
        <f t="shared" si="7"/>
        <v>0</v>
      </c>
      <c r="J339" s="154">
        <f t="shared" si="8"/>
        <v>0</v>
      </c>
    </row>
    <row r="340" spans="1:10" ht="31.5">
      <c r="A340" s="70" t="s">
        <v>548</v>
      </c>
      <c r="B340" s="73" t="s">
        <v>549</v>
      </c>
      <c r="C340" s="73"/>
      <c r="D340" s="73"/>
      <c r="E340" s="73"/>
      <c r="F340" s="74">
        <f>SUM(F341)</f>
        <v>3648</v>
      </c>
      <c r="I340" s="154">
        <f t="shared" si="7"/>
        <v>-3648</v>
      </c>
      <c r="J340" s="154">
        <f t="shared" si="8"/>
        <v>-3648</v>
      </c>
    </row>
    <row r="341" spans="1:10" ht="31.5">
      <c r="A341" s="70" t="s">
        <v>359</v>
      </c>
      <c r="B341" s="73" t="s">
        <v>549</v>
      </c>
      <c r="C341" s="73" t="s">
        <v>313</v>
      </c>
      <c r="D341" s="73" t="s">
        <v>188</v>
      </c>
      <c r="E341" s="73" t="s">
        <v>188</v>
      </c>
      <c r="F341" s="74">
        <v>3648</v>
      </c>
      <c r="G341" s="153">
        <f>SUM(Ведомственная!G296)</f>
        <v>3648</v>
      </c>
      <c r="I341" s="154">
        <f t="shared" si="7"/>
        <v>0</v>
      </c>
      <c r="J341" s="154">
        <f t="shared" si="8"/>
        <v>-3648</v>
      </c>
    </row>
    <row r="342" spans="1:10" ht="78.75">
      <c r="A342" s="51" t="s">
        <v>309</v>
      </c>
      <c r="B342" s="52" t="s">
        <v>310</v>
      </c>
      <c r="C342" s="52"/>
      <c r="D342" s="53"/>
      <c r="E342" s="53"/>
      <c r="F342" s="54">
        <f>SUM(F343)</f>
        <v>3591.5</v>
      </c>
      <c r="I342" s="154">
        <f t="shared" si="7"/>
        <v>-3591.5</v>
      </c>
      <c r="J342" s="154">
        <f t="shared" si="8"/>
        <v>-3591.5</v>
      </c>
    </row>
    <row r="343" spans="1:10" ht="31.5">
      <c r="A343" s="70" t="s">
        <v>359</v>
      </c>
      <c r="B343" s="52" t="s">
        <v>310</v>
      </c>
      <c r="C343" s="52">
        <v>400</v>
      </c>
      <c r="D343" s="53" t="s">
        <v>35</v>
      </c>
      <c r="E343" s="53" t="s">
        <v>82</v>
      </c>
      <c r="F343" s="54">
        <v>3591.5</v>
      </c>
      <c r="G343" s="153">
        <f>SUM(Ведомственная!G363)</f>
        <v>3591.5</v>
      </c>
      <c r="I343" s="154">
        <f t="shared" si="7"/>
        <v>0</v>
      </c>
      <c r="J343" s="154">
        <f t="shared" si="8"/>
        <v>-3591.5</v>
      </c>
    </row>
    <row r="344" spans="1:10" ht="63">
      <c r="A344" s="51" t="s">
        <v>539</v>
      </c>
      <c r="B344" s="52" t="s">
        <v>544</v>
      </c>
      <c r="C344" s="52"/>
      <c r="D344" s="53"/>
      <c r="E344" s="53"/>
      <c r="F344" s="54">
        <f>SUM(F345)</f>
        <v>42503</v>
      </c>
      <c r="I344" s="154">
        <f t="shared" si="7"/>
        <v>-42503</v>
      </c>
      <c r="J344" s="154">
        <f t="shared" si="8"/>
        <v>-42503</v>
      </c>
    </row>
    <row r="345" spans="1:10" ht="94.5">
      <c r="A345" s="51" t="s">
        <v>537</v>
      </c>
      <c r="B345" s="52" t="s">
        <v>545</v>
      </c>
      <c r="C345" s="52"/>
      <c r="D345" s="53"/>
      <c r="E345" s="53"/>
      <c r="F345" s="54">
        <f>SUM(F346+F348)</f>
        <v>42503</v>
      </c>
      <c r="I345" s="154">
        <f t="shared" si="7"/>
        <v>-42503</v>
      </c>
      <c r="J345" s="154">
        <f t="shared" si="8"/>
        <v>-42503</v>
      </c>
    </row>
    <row r="346" spans="1:10" ht="63">
      <c r="A346" s="70" t="s">
        <v>311</v>
      </c>
      <c r="B346" s="52" t="s">
        <v>546</v>
      </c>
      <c r="C346" s="52"/>
      <c r="D346" s="53"/>
      <c r="E346" s="53"/>
      <c r="F346" s="54">
        <f>SUM(F347)</f>
        <v>18517</v>
      </c>
      <c r="I346" s="154">
        <f t="shared" si="7"/>
        <v>-18517</v>
      </c>
      <c r="J346" s="154">
        <f t="shared" si="8"/>
        <v>-18517</v>
      </c>
    </row>
    <row r="347" spans="1:10" ht="31.5">
      <c r="A347" s="51" t="s">
        <v>312</v>
      </c>
      <c r="B347" s="52" t="s">
        <v>546</v>
      </c>
      <c r="C347" s="52">
        <v>400</v>
      </c>
      <c r="D347" s="53" t="s">
        <v>35</v>
      </c>
      <c r="E347" s="53" t="s">
        <v>17</v>
      </c>
      <c r="F347" s="54">
        <v>18517</v>
      </c>
      <c r="G347" s="153">
        <f>SUM(Ведомственная!G357)</f>
        <v>18517</v>
      </c>
      <c r="I347" s="154">
        <f t="shared" si="7"/>
        <v>0</v>
      </c>
      <c r="J347" s="154">
        <f t="shared" si="8"/>
        <v>-18517</v>
      </c>
    </row>
    <row r="348" spans="1:10" ht="47.25">
      <c r="A348" s="51" t="s">
        <v>314</v>
      </c>
      <c r="B348" s="53" t="s">
        <v>651</v>
      </c>
      <c r="C348" s="52"/>
      <c r="D348" s="53"/>
      <c r="E348" s="53"/>
      <c r="F348" s="54">
        <f>SUM(F349)</f>
        <v>23986</v>
      </c>
      <c r="I348" s="154">
        <f t="shared" si="7"/>
        <v>-23986</v>
      </c>
      <c r="J348" s="154">
        <f t="shared" si="8"/>
        <v>-23986</v>
      </c>
    </row>
    <row r="349" spans="1:10" ht="31.5">
      <c r="A349" s="51" t="s">
        <v>312</v>
      </c>
      <c r="B349" s="53" t="s">
        <v>651</v>
      </c>
      <c r="C349" s="53" t="s">
        <v>313</v>
      </c>
      <c r="D349" s="212" t="s">
        <v>35</v>
      </c>
      <c r="E349" s="212" t="s">
        <v>17</v>
      </c>
      <c r="F349" s="54">
        <v>23986</v>
      </c>
      <c r="G349" s="153">
        <f>SUM(Ведомственная!G359)</f>
        <v>23986</v>
      </c>
      <c r="I349" s="154">
        <f t="shared" si="7"/>
        <v>0</v>
      </c>
      <c r="J349" s="154">
        <f t="shared" si="8"/>
        <v>-23986</v>
      </c>
    </row>
    <row r="350" spans="1:10" ht="31.5">
      <c r="A350" s="77" t="s">
        <v>489</v>
      </c>
      <c r="B350" s="76" t="s">
        <v>275</v>
      </c>
      <c r="C350" s="76"/>
      <c r="D350" s="76"/>
      <c r="E350" s="76"/>
      <c r="F350" s="58">
        <f>F351</f>
        <v>78</v>
      </c>
      <c r="H350" s="155">
        <f>SUM(G351:G353)</f>
        <v>78</v>
      </c>
      <c r="I350" s="154">
        <f t="shared" si="7"/>
        <v>-78</v>
      </c>
      <c r="J350" s="154">
        <f t="shared" si="8"/>
        <v>0</v>
      </c>
    </row>
    <row r="351" spans="1:10" ht="15.75">
      <c r="A351" s="77" t="s">
        <v>39</v>
      </c>
      <c r="B351" s="76" t="s">
        <v>490</v>
      </c>
      <c r="C351" s="76"/>
      <c r="D351" s="76"/>
      <c r="E351" s="76"/>
      <c r="F351" s="58">
        <f>F352</f>
        <v>78</v>
      </c>
      <c r="I351" s="154">
        <f t="shared" si="7"/>
        <v>-78</v>
      </c>
      <c r="J351" s="154">
        <f t="shared" si="8"/>
        <v>-78</v>
      </c>
    </row>
    <row r="352" spans="1:10" ht="15.75">
      <c r="A352" s="100" t="s">
        <v>168</v>
      </c>
      <c r="B352" s="76" t="s">
        <v>491</v>
      </c>
      <c r="C352" s="76"/>
      <c r="D352" s="76"/>
      <c r="E352" s="76"/>
      <c r="F352" s="58">
        <f>F353</f>
        <v>78</v>
      </c>
      <c r="I352" s="154">
        <f t="shared" si="7"/>
        <v>-78</v>
      </c>
      <c r="J352" s="154">
        <f t="shared" si="8"/>
        <v>-78</v>
      </c>
    </row>
    <row r="353" spans="1:10" ht="31.5">
      <c r="A353" s="77" t="s">
        <v>56</v>
      </c>
      <c r="B353" s="76" t="s">
        <v>491</v>
      </c>
      <c r="C353" s="76" t="s">
        <v>101</v>
      </c>
      <c r="D353" s="76" t="s">
        <v>125</v>
      </c>
      <c r="E353" s="76" t="s">
        <v>125</v>
      </c>
      <c r="F353" s="58">
        <v>78</v>
      </c>
      <c r="G353" s="153">
        <f>SUM(Ведомственная!G831)</f>
        <v>78</v>
      </c>
      <c r="I353" s="154">
        <f t="shared" si="7"/>
        <v>0</v>
      </c>
      <c r="J353" s="154">
        <f t="shared" si="8"/>
        <v>-78</v>
      </c>
    </row>
    <row r="354" spans="1:10" ht="47.25">
      <c r="A354" s="77" t="s">
        <v>492</v>
      </c>
      <c r="B354" s="76" t="s">
        <v>493</v>
      </c>
      <c r="C354" s="76"/>
      <c r="D354" s="76"/>
      <c r="E354" s="76"/>
      <c r="F354" s="58">
        <f>F355</f>
        <v>78.5</v>
      </c>
      <c r="H354" s="155">
        <f>SUM(G355:G357)</f>
        <v>78.5</v>
      </c>
      <c r="I354" s="154">
        <f t="shared" si="7"/>
        <v>-78.5</v>
      </c>
      <c r="J354" s="154">
        <f t="shared" si="8"/>
        <v>0</v>
      </c>
    </row>
    <row r="355" spans="1:10" ht="15.75">
      <c r="A355" s="77" t="s">
        <v>39</v>
      </c>
      <c r="B355" s="76" t="s">
        <v>494</v>
      </c>
      <c r="C355" s="76"/>
      <c r="D355" s="76"/>
      <c r="E355" s="76"/>
      <c r="F355" s="58">
        <f>F356</f>
        <v>78.5</v>
      </c>
      <c r="I355" s="154">
        <f aca="true" t="shared" si="9" ref="I355:I418">G355-F355</f>
        <v>-78.5</v>
      </c>
      <c r="J355" s="154">
        <f t="shared" si="8"/>
        <v>-78.5</v>
      </c>
    </row>
    <row r="356" spans="1:10" ht="15.75">
      <c r="A356" s="100" t="s">
        <v>168</v>
      </c>
      <c r="B356" s="76" t="s">
        <v>495</v>
      </c>
      <c r="C356" s="76"/>
      <c r="D356" s="76"/>
      <c r="E356" s="76"/>
      <c r="F356" s="58">
        <f>F357</f>
        <v>78.5</v>
      </c>
      <c r="I356" s="154">
        <f t="shared" si="9"/>
        <v>-78.5</v>
      </c>
      <c r="J356" s="154">
        <f t="shared" si="8"/>
        <v>-78.5</v>
      </c>
    </row>
    <row r="357" spans="1:10" ht="31.5">
      <c r="A357" s="77" t="s">
        <v>56</v>
      </c>
      <c r="B357" s="76" t="s">
        <v>495</v>
      </c>
      <c r="C357" s="76" t="s">
        <v>101</v>
      </c>
      <c r="D357" s="76" t="s">
        <v>125</v>
      </c>
      <c r="E357" s="76" t="s">
        <v>125</v>
      </c>
      <c r="F357" s="58">
        <v>78.5</v>
      </c>
      <c r="G357" s="153">
        <f>SUM(Ведомственная!G834)</f>
        <v>78.5</v>
      </c>
      <c r="I357" s="154">
        <f t="shared" si="9"/>
        <v>0</v>
      </c>
      <c r="J357" s="154">
        <f t="shared" si="8"/>
        <v>-78.5</v>
      </c>
    </row>
    <row r="358" spans="1:10" ht="31.5">
      <c r="A358" s="77" t="s">
        <v>127</v>
      </c>
      <c r="B358" s="57" t="s">
        <v>128</v>
      </c>
      <c r="C358" s="57"/>
      <c r="D358" s="57"/>
      <c r="E358" s="57"/>
      <c r="F358" s="60">
        <f>F359+F368+F372+F378+F382+F390+F395+F423</f>
        <v>184816.2</v>
      </c>
      <c r="H358" s="155">
        <f>SUM(G362:G428)</f>
        <v>184816.2</v>
      </c>
      <c r="I358" s="154">
        <f t="shared" si="9"/>
        <v>-184816.2</v>
      </c>
      <c r="J358" s="154">
        <f t="shared" si="8"/>
        <v>0</v>
      </c>
    </row>
    <row r="359" spans="1:10" ht="15.75">
      <c r="A359" s="77" t="s">
        <v>138</v>
      </c>
      <c r="B359" s="57" t="s">
        <v>139</v>
      </c>
      <c r="C359" s="57"/>
      <c r="D359" s="57"/>
      <c r="E359" s="57"/>
      <c r="F359" s="60">
        <f>F360+F363</f>
        <v>59269.399999999994</v>
      </c>
      <c r="I359" s="154">
        <f t="shared" si="9"/>
        <v>-59269.399999999994</v>
      </c>
      <c r="J359" s="154">
        <f t="shared" si="8"/>
        <v>-59269.399999999994</v>
      </c>
    </row>
    <row r="360" spans="1:10" ht="47.25">
      <c r="A360" s="77" t="s">
        <v>30</v>
      </c>
      <c r="B360" s="57" t="s">
        <v>140</v>
      </c>
      <c r="C360" s="57"/>
      <c r="D360" s="57"/>
      <c r="E360" s="57"/>
      <c r="F360" s="60">
        <f>F361</f>
        <v>36097.9</v>
      </c>
      <c r="I360" s="154">
        <f t="shared" si="9"/>
        <v>-36097.9</v>
      </c>
      <c r="J360" s="154">
        <f t="shared" si="8"/>
        <v>-36097.9</v>
      </c>
    </row>
    <row r="361" spans="1:10" ht="15.75">
      <c r="A361" s="77" t="s">
        <v>141</v>
      </c>
      <c r="B361" s="57" t="s">
        <v>142</v>
      </c>
      <c r="C361" s="57"/>
      <c r="D361" s="57"/>
      <c r="E361" s="57"/>
      <c r="F361" s="60">
        <f>F362</f>
        <v>36097.9</v>
      </c>
      <c r="I361" s="154">
        <f t="shared" si="9"/>
        <v>-36097.9</v>
      </c>
      <c r="J361" s="154">
        <f t="shared" si="8"/>
        <v>-36097.9</v>
      </c>
    </row>
    <row r="362" spans="1:10" ht="31.5">
      <c r="A362" s="77" t="s">
        <v>134</v>
      </c>
      <c r="B362" s="57" t="s">
        <v>142</v>
      </c>
      <c r="C362" s="57" t="s">
        <v>135</v>
      </c>
      <c r="D362" s="57" t="s">
        <v>19</v>
      </c>
      <c r="E362" s="57" t="s">
        <v>38</v>
      </c>
      <c r="F362" s="60">
        <v>36097.9</v>
      </c>
      <c r="G362" s="153">
        <f>SUM(Ведомственная!G933)</f>
        <v>36097.9</v>
      </c>
      <c r="I362" s="154">
        <f t="shared" si="9"/>
        <v>0</v>
      </c>
      <c r="J362" s="154">
        <f t="shared" si="8"/>
        <v>-36097.9</v>
      </c>
    </row>
    <row r="363" spans="1:10" ht="31.5">
      <c r="A363" s="77" t="s">
        <v>49</v>
      </c>
      <c r="B363" s="57" t="s">
        <v>143</v>
      </c>
      <c r="C363" s="57"/>
      <c r="D363" s="57"/>
      <c r="E363" s="57"/>
      <c r="F363" s="60">
        <f>F364</f>
        <v>23171.499999999996</v>
      </c>
      <c r="I363" s="154">
        <f t="shared" si="9"/>
        <v>-23171.499999999996</v>
      </c>
      <c r="J363" s="154">
        <f t="shared" si="8"/>
        <v>-23171.499999999996</v>
      </c>
    </row>
    <row r="364" spans="1:10" ht="15.75">
      <c r="A364" s="77" t="s">
        <v>141</v>
      </c>
      <c r="B364" s="57" t="s">
        <v>144</v>
      </c>
      <c r="C364" s="57"/>
      <c r="D364" s="57"/>
      <c r="E364" s="57"/>
      <c r="F364" s="60">
        <f>F365+F366+F367</f>
        <v>23171.499999999996</v>
      </c>
      <c r="I364" s="154">
        <f t="shared" si="9"/>
        <v>-23171.499999999996</v>
      </c>
      <c r="J364" s="154">
        <f t="shared" si="8"/>
        <v>-23171.499999999996</v>
      </c>
    </row>
    <row r="365" spans="1:10" ht="63">
      <c r="A365" s="77" t="s">
        <v>145</v>
      </c>
      <c r="B365" s="57" t="s">
        <v>144</v>
      </c>
      <c r="C365" s="57" t="s">
        <v>99</v>
      </c>
      <c r="D365" s="57" t="s">
        <v>19</v>
      </c>
      <c r="E365" s="57" t="s">
        <v>38</v>
      </c>
      <c r="F365" s="60">
        <v>19412.3</v>
      </c>
      <c r="G365" s="153">
        <f>SUM(Ведомственная!G936)</f>
        <v>19412.3</v>
      </c>
      <c r="I365" s="154">
        <f t="shared" si="9"/>
        <v>0</v>
      </c>
      <c r="J365" s="154">
        <f t="shared" si="8"/>
        <v>-19412.3</v>
      </c>
    </row>
    <row r="366" spans="1:10" ht="31.5">
      <c r="A366" s="77" t="s">
        <v>56</v>
      </c>
      <c r="B366" s="57" t="s">
        <v>144</v>
      </c>
      <c r="C366" s="57" t="s">
        <v>101</v>
      </c>
      <c r="D366" s="57" t="s">
        <v>19</v>
      </c>
      <c r="E366" s="57" t="s">
        <v>38</v>
      </c>
      <c r="F366" s="58">
        <v>3355.6</v>
      </c>
      <c r="G366" s="153">
        <f>SUM(Ведомственная!G937)</f>
        <v>3355.6</v>
      </c>
      <c r="I366" s="154">
        <f t="shared" si="9"/>
        <v>0</v>
      </c>
      <c r="J366" s="154">
        <f t="shared" si="8"/>
        <v>-3355.6</v>
      </c>
    </row>
    <row r="367" spans="1:10" ht="15.75">
      <c r="A367" s="77" t="s">
        <v>26</v>
      </c>
      <c r="B367" s="57" t="s">
        <v>144</v>
      </c>
      <c r="C367" s="57" t="s">
        <v>106</v>
      </c>
      <c r="D367" s="57" t="s">
        <v>19</v>
      </c>
      <c r="E367" s="57" t="s">
        <v>38</v>
      </c>
      <c r="F367" s="60">
        <v>403.6</v>
      </c>
      <c r="G367" s="153">
        <f>SUM(Ведомственная!G938)</f>
        <v>403.6</v>
      </c>
      <c r="I367" s="154">
        <f t="shared" si="9"/>
        <v>0</v>
      </c>
      <c r="J367" s="154">
        <f t="shared" si="8"/>
        <v>-403.6</v>
      </c>
    </row>
    <row r="368" spans="1:10" ht="15.75">
      <c r="A368" s="77" t="s">
        <v>129</v>
      </c>
      <c r="B368" s="57" t="s">
        <v>130</v>
      </c>
      <c r="C368" s="57"/>
      <c r="D368" s="57"/>
      <c r="E368" s="57"/>
      <c r="F368" s="60">
        <f>F369</f>
        <v>61607.6</v>
      </c>
      <c r="I368" s="154">
        <f t="shared" si="9"/>
        <v>-61607.6</v>
      </c>
      <c r="J368" s="154">
        <f t="shared" si="8"/>
        <v>-61607.6</v>
      </c>
    </row>
    <row r="369" spans="1:10" ht="47.25">
      <c r="A369" s="77" t="s">
        <v>30</v>
      </c>
      <c r="B369" s="57" t="s">
        <v>131</v>
      </c>
      <c r="C369" s="57"/>
      <c r="D369" s="57"/>
      <c r="E369" s="57"/>
      <c r="F369" s="60">
        <f>F370</f>
        <v>61607.6</v>
      </c>
      <c r="I369" s="154">
        <f t="shared" si="9"/>
        <v>-61607.6</v>
      </c>
      <c r="J369" s="154">
        <f t="shared" si="8"/>
        <v>-61607.6</v>
      </c>
    </row>
    <row r="370" spans="1:10" ht="15.75">
      <c r="A370" s="77" t="s">
        <v>132</v>
      </c>
      <c r="B370" s="57" t="s">
        <v>133</v>
      </c>
      <c r="C370" s="57"/>
      <c r="D370" s="57"/>
      <c r="E370" s="57"/>
      <c r="F370" s="60">
        <f>F371</f>
        <v>61607.6</v>
      </c>
      <c r="I370" s="154">
        <f t="shared" si="9"/>
        <v>-61607.6</v>
      </c>
      <c r="J370" s="154">
        <f t="shared" si="8"/>
        <v>-61607.6</v>
      </c>
    </row>
    <row r="371" spans="1:10" ht="31.5">
      <c r="A371" s="77" t="s">
        <v>134</v>
      </c>
      <c r="B371" s="57" t="s">
        <v>133</v>
      </c>
      <c r="C371" s="57" t="s">
        <v>135</v>
      </c>
      <c r="D371" s="57" t="s">
        <v>125</v>
      </c>
      <c r="E371" s="57" t="s">
        <v>58</v>
      </c>
      <c r="F371" s="60">
        <v>61607.6</v>
      </c>
      <c r="G371" s="153">
        <f>SUM(Ведомственная!G919)</f>
        <v>61607.6</v>
      </c>
      <c r="I371" s="154">
        <f t="shared" si="9"/>
        <v>0</v>
      </c>
      <c r="J371" s="154">
        <f t="shared" si="8"/>
        <v>-61607.6</v>
      </c>
    </row>
    <row r="372" spans="1:10" ht="31.5">
      <c r="A372" s="77" t="s">
        <v>146</v>
      </c>
      <c r="B372" s="57" t="s">
        <v>147</v>
      </c>
      <c r="C372" s="57"/>
      <c r="D372" s="57"/>
      <c r="E372" s="57"/>
      <c r="F372" s="60">
        <f>F373</f>
        <v>42185.49999999999</v>
      </c>
      <c r="I372" s="154">
        <f t="shared" si="9"/>
        <v>-42185.49999999999</v>
      </c>
      <c r="J372" s="154">
        <f t="shared" si="8"/>
        <v>-42185.49999999999</v>
      </c>
    </row>
    <row r="373" spans="1:10" ht="31.5">
      <c r="A373" s="77" t="s">
        <v>49</v>
      </c>
      <c r="B373" s="57" t="s">
        <v>148</v>
      </c>
      <c r="C373" s="57"/>
      <c r="D373" s="57"/>
      <c r="E373" s="57"/>
      <c r="F373" s="60">
        <f>F374</f>
        <v>42185.49999999999</v>
      </c>
      <c r="I373" s="154">
        <f t="shared" si="9"/>
        <v>-42185.49999999999</v>
      </c>
      <c r="J373" s="154">
        <f t="shared" si="8"/>
        <v>-42185.49999999999</v>
      </c>
    </row>
    <row r="374" spans="1:10" ht="15.75">
      <c r="A374" s="77" t="s">
        <v>149</v>
      </c>
      <c r="B374" s="57" t="s">
        <v>150</v>
      </c>
      <c r="C374" s="57"/>
      <c r="D374" s="57"/>
      <c r="E374" s="57"/>
      <c r="F374" s="60">
        <f>F375+F376+F377</f>
        <v>42185.49999999999</v>
      </c>
      <c r="I374" s="154">
        <f t="shared" si="9"/>
        <v>-42185.49999999999</v>
      </c>
      <c r="J374" s="154">
        <f t="shared" si="8"/>
        <v>-42185.49999999999</v>
      </c>
    </row>
    <row r="375" spans="1:10" ht="63">
      <c r="A375" s="77" t="s">
        <v>145</v>
      </c>
      <c r="B375" s="57" t="s">
        <v>150</v>
      </c>
      <c r="C375" s="57" t="s">
        <v>99</v>
      </c>
      <c r="D375" s="57" t="s">
        <v>19</v>
      </c>
      <c r="E375" s="57" t="s">
        <v>38</v>
      </c>
      <c r="F375" s="60">
        <v>35972.2</v>
      </c>
      <c r="G375" s="153">
        <f>SUM(Ведомственная!G942)</f>
        <v>35972.2</v>
      </c>
      <c r="I375" s="154">
        <f t="shared" si="9"/>
        <v>0</v>
      </c>
      <c r="J375" s="154">
        <f t="shared" si="8"/>
        <v>-35972.2</v>
      </c>
    </row>
    <row r="376" spans="1:10" ht="31.5">
      <c r="A376" s="77" t="s">
        <v>56</v>
      </c>
      <c r="B376" s="57" t="s">
        <v>150</v>
      </c>
      <c r="C376" s="57" t="s">
        <v>101</v>
      </c>
      <c r="D376" s="57" t="s">
        <v>19</v>
      </c>
      <c r="E376" s="57" t="s">
        <v>38</v>
      </c>
      <c r="F376" s="58">
        <v>5685.1</v>
      </c>
      <c r="G376" s="153">
        <f>SUM(Ведомственная!G943)</f>
        <v>5685.1</v>
      </c>
      <c r="I376" s="154">
        <f t="shared" si="9"/>
        <v>0</v>
      </c>
      <c r="J376" s="154">
        <f t="shared" si="8"/>
        <v>-5685.1</v>
      </c>
    </row>
    <row r="377" spans="1:10" ht="15.75">
      <c r="A377" s="77" t="s">
        <v>26</v>
      </c>
      <c r="B377" s="57" t="s">
        <v>150</v>
      </c>
      <c r="C377" s="57" t="s">
        <v>106</v>
      </c>
      <c r="D377" s="57" t="s">
        <v>19</v>
      </c>
      <c r="E377" s="57" t="s">
        <v>38</v>
      </c>
      <c r="F377" s="60">
        <v>528.2</v>
      </c>
      <c r="G377" s="153">
        <f>SUM(Ведомственная!G944)</f>
        <v>528.2</v>
      </c>
      <c r="I377" s="154">
        <f t="shared" si="9"/>
        <v>0</v>
      </c>
      <c r="J377" s="154">
        <f t="shared" si="8"/>
        <v>-528.2</v>
      </c>
    </row>
    <row r="378" spans="1:10" ht="31.5">
      <c r="A378" s="77" t="s">
        <v>151</v>
      </c>
      <c r="B378" s="57" t="s">
        <v>152</v>
      </c>
      <c r="C378" s="57"/>
      <c r="D378" s="57"/>
      <c r="E378" s="57"/>
      <c r="F378" s="60">
        <f>F379</f>
        <v>7857.7</v>
      </c>
      <c r="I378" s="154">
        <f t="shared" si="9"/>
        <v>-7857.7</v>
      </c>
      <c r="J378" s="154">
        <f aca="true" t="shared" si="10" ref="J378:J484">SUM(H378-F378)</f>
        <v>-7857.7</v>
      </c>
    </row>
    <row r="379" spans="1:10" ht="47.25">
      <c r="A379" s="77" t="s">
        <v>30</v>
      </c>
      <c r="B379" s="57" t="s">
        <v>153</v>
      </c>
      <c r="C379" s="57"/>
      <c r="D379" s="57"/>
      <c r="E379" s="57"/>
      <c r="F379" s="60">
        <f>F380</f>
        <v>7857.7</v>
      </c>
      <c r="I379" s="154">
        <f t="shared" si="9"/>
        <v>-7857.7</v>
      </c>
      <c r="J379" s="154">
        <f t="shared" si="10"/>
        <v>-7857.7</v>
      </c>
    </row>
    <row r="380" spans="1:10" ht="15.75">
      <c r="A380" s="77" t="s">
        <v>154</v>
      </c>
      <c r="B380" s="57" t="s">
        <v>155</v>
      </c>
      <c r="C380" s="57"/>
      <c r="D380" s="57"/>
      <c r="E380" s="57"/>
      <c r="F380" s="60">
        <f>F381</f>
        <v>7857.7</v>
      </c>
      <c r="I380" s="154">
        <f t="shared" si="9"/>
        <v>-7857.7</v>
      </c>
      <c r="J380" s="154">
        <f t="shared" si="10"/>
        <v>-7857.7</v>
      </c>
    </row>
    <row r="381" spans="1:10" ht="31.5">
      <c r="A381" s="77" t="s">
        <v>134</v>
      </c>
      <c r="B381" s="57" t="s">
        <v>155</v>
      </c>
      <c r="C381" s="57" t="s">
        <v>135</v>
      </c>
      <c r="D381" s="57" t="s">
        <v>19</v>
      </c>
      <c r="E381" s="57" t="s">
        <v>38</v>
      </c>
      <c r="F381" s="60">
        <v>7857.7</v>
      </c>
      <c r="G381" s="153">
        <f>SUM(Ведомственная!G948)</f>
        <v>7857.7</v>
      </c>
      <c r="I381" s="154">
        <f t="shared" si="9"/>
        <v>0</v>
      </c>
      <c r="J381" s="154">
        <f t="shared" si="10"/>
        <v>-7857.7</v>
      </c>
    </row>
    <row r="382" spans="1:10" ht="31.5">
      <c r="A382" s="77" t="s">
        <v>164</v>
      </c>
      <c r="B382" s="57" t="s">
        <v>165</v>
      </c>
      <c r="C382" s="78"/>
      <c r="D382" s="57"/>
      <c r="E382" s="57"/>
      <c r="F382" s="60">
        <f>F383+F387</f>
        <v>1188.7</v>
      </c>
      <c r="I382" s="154">
        <f t="shared" si="9"/>
        <v>-1188.7</v>
      </c>
      <c r="J382" s="154">
        <f t="shared" si="10"/>
        <v>-1188.7</v>
      </c>
    </row>
    <row r="383" spans="1:10" ht="15.75">
      <c r="A383" s="77" t="s">
        <v>166</v>
      </c>
      <c r="B383" s="57" t="s">
        <v>167</v>
      </c>
      <c r="C383" s="78"/>
      <c r="D383" s="57"/>
      <c r="E383" s="57"/>
      <c r="F383" s="60">
        <f>F384</f>
        <v>791.1</v>
      </c>
      <c r="I383" s="154">
        <f t="shared" si="9"/>
        <v>-791.1</v>
      </c>
      <c r="J383" s="154">
        <f t="shared" si="10"/>
        <v>-791.1</v>
      </c>
    </row>
    <row r="384" spans="1:10" ht="15.75">
      <c r="A384" s="77" t="s">
        <v>154</v>
      </c>
      <c r="B384" s="57" t="s">
        <v>658</v>
      </c>
      <c r="C384" s="78"/>
      <c r="D384" s="57"/>
      <c r="E384" s="57"/>
      <c r="F384" s="60">
        <f>F385</f>
        <v>791.1</v>
      </c>
      <c r="I384" s="154">
        <f t="shared" si="9"/>
        <v>-791.1</v>
      </c>
      <c r="J384" s="154">
        <f t="shared" si="10"/>
        <v>-791.1</v>
      </c>
    </row>
    <row r="385" spans="1:10" ht="31.5">
      <c r="A385" s="77" t="s">
        <v>460</v>
      </c>
      <c r="B385" s="57" t="s">
        <v>659</v>
      </c>
      <c r="C385" s="78"/>
      <c r="D385" s="57"/>
      <c r="E385" s="57"/>
      <c r="F385" s="60">
        <f>F386</f>
        <v>791.1</v>
      </c>
      <c r="I385" s="154">
        <f t="shared" si="9"/>
        <v>-791.1</v>
      </c>
      <c r="J385" s="154">
        <f t="shared" si="10"/>
        <v>-791.1</v>
      </c>
    </row>
    <row r="386" spans="1:10" ht="31.5">
      <c r="A386" s="77" t="s">
        <v>76</v>
      </c>
      <c r="B386" s="57" t="s">
        <v>659</v>
      </c>
      <c r="C386" s="78" t="s">
        <v>135</v>
      </c>
      <c r="D386" s="57" t="s">
        <v>19</v>
      </c>
      <c r="E386" s="57" t="s">
        <v>17</v>
      </c>
      <c r="F386" s="60">
        <v>791.1</v>
      </c>
      <c r="G386" s="153">
        <f>Ведомственная!G955</f>
        <v>791.1</v>
      </c>
      <c r="I386" s="154">
        <f t="shared" si="9"/>
        <v>0</v>
      </c>
      <c r="J386" s="154">
        <f t="shared" si="10"/>
        <v>-791.1</v>
      </c>
    </row>
    <row r="387" spans="1:10" ht="15.75">
      <c r="A387" s="77" t="s">
        <v>39</v>
      </c>
      <c r="B387" s="57" t="s">
        <v>660</v>
      </c>
      <c r="C387" s="78"/>
      <c r="D387" s="57"/>
      <c r="E387" s="57"/>
      <c r="F387" s="60">
        <f>F388</f>
        <v>397.6</v>
      </c>
      <c r="I387" s="154">
        <f t="shared" si="9"/>
        <v>-397.6</v>
      </c>
      <c r="J387" s="154"/>
    </row>
    <row r="388" spans="1:10" ht="15.75">
      <c r="A388" s="77" t="s">
        <v>141</v>
      </c>
      <c r="B388" s="57" t="s">
        <v>661</v>
      </c>
      <c r="C388" s="78"/>
      <c r="D388" s="57"/>
      <c r="E388" s="57"/>
      <c r="F388" s="60">
        <f>F389</f>
        <v>397.6</v>
      </c>
      <c r="I388" s="154">
        <f t="shared" si="9"/>
        <v>-397.6</v>
      </c>
      <c r="J388" s="154"/>
    </row>
    <row r="389" spans="1:10" ht="31.5">
      <c r="A389" s="77" t="s">
        <v>56</v>
      </c>
      <c r="B389" s="57" t="s">
        <v>661</v>
      </c>
      <c r="C389" s="78" t="s">
        <v>101</v>
      </c>
      <c r="D389" s="57" t="s">
        <v>19</v>
      </c>
      <c r="E389" s="57" t="s">
        <v>17</v>
      </c>
      <c r="F389" s="60">
        <v>397.6</v>
      </c>
      <c r="G389" s="153">
        <f>Ведомственная!G958</f>
        <v>397.6</v>
      </c>
      <c r="I389" s="154">
        <f t="shared" si="9"/>
        <v>0</v>
      </c>
      <c r="J389" s="154"/>
    </row>
    <row r="390" spans="1:10" ht="15.75">
      <c r="A390" s="77" t="s">
        <v>169</v>
      </c>
      <c r="B390" s="57" t="s">
        <v>170</v>
      </c>
      <c r="C390" s="78"/>
      <c r="D390" s="57"/>
      <c r="E390" s="57"/>
      <c r="F390" s="60">
        <f>F391</f>
        <v>1496.8</v>
      </c>
      <c r="I390" s="154">
        <f t="shared" si="9"/>
        <v>-1496.8</v>
      </c>
      <c r="J390" s="154"/>
    </row>
    <row r="391" spans="1:10" ht="15.75">
      <c r="A391" s="77" t="s">
        <v>39</v>
      </c>
      <c r="B391" s="57" t="s">
        <v>662</v>
      </c>
      <c r="C391" s="78"/>
      <c r="D391" s="57"/>
      <c r="E391" s="57"/>
      <c r="F391" s="60">
        <f>F392</f>
        <v>1496.8</v>
      </c>
      <c r="I391" s="154">
        <f t="shared" si="9"/>
        <v>-1496.8</v>
      </c>
      <c r="J391" s="154"/>
    </row>
    <row r="392" spans="1:10" ht="15.75">
      <c r="A392" s="77" t="s">
        <v>168</v>
      </c>
      <c r="B392" s="57" t="s">
        <v>663</v>
      </c>
      <c r="C392" s="78"/>
      <c r="D392" s="57"/>
      <c r="E392" s="57"/>
      <c r="F392" s="60">
        <f>F393+F394</f>
        <v>1496.8</v>
      </c>
      <c r="I392" s="154">
        <f t="shared" si="9"/>
        <v>-1496.8</v>
      </c>
      <c r="J392" s="154"/>
    </row>
    <row r="393" spans="1:10" ht="63">
      <c r="A393" s="77" t="s">
        <v>145</v>
      </c>
      <c r="B393" s="57" t="s">
        <v>663</v>
      </c>
      <c r="C393" s="78" t="s">
        <v>99</v>
      </c>
      <c r="D393" s="57" t="s">
        <v>19</v>
      </c>
      <c r="E393" s="57" t="s">
        <v>17</v>
      </c>
      <c r="F393" s="60">
        <v>721.8</v>
      </c>
      <c r="G393" s="153">
        <f>Ведомственная!G962</f>
        <v>721.8</v>
      </c>
      <c r="I393" s="154">
        <f t="shared" si="9"/>
        <v>0</v>
      </c>
      <c r="J393" s="154"/>
    </row>
    <row r="394" spans="1:10" ht="31.5">
      <c r="A394" s="77" t="s">
        <v>56</v>
      </c>
      <c r="B394" s="57" t="s">
        <v>663</v>
      </c>
      <c r="C394" s="78" t="s">
        <v>101</v>
      </c>
      <c r="D394" s="57" t="s">
        <v>19</v>
      </c>
      <c r="E394" s="57" t="s">
        <v>17</v>
      </c>
      <c r="F394" s="60">
        <v>775</v>
      </c>
      <c r="G394" s="153">
        <f>Ведомственная!G963</f>
        <v>775</v>
      </c>
      <c r="I394" s="154">
        <f t="shared" si="9"/>
        <v>0</v>
      </c>
      <c r="J394" s="154"/>
    </row>
    <row r="395" spans="1:10" ht="31.5">
      <c r="A395" s="77" t="s">
        <v>171</v>
      </c>
      <c r="B395" s="57" t="s">
        <v>172</v>
      </c>
      <c r="C395" s="78"/>
      <c r="D395" s="57"/>
      <c r="E395" s="57"/>
      <c r="F395" s="60">
        <f>F396+F404</f>
        <v>3684.2</v>
      </c>
      <c r="I395" s="154">
        <f t="shared" si="9"/>
        <v>-3684.2</v>
      </c>
      <c r="J395" s="154"/>
    </row>
    <row r="396" spans="1:10" ht="15.75">
      <c r="A396" s="77" t="s">
        <v>39</v>
      </c>
      <c r="B396" s="57" t="s">
        <v>664</v>
      </c>
      <c r="C396" s="78"/>
      <c r="D396" s="57"/>
      <c r="E396" s="57"/>
      <c r="F396" s="60">
        <f>F397</f>
        <v>1169.7</v>
      </c>
      <c r="I396" s="154">
        <f t="shared" si="9"/>
        <v>-1169.7</v>
      </c>
      <c r="J396" s="154"/>
    </row>
    <row r="397" spans="1:10" ht="15.75">
      <c r="A397" s="77" t="s">
        <v>168</v>
      </c>
      <c r="B397" s="57" t="s">
        <v>665</v>
      </c>
      <c r="C397" s="78"/>
      <c r="D397" s="57"/>
      <c r="E397" s="57"/>
      <c r="F397" s="60">
        <f>F398+F400+F402</f>
        <v>1169.7</v>
      </c>
      <c r="I397" s="154">
        <f t="shared" si="9"/>
        <v>-1169.7</v>
      </c>
      <c r="J397" s="154"/>
    </row>
    <row r="398" spans="1:10" ht="15.75">
      <c r="A398" s="77" t="s">
        <v>141</v>
      </c>
      <c r="B398" s="57" t="s">
        <v>666</v>
      </c>
      <c r="C398" s="78"/>
      <c r="D398" s="57"/>
      <c r="E398" s="57"/>
      <c r="F398" s="60">
        <f>F399</f>
        <v>640.4</v>
      </c>
      <c r="I398" s="154">
        <f t="shared" si="9"/>
        <v>-640.4</v>
      </c>
      <c r="J398" s="154"/>
    </row>
    <row r="399" spans="1:10" ht="31.5">
      <c r="A399" s="77" t="s">
        <v>56</v>
      </c>
      <c r="B399" s="57" t="s">
        <v>666</v>
      </c>
      <c r="C399" s="78" t="s">
        <v>101</v>
      </c>
      <c r="D399" s="57" t="s">
        <v>19</v>
      </c>
      <c r="E399" s="57" t="s">
        <v>17</v>
      </c>
      <c r="F399" s="60">
        <v>640.4</v>
      </c>
      <c r="G399" s="153">
        <f>Ведомственная!G968</f>
        <v>640.4</v>
      </c>
      <c r="I399" s="154">
        <f t="shared" si="9"/>
        <v>0</v>
      </c>
      <c r="J399" s="154"/>
    </row>
    <row r="400" spans="1:10" ht="15.75">
      <c r="A400" s="77" t="s">
        <v>149</v>
      </c>
      <c r="B400" s="57" t="s">
        <v>667</v>
      </c>
      <c r="C400" s="78"/>
      <c r="D400" s="57"/>
      <c r="E400" s="57"/>
      <c r="F400" s="60">
        <f>F401</f>
        <v>451.3</v>
      </c>
      <c r="I400" s="154">
        <f t="shared" si="9"/>
        <v>-451.3</v>
      </c>
      <c r="J400" s="154"/>
    </row>
    <row r="401" spans="1:10" ht="31.5">
      <c r="A401" s="77" t="s">
        <v>56</v>
      </c>
      <c r="B401" s="57" t="s">
        <v>667</v>
      </c>
      <c r="C401" s="78" t="s">
        <v>101</v>
      </c>
      <c r="D401" s="57" t="s">
        <v>19</v>
      </c>
      <c r="E401" s="57" t="s">
        <v>17</v>
      </c>
      <c r="F401" s="60">
        <v>451.3</v>
      </c>
      <c r="G401" s="153">
        <f>Ведомственная!G970</f>
        <v>451.3</v>
      </c>
      <c r="I401" s="154">
        <f t="shared" si="9"/>
        <v>0</v>
      </c>
      <c r="J401" s="154"/>
    </row>
    <row r="402" spans="1:10" ht="15.75">
      <c r="A402" s="101" t="s">
        <v>162</v>
      </c>
      <c r="B402" s="57" t="s">
        <v>668</v>
      </c>
      <c r="C402" s="78"/>
      <c r="D402" s="57"/>
      <c r="E402" s="57"/>
      <c r="F402" s="60">
        <f>F403</f>
        <v>78</v>
      </c>
      <c r="I402" s="154">
        <f t="shared" si="9"/>
        <v>-78</v>
      </c>
      <c r="J402" s="154"/>
    </row>
    <row r="403" spans="1:10" ht="31.5">
      <c r="A403" s="77" t="s">
        <v>56</v>
      </c>
      <c r="B403" s="57" t="s">
        <v>668</v>
      </c>
      <c r="C403" s="78" t="s">
        <v>101</v>
      </c>
      <c r="D403" s="57" t="s">
        <v>19</v>
      </c>
      <c r="E403" s="57" t="s">
        <v>17</v>
      </c>
      <c r="F403" s="60">
        <v>78</v>
      </c>
      <c r="G403" s="153">
        <f>Ведомственная!G972</f>
        <v>78</v>
      </c>
      <c r="I403" s="154">
        <f t="shared" si="9"/>
        <v>0</v>
      </c>
      <c r="J403" s="154"/>
    </row>
    <row r="404" spans="1:10" ht="15.75">
      <c r="A404" s="77" t="s">
        <v>166</v>
      </c>
      <c r="B404" s="57" t="s">
        <v>173</v>
      </c>
      <c r="C404" s="78"/>
      <c r="D404" s="57"/>
      <c r="E404" s="57"/>
      <c r="F404" s="60">
        <f>F405+F408+F418+F413</f>
        <v>2514.4999999999995</v>
      </c>
      <c r="I404" s="154">
        <f t="shared" si="9"/>
        <v>-2514.4999999999995</v>
      </c>
      <c r="J404" s="154"/>
    </row>
    <row r="405" spans="1:10" ht="31.5">
      <c r="A405" s="77" t="s">
        <v>174</v>
      </c>
      <c r="B405" s="57" t="s">
        <v>175</v>
      </c>
      <c r="C405" s="78"/>
      <c r="D405" s="57"/>
      <c r="E405" s="57"/>
      <c r="F405" s="60">
        <f>F406</f>
        <v>1420.9</v>
      </c>
      <c r="I405" s="154">
        <f t="shared" si="9"/>
        <v>-1420.9</v>
      </c>
      <c r="J405" s="154"/>
    </row>
    <row r="406" spans="1:10" ht="15.75">
      <c r="A406" s="77" t="s">
        <v>141</v>
      </c>
      <c r="B406" s="57" t="s">
        <v>669</v>
      </c>
      <c r="C406" s="78"/>
      <c r="D406" s="57"/>
      <c r="E406" s="57"/>
      <c r="F406" s="60">
        <f>F407</f>
        <v>1420.9</v>
      </c>
      <c r="I406" s="154">
        <f t="shared" si="9"/>
        <v>-1420.9</v>
      </c>
      <c r="J406" s="154"/>
    </row>
    <row r="407" spans="1:10" ht="31.5">
      <c r="A407" s="77" t="s">
        <v>134</v>
      </c>
      <c r="B407" s="57" t="s">
        <v>669</v>
      </c>
      <c r="C407" s="78" t="s">
        <v>135</v>
      </c>
      <c r="D407" s="57" t="s">
        <v>19</v>
      </c>
      <c r="E407" s="57" t="s">
        <v>17</v>
      </c>
      <c r="F407" s="60">
        <v>1420.9</v>
      </c>
      <c r="G407" s="153">
        <f>Ведомственная!G976</f>
        <v>1420.9</v>
      </c>
      <c r="I407" s="154">
        <f t="shared" si="9"/>
        <v>0</v>
      </c>
      <c r="J407" s="154"/>
    </row>
    <row r="408" spans="1:10" ht="31.5">
      <c r="A408" s="77" t="s">
        <v>670</v>
      </c>
      <c r="B408" s="57" t="s">
        <v>671</v>
      </c>
      <c r="C408" s="78"/>
      <c r="D408" s="57"/>
      <c r="E408" s="57"/>
      <c r="F408" s="60">
        <f>F409+F411</f>
        <v>971.3</v>
      </c>
      <c r="I408" s="154">
        <f t="shared" si="9"/>
        <v>-971.3</v>
      </c>
      <c r="J408" s="154"/>
    </row>
    <row r="409" spans="1:10" ht="15.75">
      <c r="A409" s="79" t="s">
        <v>132</v>
      </c>
      <c r="B409" s="57" t="s">
        <v>672</v>
      </c>
      <c r="C409" s="78"/>
      <c r="D409" s="57"/>
      <c r="E409" s="57"/>
      <c r="F409" s="60">
        <f>F410</f>
        <v>946.3</v>
      </c>
      <c r="I409" s="154">
        <f t="shared" si="9"/>
        <v>-946.3</v>
      </c>
      <c r="J409" s="154"/>
    </row>
    <row r="410" spans="1:10" ht="31.5">
      <c r="A410" s="77" t="s">
        <v>134</v>
      </c>
      <c r="B410" s="57" t="s">
        <v>672</v>
      </c>
      <c r="C410" s="78" t="s">
        <v>135</v>
      </c>
      <c r="D410" s="57" t="s">
        <v>19</v>
      </c>
      <c r="E410" s="57" t="s">
        <v>17</v>
      </c>
      <c r="F410" s="60">
        <v>946.3</v>
      </c>
      <c r="G410" s="153">
        <f>Ведомственная!G979</f>
        <v>946.3</v>
      </c>
      <c r="I410" s="154">
        <f t="shared" si="9"/>
        <v>0</v>
      </c>
      <c r="J410" s="154"/>
    </row>
    <row r="411" spans="1:10" ht="15.75">
      <c r="A411" s="51" t="s">
        <v>141</v>
      </c>
      <c r="B411" s="80" t="s">
        <v>701</v>
      </c>
      <c r="C411" s="75"/>
      <c r="D411" s="57"/>
      <c r="E411" s="57"/>
      <c r="F411" s="64">
        <f>F412</f>
        <v>25</v>
      </c>
      <c r="I411" s="154">
        <f t="shared" si="9"/>
        <v>-25</v>
      </c>
      <c r="J411" s="154"/>
    </row>
    <row r="412" spans="1:10" ht="31.5">
      <c r="A412" s="51" t="s">
        <v>134</v>
      </c>
      <c r="B412" s="80" t="s">
        <v>701</v>
      </c>
      <c r="C412" s="75" t="s">
        <v>135</v>
      </c>
      <c r="D412" s="57" t="s">
        <v>19</v>
      </c>
      <c r="E412" s="57" t="s">
        <v>17</v>
      </c>
      <c r="F412" s="64">
        <v>25</v>
      </c>
      <c r="G412" s="153">
        <f>Ведомственная!G981</f>
        <v>25</v>
      </c>
      <c r="I412" s="154">
        <f t="shared" si="9"/>
        <v>0</v>
      </c>
      <c r="J412" s="154"/>
    </row>
    <row r="413" spans="1:10" ht="31.5">
      <c r="A413" s="51" t="s">
        <v>335</v>
      </c>
      <c r="B413" s="80" t="s">
        <v>702</v>
      </c>
      <c r="C413" s="75"/>
      <c r="D413" s="57"/>
      <c r="E413" s="57"/>
      <c r="F413" s="64">
        <f>F414+F416</f>
        <v>28.2</v>
      </c>
      <c r="I413" s="154">
        <f t="shared" si="9"/>
        <v>-28.2</v>
      </c>
      <c r="J413" s="154"/>
    </row>
    <row r="414" spans="1:10" ht="15.75">
      <c r="A414" s="81" t="s">
        <v>132</v>
      </c>
      <c r="B414" s="80" t="s">
        <v>703</v>
      </c>
      <c r="C414" s="75"/>
      <c r="D414" s="57"/>
      <c r="E414" s="57"/>
      <c r="F414" s="64">
        <f>F415</f>
        <v>14</v>
      </c>
      <c r="I414" s="154">
        <f t="shared" si="9"/>
        <v>-14</v>
      </c>
      <c r="J414" s="154"/>
    </row>
    <row r="415" spans="1:10" ht="31.5">
      <c r="A415" s="51" t="s">
        <v>134</v>
      </c>
      <c r="B415" s="80" t="s">
        <v>703</v>
      </c>
      <c r="C415" s="75" t="s">
        <v>135</v>
      </c>
      <c r="D415" s="57" t="s">
        <v>19</v>
      </c>
      <c r="E415" s="57" t="s">
        <v>17</v>
      </c>
      <c r="F415" s="64">
        <v>14</v>
      </c>
      <c r="G415" s="153">
        <f>Ведомственная!G984</f>
        <v>14</v>
      </c>
      <c r="I415" s="154">
        <f t="shared" si="9"/>
        <v>0</v>
      </c>
      <c r="J415" s="154"/>
    </row>
    <row r="416" spans="1:10" ht="15.75">
      <c r="A416" s="51" t="s">
        <v>141</v>
      </c>
      <c r="B416" s="80" t="s">
        <v>704</v>
      </c>
      <c r="C416" s="75"/>
      <c r="D416" s="57"/>
      <c r="E416" s="57"/>
      <c r="F416" s="64">
        <f>F417</f>
        <v>14.2</v>
      </c>
      <c r="I416" s="154">
        <f t="shared" si="9"/>
        <v>-14.2</v>
      </c>
      <c r="J416" s="154"/>
    </row>
    <row r="417" spans="1:10" ht="31.5">
      <c r="A417" s="51" t="s">
        <v>134</v>
      </c>
      <c r="B417" s="80" t="s">
        <v>704</v>
      </c>
      <c r="C417" s="75" t="s">
        <v>135</v>
      </c>
      <c r="D417" s="57" t="s">
        <v>19</v>
      </c>
      <c r="E417" s="57" t="s">
        <v>17</v>
      </c>
      <c r="F417" s="64">
        <v>14.2</v>
      </c>
      <c r="G417" s="153">
        <f>Ведомственная!G986</f>
        <v>14.2</v>
      </c>
      <c r="I417" s="154">
        <f t="shared" si="9"/>
        <v>0</v>
      </c>
      <c r="J417" s="154"/>
    </row>
    <row r="418" spans="1:10" ht="31.5">
      <c r="A418" s="77" t="s">
        <v>460</v>
      </c>
      <c r="B418" s="57" t="s">
        <v>673</v>
      </c>
      <c r="C418" s="78"/>
      <c r="D418" s="57"/>
      <c r="E418" s="57"/>
      <c r="F418" s="60">
        <f>F419+F421</f>
        <v>94.1</v>
      </c>
      <c r="I418" s="154">
        <f t="shared" si="9"/>
        <v>-94.1</v>
      </c>
      <c r="J418" s="154"/>
    </row>
    <row r="419" spans="1:10" ht="15.75">
      <c r="A419" s="79" t="s">
        <v>132</v>
      </c>
      <c r="B419" s="57" t="s">
        <v>674</v>
      </c>
      <c r="C419" s="78"/>
      <c r="D419" s="57"/>
      <c r="E419" s="57"/>
      <c r="F419" s="60">
        <f>F420</f>
        <v>75.6</v>
      </c>
      <c r="I419" s="154">
        <f aca="true" t="shared" si="11" ref="I419:I482">G419-F419</f>
        <v>-75.6</v>
      </c>
      <c r="J419" s="154"/>
    </row>
    <row r="420" spans="1:10" ht="31.5">
      <c r="A420" s="77" t="s">
        <v>134</v>
      </c>
      <c r="B420" s="57" t="s">
        <v>674</v>
      </c>
      <c r="C420" s="78" t="s">
        <v>135</v>
      </c>
      <c r="D420" s="57" t="s">
        <v>19</v>
      </c>
      <c r="E420" s="57" t="s">
        <v>17</v>
      </c>
      <c r="F420" s="60">
        <v>75.6</v>
      </c>
      <c r="G420" s="153">
        <f>Ведомственная!G989</f>
        <v>75.6</v>
      </c>
      <c r="I420" s="154">
        <f t="shared" si="11"/>
        <v>0</v>
      </c>
      <c r="J420" s="154"/>
    </row>
    <row r="421" spans="1:10" ht="15.75">
      <c r="A421" s="77" t="s">
        <v>154</v>
      </c>
      <c r="B421" s="57" t="s">
        <v>675</v>
      </c>
      <c r="C421" s="78"/>
      <c r="D421" s="57"/>
      <c r="E421" s="57"/>
      <c r="F421" s="60">
        <f>F422</f>
        <v>18.5</v>
      </c>
      <c r="I421" s="154">
        <f t="shared" si="11"/>
        <v>-18.5</v>
      </c>
      <c r="J421" s="154"/>
    </row>
    <row r="422" spans="1:10" ht="31.5">
      <c r="A422" s="77" t="s">
        <v>134</v>
      </c>
      <c r="B422" s="57" t="s">
        <v>675</v>
      </c>
      <c r="C422" s="78" t="s">
        <v>135</v>
      </c>
      <c r="D422" s="57" t="s">
        <v>19</v>
      </c>
      <c r="E422" s="57" t="s">
        <v>17</v>
      </c>
      <c r="F422" s="60">
        <v>18.5</v>
      </c>
      <c r="G422" s="153">
        <f>Ведомственная!G991</f>
        <v>18.5</v>
      </c>
      <c r="I422" s="154">
        <f t="shared" si="11"/>
        <v>0</v>
      </c>
      <c r="J422" s="154"/>
    </row>
    <row r="423" spans="1:10" ht="31.5">
      <c r="A423" s="101" t="s">
        <v>159</v>
      </c>
      <c r="B423" s="57" t="s">
        <v>160</v>
      </c>
      <c r="C423" s="57"/>
      <c r="D423" s="57"/>
      <c r="E423" s="57"/>
      <c r="F423" s="60">
        <f>F424</f>
        <v>7526.3</v>
      </c>
      <c r="I423" s="154">
        <f t="shared" si="11"/>
        <v>-7526.3</v>
      </c>
      <c r="J423" s="154">
        <f t="shared" si="10"/>
        <v>-7526.3</v>
      </c>
    </row>
    <row r="424" spans="1:10" ht="31.5">
      <c r="A424" s="77" t="s">
        <v>49</v>
      </c>
      <c r="B424" s="57" t="s">
        <v>161</v>
      </c>
      <c r="C424" s="57"/>
      <c r="D424" s="57"/>
      <c r="E424" s="57"/>
      <c r="F424" s="60">
        <f>F425</f>
        <v>7526.3</v>
      </c>
      <c r="I424" s="154">
        <f t="shared" si="11"/>
        <v>-7526.3</v>
      </c>
      <c r="J424" s="154">
        <f t="shared" si="10"/>
        <v>-7526.3</v>
      </c>
    </row>
    <row r="425" spans="1:10" ht="15.75">
      <c r="A425" s="101" t="s">
        <v>162</v>
      </c>
      <c r="B425" s="57" t="s">
        <v>163</v>
      </c>
      <c r="C425" s="57"/>
      <c r="D425" s="57"/>
      <c r="E425" s="57"/>
      <c r="F425" s="60">
        <f>F426+F427+F428</f>
        <v>7526.3</v>
      </c>
      <c r="I425" s="154">
        <f t="shared" si="11"/>
        <v>-7526.3</v>
      </c>
      <c r="J425" s="154">
        <f t="shared" si="10"/>
        <v>-7526.3</v>
      </c>
    </row>
    <row r="426" spans="1:10" ht="63">
      <c r="A426" s="77" t="s">
        <v>145</v>
      </c>
      <c r="B426" s="57" t="s">
        <v>163</v>
      </c>
      <c r="C426" s="57" t="s">
        <v>99</v>
      </c>
      <c r="D426" s="57" t="s">
        <v>19</v>
      </c>
      <c r="E426" s="57" t="s">
        <v>17</v>
      </c>
      <c r="F426" s="60">
        <v>6861.3</v>
      </c>
      <c r="G426" s="153">
        <f>Ведомственная!G995</f>
        <v>6861.3</v>
      </c>
      <c r="I426" s="154">
        <f t="shared" si="11"/>
        <v>0</v>
      </c>
      <c r="J426" s="154">
        <f t="shared" si="10"/>
        <v>-6861.3</v>
      </c>
    </row>
    <row r="427" spans="1:10" ht="31.5">
      <c r="A427" s="77" t="s">
        <v>56</v>
      </c>
      <c r="B427" s="57" t="s">
        <v>163</v>
      </c>
      <c r="C427" s="57" t="s">
        <v>101</v>
      </c>
      <c r="D427" s="57" t="s">
        <v>19</v>
      </c>
      <c r="E427" s="57" t="s">
        <v>17</v>
      </c>
      <c r="F427" s="60">
        <v>660.9</v>
      </c>
      <c r="G427" s="153">
        <f>Ведомственная!G996</f>
        <v>660.9</v>
      </c>
      <c r="I427" s="154">
        <f t="shared" si="11"/>
        <v>0</v>
      </c>
      <c r="J427" s="154">
        <f t="shared" si="10"/>
        <v>-660.9</v>
      </c>
    </row>
    <row r="428" spans="1:10" ht="15.75">
      <c r="A428" s="77" t="s">
        <v>26</v>
      </c>
      <c r="B428" s="57" t="s">
        <v>163</v>
      </c>
      <c r="C428" s="57" t="s">
        <v>106</v>
      </c>
      <c r="D428" s="57" t="s">
        <v>19</v>
      </c>
      <c r="E428" s="57" t="s">
        <v>17</v>
      </c>
      <c r="F428" s="60">
        <v>4.1</v>
      </c>
      <c r="G428" s="153">
        <f>Ведомственная!G997</f>
        <v>4.1</v>
      </c>
      <c r="I428" s="154">
        <f t="shared" si="11"/>
        <v>0</v>
      </c>
      <c r="J428" s="154">
        <f t="shared" si="10"/>
        <v>-4.1</v>
      </c>
    </row>
    <row r="429" spans="1:10" ht="31.5">
      <c r="A429" s="77" t="s">
        <v>444</v>
      </c>
      <c r="B429" s="82" t="s">
        <v>445</v>
      </c>
      <c r="C429" s="57"/>
      <c r="D429" s="57"/>
      <c r="E429" s="57"/>
      <c r="F429" s="60">
        <f>SUM(F430+F475+F483+F499+F512+F524+F532)</f>
        <v>592444.3</v>
      </c>
      <c r="H429" s="155">
        <f>SUM(G431:G540)</f>
        <v>592444.3</v>
      </c>
      <c r="I429" s="154">
        <f t="shared" si="11"/>
        <v>-592444.3</v>
      </c>
      <c r="J429" s="154">
        <f t="shared" si="10"/>
        <v>0</v>
      </c>
    </row>
    <row r="430" spans="1:10" ht="15.75">
      <c r="A430" s="77" t="s">
        <v>39</v>
      </c>
      <c r="B430" s="83" t="s">
        <v>446</v>
      </c>
      <c r="C430" s="57"/>
      <c r="D430" s="57"/>
      <c r="E430" s="57"/>
      <c r="F430" s="60">
        <f>SUM(F431+F439+F446+F457+F459+F463+F466+F468+F470+F473)+F434+F441+F451+F449+F453+F455</f>
        <v>27055.500000000004</v>
      </c>
      <c r="I430" s="154">
        <f t="shared" si="11"/>
        <v>-27055.500000000004</v>
      </c>
      <c r="J430" s="154">
        <f t="shared" si="10"/>
        <v>-27055.500000000004</v>
      </c>
    </row>
    <row r="431" spans="1:10" ht="15.75">
      <c r="A431" s="100" t="s">
        <v>496</v>
      </c>
      <c r="B431" s="57" t="s">
        <v>497</v>
      </c>
      <c r="C431" s="76"/>
      <c r="D431" s="76"/>
      <c r="E431" s="76"/>
      <c r="F431" s="58">
        <f>SUM(F432:F433)</f>
        <v>3043.8</v>
      </c>
      <c r="I431" s="154">
        <f t="shared" si="11"/>
        <v>-3043.8</v>
      </c>
      <c r="J431" s="154">
        <f t="shared" si="10"/>
        <v>-3043.8</v>
      </c>
    </row>
    <row r="432" spans="1:10" ht="31.5">
      <c r="A432" s="77" t="s">
        <v>56</v>
      </c>
      <c r="B432" s="83" t="s">
        <v>497</v>
      </c>
      <c r="C432" s="76" t="s">
        <v>101</v>
      </c>
      <c r="D432" s="76" t="s">
        <v>125</v>
      </c>
      <c r="E432" s="76" t="s">
        <v>125</v>
      </c>
      <c r="F432" s="58">
        <v>1114.6</v>
      </c>
      <c r="G432" s="153">
        <f>SUM(Ведомственная!G838)</f>
        <v>1114.6</v>
      </c>
      <c r="I432" s="154">
        <f t="shared" si="11"/>
        <v>0</v>
      </c>
      <c r="J432" s="154">
        <f t="shared" si="10"/>
        <v>-1114.6</v>
      </c>
    </row>
    <row r="433" spans="1:10" ht="31.5">
      <c r="A433" s="77" t="s">
        <v>76</v>
      </c>
      <c r="B433" s="83" t="s">
        <v>497</v>
      </c>
      <c r="C433" s="76" t="s">
        <v>101</v>
      </c>
      <c r="D433" s="76" t="s">
        <v>125</v>
      </c>
      <c r="E433" s="76" t="s">
        <v>125</v>
      </c>
      <c r="F433" s="58">
        <v>1929.2</v>
      </c>
      <c r="G433" s="153">
        <f>SUM(Ведомственная!G839)</f>
        <v>1929.2</v>
      </c>
      <c r="I433" s="154">
        <f t="shared" si="11"/>
        <v>0</v>
      </c>
      <c r="J433" s="154"/>
    </row>
    <row r="434" spans="1:10" ht="15.75">
      <c r="A434" s="77" t="s">
        <v>453</v>
      </c>
      <c r="B434" s="59" t="s">
        <v>622</v>
      </c>
      <c r="C434" s="57"/>
      <c r="D434" s="57"/>
      <c r="E434" s="57"/>
      <c r="F434" s="60">
        <f>SUM(F435:F438)</f>
        <v>3765.9</v>
      </c>
      <c r="I434" s="154">
        <f t="shared" si="11"/>
        <v>-3765.9</v>
      </c>
      <c r="J434" s="154"/>
    </row>
    <row r="435" spans="1:10" ht="63" hidden="1">
      <c r="A435" s="77" t="s">
        <v>145</v>
      </c>
      <c r="B435" s="59" t="s">
        <v>622</v>
      </c>
      <c r="C435" s="57" t="s">
        <v>99</v>
      </c>
      <c r="D435" s="57" t="s">
        <v>125</v>
      </c>
      <c r="E435" s="57" t="s">
        <v>38</v>
      </c>
      <c r="F435" s="60"/>
      <c r="G435" s="153">
        <f>SUM(Ведомственная!G715)</f>
        <v>0</v>
      </c>
      <c r="I435" s="154">
        <f t="shared" si="11"/>
        <v>0</v>
      </c>
      <c r="J435" s="154"/>
    </row>
    <row r="436" spans="1:10" ht="31.5">
      <c r="A436" s="77" t="s">
        <v>56</v>
      </c>
      <c r="B436" s="59" t="s">
        <v>622</v>
      </c>
      <c r="C436" s="57" t="s">
        <v>101</v>
      </c>
      <c r="D436" s="57" t="s">
        <v>125</v>
      </c>
      <c r="E436" s="57" t="s">
        <v>38</v>
      </c>
      <c r="F436" s="60">
        <v>342.1</v>
      </c>
      <c r="G436" s="153">
        <f>SUM(Ведомственная!G716)</f>
        <v>342.1</v>
      </c>
      <c r="I436" s="154">
        <f t="shared" si="11"/>
        <v>0</v>
      </c>
      <c r="J436" s="154">
        <f t="shared" si="10"/>
        <v>-342.1</v>
      </c>
    </row>
    <row r="437" spans="1:10" ht="15.75">
      <c r="A437" s="51" t="s">
        <v>46</v>
      </c>
      <c r="B437" s="59" t="s">
        <v>622</v>
      </c>
      <c r="C437" s="57" t="s">
        <v>109</v>
      </c>
      <c r="D437" s="57" t="s">
        <v>125</v>
      </c>
      <c r="E437" s="57" t="s">
        <v>38</v>
      </c>
      <c r="F437" s="60">
        <v>6</v>
      </c>
      <c r="G437" s="153">
        <f>SUM(Ведомственная!G717)</f>
        <v>6</v>
      </c>
      <c r="I437" s="154">
        <f t="shared" si="11"/>
        <v>0</v>
      </c>
      <c r="J437" s="154"/>
    </row>
    <row r="438" spans="1:10" ht="44.25" customHeight="1">
      <c r="A438" s="77" t="s">
        <v>76</v>
      </c>
      <c r="B438" s="59" t="s">
        <v>622</v>
      </c>
      <c r="C438" s="57" t="s">
        <v>135</v>
      </c>
      <c r="D438" s="57" t="s">
        <v>125</v>
      </c>
      <c r="E438" s="57" t="s">
        <v>38</v>
      </c>
      <c r="F438" s="60">
        <v>3417.8</v>
      </c>
      <c r="G438" s="153">
        <f>SUM(Ведомственная!G718)</f>
        <v>3417.8</v>
      </c>
      <c r="I438" s="154">
        <f t="shared" si="11"/>
        <v>0</v>
      </c>
      <c r="J438" s="154">
        <f t="shared" si="10"/>
        <v>-3417.8</v>
      </c>
    </row>
    <row r="439" spans="1:10" ht="31.5" hidden="1">
      <c r="A439" s="77" t="s">
        <v>447</v>
      </c>
      <c r="B439" s="82" t="s">
        <v>448</v>
      </c>
      <c r="C439" s="57"/>
      <c r="D439" s="57"/>
      <c r="E439" s="57"/>
      <c r="F439" s="60">
        <f>F440</f>
        <v>0</v>
      </c>
      <c r="I439" s="154">
        <f t="shared" si="11"/>
        <v>0</v>
      </c>
      <c r="J439" s="154">
        <f t="shared" si="10"/>
        <v>0</v>
      </c>
    </row>
    <row r="440" spans="1:10" ht="15.75" hidden="1">
      <c r="A440" s="77" t="s">
        <v>46</v>
      </c>
      <c r="B440" s="82" t="s">
        <v>448</v>
      </c>
      <c r="C440" s="57" t="s">
        <v>109</v>
      </c>
      <c r="D440" s="57"/>
      <c r="E440" s="57"/>
      <c r="F440" s="60">
        <v>0</v>
      </c>
      <c r="G440" s="153">
        <f>SUM(Ведомственная!G720)</f>
        <v>0</v>
      </c>
      <c r="I440" s="154">
        <f t="shared" si="11"/>
        <v>0</v>
      </c>
      <c r="J440" s="154">
        <f t="shared" si="10"/>
        <v>0</v>
      </c>
    </row>
    <row r="441" spans="1:10" ht="15.75">
      <c r="A441" s="77" t="s">
        <v>477</v>
      </c>
      <c r="B441" s="59" t="s">
        <v>629</v>
      </c>
      <c r="C441" s="83"/>
      <c r="D441" s="57"/>
      <c r="E441" s="57"/>
      <c r="F441" s="60">
        <f>SUM(F442:F445)</f>
        <v>1148.4</v>
      </c>
      <c r="I441" s="154">
        <f t="shared" si="11"/>
        <v>-1148.4</v>
      </c>
      <c r="J441" s="154">
        <f t="shared" si="10"/>
        <v>-1148.4</v>
      </c>
    </row>
    <row r="442" spans="1:10" ht="63" hidden="1">
      <c r="A442" s="77" t="s">
        <v>145</v>
      </c>
      <c r="B442" s="59" t="s">
        <v>629</v>
      </c>
      <c r="C442" s="83">
        <v>100</v>
      </c>
      <c r="D442" s="57" t="s">
        <v>125</v>
      </c>
      <c r="E442" s="57" t="s">
        <v>48</v>
      </c>
      <c r="F442" s="60">
        <v>0</v>
      </c>
      <c r="G442" s="153">
        <f>SUM(Ведомственная!G766)</f>
        <v>0</v>
      </c>
      <c r="I442" s="154">
        <f t="shared" si="11"/>
        <v>0</v>
      </c>
      <c r="J442" s="154"/>
    </row>
    <row r="443" spans="1:10" ht="31.5">
      <c r="A443" s="77" t="s">
        <v>56</v>
      </c>
      <c r="B443" s="59" t="s">
        <v>629</v>
      </c>
      <c r="C443" s="83">
        <v>200</v>
      </c>
      <c r="D443" s="57" t="s">
        <v>125</v>
      </c>
      <c r="E443" s="57" t="s">
        <v>48</v>
      </c>
      <c r="F443" s="60">
        <v>714.7</v>
      </c>
      <c r="G443" s="153">
        <f>SUM(Ведомственная!G767)</f>
        <v>714.7</v>
      </c>
      <c r="I443" s="154">
        <f t="shared" si="11"/>
        <v>0</v>
      </c>
      <c r="J443" s="154">
        <f t="shared" si="10"/>
        <v>-714.7</v>
      </c>
    </row>
    <row r="444" spans="1:10" ht="15.75">
      <c r="A444" s="51" t="s">
        <v>46</v>
      </c>
      <c r="B444" s="59" t="s">
        <v>629</v>
      </c>
      <c r="C444" s="83">
        <v>300</v>
      </c>
      <c r="D444" s="57" t="s">
        <v>125</v>
      </c>
      <c r="E444" s="57" t="s">
        <v>48</v>
      </c>
      <c r="F444" s="60">
        <v>50.8</v>
      </c>
      <c r="G444" s="153">
        <f>SUM(Ведомственная!G768)</f>
        <v>50.8</v>
      </c>
      <c r="I444" s="154">
        <f t="shared" si="11"/>
        <v>0</v>
      </c>
      <c r="J444" s="154"/>
    </row>
    <row r="445" spans="1:10" ht="31.5">
      <c r="A445" s="77" t="s">
        <v>76</v>
      </c>
      <c r="B445" s="59" t="s">
        <v>629</v>
      </c>
      <c r="C445" s="83">
        <v>600</v>
      </c>
      <c r="D445" s="57" t="s">
        <v>125</v>
      </c>
      <c r="E445" s="57" t="s">
        <v>48</v>
      </c>
      <c r="F445" s="60">
        <v>382.9</v>
      </c>
      <c r="G445" s="153">
        <f>SUM(Ведомственная!G769)</f>
        <v>382.9</v>
      </c>
      <c r="I445" s="154">
        <f t="shared" si="11"/>
        <v>0</v>
      </c>
      <c r="J445" s="154">
        <f t="shared" si="10"/>
        <v>-382.9</v>
      </c>
    </row>
    <row r="446" spans="1:10" ht="47.25" hidden="1">
      <c r="A446" s="77" t="s">
        <v>467</v>
      </c>
      <c r="B446" s="83" t="s">
        <v>468</v>
      </c>
      <c r="C446" s="83"/>
      <c r="D446" s="57"/>
      <c r="E446" s="57"/>
      <c r="F446" s="60">
        <f>F447+F448</f>
        <v>0</v>
      </c>
      <c r="I446" s="154">
        <f t="shared" si="11"/>
        <v>0</v>
      </c>
      <c r="J446" s="154">
        <f t="shared" si="10"/>
        <v>0</v>
      </c>
    </row>
    <row r="447" spans="1:10" ht="31.5" hidden="1">
      <c r="A447" s="77" t="s">
        <v>56</v>
      </c>
      <c r="B447" s="83" t="s">
        <v>468</v>
      </c>
      <c r="C447" s="83">
        <v>200</v>
      </c>
      <c r="D447" s="57" t="s">
        <v>125</v>
      </c>
      <c r="E447" s="57" t="s">
        <v>48</v>
      </c>
      <c r="F447" s="60">
        <v>0</v>
      </c>
      <c r="G447" s="153">
        <f>SUM(Ведомственная!G771)</f>
        <v>0</v>
      </c>
      <c r="I447" s="154">
        <f t="shared" si="11"/>
        <v>0</v>
      </c>
      <c r="J447" s="154">
        <f t="shared" si="10"/>
        <v>0</v>
      </c>
    </row>
    <row r="448" spans="1:10" ht="31.5" hidden="1">
      <c r="A448" s="77" t="s">
        <v>76</v>
      </c>
      <c r="B448" s="83" t="s">
        <v>468</v>
      </c>
      <c r="C448" s="83">
        <v>600</v>
      </c>
      <c r="D448" s="57" t="s">
        <v>125</v>
      </c>
      <c r="E448" s="57" t="s">
        <v>48</v>
      </c>
      <c r="F448" s="60">
        <v>0</v>
      </c>
      <c r="G448" s="153">
        <f>SUM(Ведомственная!G772)</f>
        <v>0</v>
      </c>
      <c r="I448" s="154">
        <f t="shared" si="11"/>
        <v>0</v>
      </c>
      <c r="J448" s="154">
        <f t="shared" si="10"/>
        <v>0</v>
      </c>
    </row>
    <row r="449" spans="1:10" ht="15.75">
      <c r="A449" s="77" t="s">
        <v>486</v>
      </c>
      <c r="B449" s="84" t="s">
        <v>631</v>
      </c>
      <c r="C449" s="57"/>
      <c r="D449" s="57"/>
      <c r="E449" s="57"/>
      <c r="F449" s="60">
        <f>F450</f>
        <v>10</v>
      </c>
      <c r="I449" s="154">
        <f t="shared" si="11"/>
        <v>-10</v>
      </c>
      <c r="J449" s="154">
        <f t="shared" si="10"/>
        <v>-10</v>
      </c>
    </row>
    <row r="450" spans="1:10" ht="31.5">
      <c r="A450" s="77" t="s">
        <v>76</v>
      </c>
      <c r="B450" s="84" t="s">
        <v>631</v>
      </c>
      <c r="C450" s="57" t="s">
        <v>135</v>
      </c>
      <c r="D450" s="57" t="s">
        <v>125</v>
      </c>
      <c r="E450" s="57" t="s">
        <v>58</v>
      </c>
      <c r="F450" s="60">
        <v>10</v>
      </c>
      <c r="G450" s="153">
        <f>SUM(Ведомственная!G815)</f>
        <v>10</v>
      </c>
      <c r="I450" s="154">
        <f t="shared" si="11"/>
        <v>0</v>
      </c>
      <c r="J450" s="154">
        <f t="shared" si="10"/>
        <v>-10</v>
      </c>
    </row>
    <row r="451" spans="1:10" ht="15.75">
      <c r="A451" s="77" t="s">
        <v>484</v>
      </c>
      <c r="B451" s="59" t="s">
        <v>630</v>
      </c>
      <c r="C451" s="83"/>
      <c r="D451" s="57"/>
      <c r="E451" s="57"/>
      <c r="F451" s="60">
        <f>F452</f>
        <v>18</v>
      </c>
      <c r="I451" s="154">
        <f t="shared" si="11"/>
        <v>-18</v>
      </c>
      <c r="J451" s="154">
        <f t="shared" si="10"/>
        <v>-18</v>
      </c>
    </row>
    <row r="452" spans="1:10" ht="31.5">
      <c r="A452" s="77" t="s">
        <v>56</v>
      </c>
      <c r="B452" s="59" t="s">
        <v>630</v>
      </c>
      <c r="C452" s="83">
        <v>200</v>
      </c>
      <c r="D452" s="57" t="s">
        <v>125</v>
      </c>
      <c r="E452" s="57" t="s">
        <v>48</v>
      </c>
      <c r="F452" s="60">
        <v>18</v>
      </c>
      <c r="G452" s="153">
        <f>SUM(Ведомственная!G774)</f>
        <v>18</v>
      </c>
      <c r="I452" s="154">
        <f t="shared" si="11"/>
        <v>0</v>
      </c>
      <c r="J452" s="154">
        <f t="shared" si="10"/>
        <v>-18</v>
      </c>
    </row>
    <row r="453" spans="1:10" ht="15.75">
      <c r="A453" s="51" t="s">
        <v>636</v>
      </c>
      <c r="B453" s="85" t="s">
        <v>643</v>
      </c>
      <c r="C453" s="80"/>
      <c r="D453" s="80"/>
      <c r="E453" s="80"/>
      <c r="F453" s="64">
        <f>F454</f>
        <v>195</v>
      </c>
      <c r="I453" s="154">
        <f t="shared" si="11"/>
        <v>-195</v>
      </c>
      <c r="J453" s="154">
        <f t="shared" si="10"/>
        <v>-195</v>
      </c>
    </row>
    <row r="454" spans="1:10" ht="31.5">
      <c r="A454" s="51" t="s">
        <v>56</v>
      </c>
      <c r="B454" s="85" t="s">
        <v>643</v>
      </c>
      <c r="C454" s="80" t="s">
        <v>101</v>
      </c>
      <c r="D454" s="80" t="s">
        <v>125</v>
      </c>
      <c r="E454" s="80" t="s">
        <v>192</v>
      </c>
      <c r="F454" s="64">
        <v>195</v>
      </c>
      <c r="G454" s="153">
        <f>SUM(Ведомственная!G868)</f>
        <v>195</v>
      </c>
      <c r="I454" s="154">
        <f t="shared" si="11"/>
        <v>0</v>
      </c>
      <c r="J454" s="154">
        <f t="shared" si="10"/>
        <v>-195</v>
      </c>
    </row>
    <row r="455" spans="1:10" ht="47.25">
      <c r="A455" s="51" t="s">
        <v>656</v>
      </c>
      <c r="B455" s="85" t="s">
        <v>657</v>
      </c>
      <c r="C455" s="86"/>
      <c r="D455" s="80"/>
      <c r="E455" s="80"/>
      <c r="F455" s="64">
        <f>F456</f>
        <v>250</v>
      </c>
      <c r="I455" s="154">
        <f t="shared" si="11"/>
        <v>-250</v>
      </c>
      <c r="J455" s="154">
        <f t="shared" si="10"/>
        <v>-250</v>
      </c>
    </row>
    <row r="456" spans="1:10" ht="31.5">
      <c r="A456" s="51" t="s">
        <v>76</v>
      </c>
      <c r="B456" s="85" t="s">
        <v>657</v>
      </c>
      <c r="C456" s="86">
        <v>600</v>
      </c>
      <c r="D456" s="57" t="s">
        <v>125</v>
      </c>
      <c r="E456" s="57" t="s">
        <v>48</v>
      </c>
      <c r="F456" s="64">
        <v>250</v>
      </c>
      <c r="G456" s="153">
        <f>Ведомственная!G776</f>
        <v>250</v>
      </c>
      <c r="I456" s="154">
        <f t="shared" si="11"/>
        <v>0</v>
      </c>
      <c r="J456" s="154">
        <f t="shared" si="10"/>
        <v>-250</v>
      </c>
    </row>
    <row r="457" spans="1:10" ht="110.25">
      <c r="A457" s="77" t="s">
        <v>449</v>
      </c>
      <c r="B457" s="83" t="s">
        <v>450</v>
      </c>
      <c r="C457" s="57"/>
      <c r="D457" s="57"/>
      <c r="E457" s="57"/>
      <c r="F457" s="60">
        <f>F458</f>
        <v>650</v>
      </c>
      <c r="I457" s="154">
        <f t="shared" si="11"/>
        <v>-650</v>
      </c>
      <c r="J457" s="154">
        <f t="shared" si="10"/>
        <v>-650</v>
      </c>
    </row>
    <row r="458" spans="1:10" ht="31.5">
      <c r="A458" s="77" t="s">
        <v>283</v>
      </c>
      <c r="B458" s="83" t="s">
        <v>450</v>
      </c>
      <c r="C458" s="57" t="s">
        <v>135</v>
      </c>
      <c r="D458" s="57" t="s">
        <v>125</v>
      </c>
      <c r="E458" s="57" t="s">
        <v>38</v>
      </c>
      <c r="F458" s="60">
        <v>650</v>
      </c>
      <c r="G458" s="153">
        <f>SUM(Ведомственная!G722)</f>
        <v>650</v>
      </c>
      <c r="I458" s="154">
        <f t="shared" si="11"/>
        <v>0</v>
      </c>
      <c r="J458" s="154">
        <f t="shared" si="10"/>
        <v>-650</v>
      </c>
    </row>
    <row r="459" spans="1:10" ht="47.25">
      <c r="A459" s="77" t="s">
        <v>498</v>
      </c>
      <c r="B459" s="82" t="s">
        <v>500</v>
      </c>
      <c r="C459" s="76"/>
      <c r="D459" s="76"/>
      <c r="E459" s="76"/>
      <c r="F459" s="58">
        <f>SUM(F460:F462)</f>
        <v>2956.2000000000003</v>
      </c>
      <c r="I459" s="154">
        <f t="shared" si="11"/>
        <v>-2956.2000000000003</v>
      </c>
      <c r="J459" s="154">
        <f t="shared" si="10"/>
        <v>-2956.2000000000003</v>
      </c>
    </row>
    <row r="460" spans="1:10" ht="31.5">
      <c r="A460" s="77" t="s">
        <v>56</v>
      </c>
      <c r="B460" s="82" t="s">
        <v>500</v>
      </c>
      <c r="C460" s="76" t="s">
        <v>101</v>
      </c>
      <c r="D460" s="76" t="s">
        <v>125</v>
      </c>
      <c r="E460" s="76" t="s">
        <v>125</v>
      </c>
      <c r="F460" s="58">
        <v>236.8</v>
      </c>
      <c r="G460" s="153">
        <f>SUM(Ведомственная!G841)</f>
        <v>236.8</v>
      </c>
      <c r="I460" s="154">
        <f t="shared" si="11"/>
        <v>0</v>
      </c>
      <c r="J460" s="154">
        <f t="shared" si="10"/>
        <v>-236.8</v>
      </c>
    </row>
    <row r="461" spans="1:10" ht="31.5">
      <c r="A461" s="77" t="s">
        <v>283</v>
      </c>
      <c r="B461" s="82" t="s">
        <v>500</v>
      </c>
      <c r="C461" s="76" t="s">
        <v>135</v>
      </c>
      <c r="D461" s="76" t="s">
        <v>125</v>
      </c>
      <c r="E461" s="76" t="s">
        <v>125</v>
      </c>
      <c r="F461" s="58">
        <v>481.6</v>
      </c>
      <c r="G461" s="153">
        <f>SUM(Ведомственная!G842)</f>
        <v>481.6</v>
      </c>
      <c r="I461" s="154">
        <f t="shared" si="11"/>
        <v>0</v>
      </c>
      <c r="J461" s="154"/>
    </row>
    <row r="462" spans="1:10" ht="15.75">
      <c r="A462" s="77" t="s">
        <v>26</v>
      </c>
      <c r="B462" s="82" t="s">
        <v>500</v>
      </c>
      <c r="C462" s="76" t="s">
        <v>106</v>
      </c>
      <c r="D462" s="76" t="s">
        <v>125</v>
      </c>
      <c r="E462" s="76" t="s">
        <v>125</v>
      </c>
      <c r="F462" s="58">
        <v>2237.8</v>
      </c>
      <c r="G462" s="153">
        <f>SUM(Ведомственная!G843)</f>
        <v>2237.8</v>
      </c>
      <c r="I462" s="154">
        <f t="shared" si="11"/>
        <v>0</v>
      </c>
      <c r="J462" s="154"/>
    </row>
    <row r="463" spans="1:10" ht="78.75">
      <c r="A463" s="77" t="s">
        <v>469</v>
      </c>
      <c r="B463" s="83" t="s">
        <v>470</v>
      </c>
      <c r="C463" s="83"/>
      <c r="D463" s="57"/>
      <c r="E463" s="57"/>
      <c r="F463" s="60">
        <f>F464+F465</f>
        <v>11788.2</v>
      </c>
      <c r="I463" s="154">
        <f t="shared" si="11"/>
        <v>-11788.2</v>
      </c>
      <c r="J463" s="154">
        <f t="shared" si="10"/>
        <v>-11788.2</v>
      </c>
    </row>
    <row r="464" spans="1:10" ht="31.5">
      <c r="A464" s="77" t="s">
        <v>56</v>
      </c>
      <c r="B464" s="83" t="s">
        <v>470</v>
      </c>
      <c r="C464" s="83">
        <v>200</v>
      </c>
      <c r="D464" s="57" t="s">
        <v>125</v>
      </c>
      <c r="E464" s="57" t="s">
        <v>48</v>
      </c>
      <c r="F464" s="60">
        <v>6216</v>
      </c>
      <c r="G464" s="153">
        <f>SUM(Ведомственная!G778)</f>
        <v>6216</v>
      </c>
      <c r="I464" s="154">
        <f t="shared" si="11"/>
        <v>0</v>
      </c>
      <c r="J464" s="154">
        <f t="shared" si="10"/>
        <v>-6216</v>
      </c>
    </row>
    <row r="465" spans="1:10" ht="31.5">
      <c r="A465" s="77" t="s">
        <v>76</v>
      </c>
      <c r="B465" s="83" t="s">
        <v>470</v>
      </c>
      <c r="C465" s="83">
        <v>600</v>
      </c>
      <c r="D465" s="57" t="s">
        <v>125</v>
      </c>
      <c r="E465" s="57" t="s">
        <v>48</v>
      </c>
      <c r="F465" s="60">
        <f>1770.5+3801.7</f>
        <v>5572.2</v>
      </c>
      <c r="G465" s="153">
        <f>SUM(Ведомственная!G779)</f>
        <v>5572.2</v>
      </c>
      <c r="I465" s="154">
        <f t="shared" si="11"/>
        <v>0</v>
      </c>
      <c r="J465" s="154">
        <f t="shared" si="10"/>
        <v>-5572.2</v>
      </c>
    </row>
    <row r="466" spans="1:10" ht="63">
      <c r="A466" s="77" t="s">
        <v>473</v>
      </c>
      <c r="B466" s="83" t="s">
        <v>474</v>
      </c>
      <c r="C466" s="83"/>
      <c r="D466" s="57"/>
      <c r="E466" s="57"/>
      <c r="F466" s="60">
        <f>F467</f>
        <v>180</v>
      </c>
      <c r="I466" s="154">
        <f t="shared" si="11"/>
        <v>-180</v>
      </c>
      <c r="J466" s="154">
        <f t="shared" si="10"/>
        <v>-180</v>
      </c>
    </row>
    <row r="467" spans="1:10" ht="31.5">
      <c r="A467" s="77" t="s">
        <v>56</v>
      </c>
      <c r="B467" s="83" t="s">
        <v>474</v>
      </c>
      <c r="C467" s="83">
        <v>200</v>
      </c>
      <c r="D467" s="57" t="s">
        <v>125</v>
      </c>
      <c r="E467" s="57" t="s">
        <v>48</v>
      </c>
      <c r="F467" s="60">
        <v>180</v>
      </c>
      <c r="G467" s="153">
        <f>SUM(Ведомственная!G870)</f>
        <v>180</v>
      </c>
      <c r="I467" s="154">
        <f t="shared" si="11"/>
        <v>0</v>
      </c>
      <c r="J467" s="154">
        <f t="shared" si="10"/>
        <v>-180</v>
      </c>
    </row>
    <row r="468" spans="1:10" ht="126">
      <c r="A468" s="77" t="s">
        <v>515</v>
      </c>
      <c r="B468" s="82" t="s">
        <v>516</v>
      </c>
      <c r="C468" s="57"/>
      <c r="D468" s="57"/>
      <c r="E468" s="57"/>
      <c r="F468" s="60">
        <f>F469</f>
        <v>3000</v>
      </c>
      <c r="I468" s="154">
        <f t="shared" si="11"/>
        <v>-3000</v>
      </c>
      <c r="J468" s="154">
        <f t="shared" si="10"/>
        <v>-3000</v>
      </c>
    </row>
    <row r="469" spans="1:10" ht="15.75">
      <c r="A469" s="77" t="s">
        <v>46</v>
      </c>
      <c r="B469" s="82" t="s">
        <v>516</v>
      </c>
      <c r="C469" s="57" t="s">
        <v>109</v>
      </c>
      <c r="D469" s="57" t="s">
        <v>35</v>
      </c>
      <c r="E469" s="57" t="s">
        <v>17</v>
      </c>
      <c r="F469" s="60">
        <v>3000</v>
      </c>
      <c r="G469" s="153">
        <f>SUM(Ведомственная!G905)</f>
        <v>3000</v>
      </c>
      <c r="I469" s="154">
        <f t="shared" si="11"/>
        <v>0</v>
      </c>
      <c r="J469" s="154">
        <f t="shared" si="10"/>
        <v>-3000</v>
      </c>
    </row>
    <row r="470" spans="1:10" ht="78.75">
      <c r="A470" s="77" t="s">
        <v>475</v>
      </c>
      <c r="B470" s="83" t="s">
        <v>476</v>
      </c>
      <c r="C470" s="83"/>
      <c r="D470" s="57"/>
      <c r="E470" s="57"/>
      <c r="F470" s="60">
        <f>F471+F472</f>
        <v>10</v>
      </c>
      <c r="I470" s="154">
        <f t="shared" si="11"/>
        <v>-10</v>
      </c>
      <c r="J470" s="154">
        <f t="shared" si="10"/>
        <v>-10</v>
      </c>
    </row>
    <row r="471" spans="1:10" ht="31.5">
      <c r="A471" s="77" t="s">
        <v>56</v>
      </c>
      <c r="B471" s="83" t="s">
        <v>476</v>
      </c>
      <c r="C471" s="83">
        <v>200</v>
      </c>
      <c r="D471" s="57" t="s">
        <v>125</v>
      </c>
      <c r="E471" s="57" t="s">
        <v>48</v>
      </c>
      <c r="F471" s="60">
        <v>10</v>
      </c>
      <c r="G471" s="153">
        <f>SUM(Ведомственная!G783)</f>
        <v>10</v>
      </c>
      <c r="I471" s="154">
        <f t="shared" si="11"/>
        <v>0</v>
      </c>
      <c r="J471" s="154">
        <f t="shared" si="10"/>
        <v>-10</v>
      </c>
    </row>
    <row r="472" spans="1:10" ht="31.5" hidden="1">
      <c r="A472" s="77" t="s">
        <v>76</v>
      </c>
      <c r="B472" s="83" t="s">
        <v>476</v>
      </c>
      <c r="C472" s="83">
        <v>600</v>
      </c>
      <c r="D472" s="57" t="s">
        <v>125</v>
      </c>
      <c r="E472" s="57" t="s">
        <v>48</v>
      </c>
      <c r="F472" s="60"/>
      <c r="G472" s="153">
        <f>SUM(Ведомственная!G784)</f>
        <v>0</v>
      </c>
      <c r="I472" s="154">
        <f t="shared" si="11"/>
        <v>0</v>
      </c>
      <c r="J472" s="154">
        <f t="shared" si="10"/>
        <v>0</v>
      </c>
    </row>
    <row r="473" spans="1:10" ht="47.25">
      <c r="A473" s="77" t="s">
        <v>471</v>
      </c>
      <c r="B473" s="83" t="s">
        <v>472</v>
      </c>
      <c r="C473" s="83"/>
      <c r="D473" s="57"/>
      <c r="E473" s="57"/>
      <c r="F473" s="60">
        <f>F474</f>
        <v>40</v>
      </c>
      <c r="I473" s="154">
        <f t="shared" si="11"/>
        <v>-40</v>
      </c>
      <c r="J473" s="154">
        <f t="shared" si="10"/>
        <v>-40</v>
      </c>
    </row>
    <row r="474" spans="1:10" ht="31.5">
      <c r="A474" s="77" t="s">
        <v>56</v>
      </c>
      <c r="B474" s="83" t="s">
        <v>472</v>
      </c>
      <c r="C474" s="83">
        <v>200</v>
      </c>
      <c r="D474" s="57" t="s">
        <v>125</v>
      </c>
      <c r="E474" s="57" t="s">
        <v>48</v>
      </c>
      <c r="F474" s="60">
        <v>40</v>
      </c>
      <c r="G474" s="153">
        <f>SUM(Ведомственная!G786)</f>
        <v>40</v>
      </c>
      <c r="I474" s="154">
        <f t="shared" si="11"/>
        <v>0</v>
      </c>
      <c r="J474" s="154">
        <f t="shared" si="10"/>
        <v>-40</v>
      </c>
    </row>
    <row r="475" spans="1:10" ht="47.25">
      <c r="A475" s="51" t="s">
        <v>30</v>
      </c>
      <c r="B475" s="82" t="s">
        <v>451</v>
      </c>
      <c r="C475" s="57"/>
      <c r="D475" s="57"/>
      <c r="E475" s="57"/>
      <c r="F475" s="60">
        <f>F476</f>
        <v>353074.8</v>
      </c>
      <c r="I475" s="154">
        <f t="shared" si="11"/>
        <v>-353074.8</v>
      </c>
      <c r="J475" s="154">
        <f t="shared" si="10"/>
        <v>-353074.8</v>
      </c>
    </row>
    <row r="476" spans="1:10" ht="15.75" hidden="1">
      <c r="A476" s="100" t="s">
        <v>168</v>
      </c>
      <c r="B476" s="87" t="s">
        <v>452</v>
      </c>
      <c r="C476" s="57"/>
      <c r="D476" s="57"/>
      <c r="E476" s="57"/>
      <c r="F476" s="60">
        <f>F477+F479+F481</f>
        <v>353074.8</v>
      </c>
      <c r="I476" s="154">
        <f t="shared" si="11"/>
        <v>-353074.8</v>
      </c>
      <c r="J476" s="154">
        <f t="shared" si="10"/>
        <v>-353074.8</v>
      </c>
    </row>
    <row r="477" spans="1:10" ht="15.75">
      <c r="A477" s="77" t="s">
        <v>453</v>
      </c>
      <c r="B477" s="82" t="s">
        <v>454</v>
      </c>
      <c r="C477" s="57"/>
      <c r="D477" s="57"/>
      <c r="E477" s="57"/>
      <c r="F477" s="60">
        <f>F478</f>
        <v>185380.7</v>
      </c>
      <c r="I477" s="154">
        <f t="shared" si="11"/>
        <v>-185380.7</v>
      </c>
      <c r="J477" s="154">
        <f t="shared" si="10"/>
        <v>-185380.7</v>
      </c>
    </row>
    <row r="478" spans="1:10" ht="31.5">
      <c r="A478" s="77" t="s">
        <v>76</v>
      </c>
      <c r="B478" s="82" t="s">
        <v>454</v>
      </c>
      <c r="C478" s="57" t="s">
        <v>135</v>
      </c>
      <c r="D478" s="57" t="s">
        <v>125</v>
      </c>
      <c r="E478" s="57" t="s">
        <v>38</v>
      </c>
      <c r="F478" s="60">
        <v>185380.7</v>
      </c>
      <c r="G478" s="153">
        <f>SUM(Ведомственная!G725)</f>
        <v>185380.7</v>
      </c>
      <c r="I478" s="154">
        <f t="shared" si="11"/>
        <v>0</v>
      </c>
      <c r="J478" s="154">
        <f t="shared" si="10"/>
        <v>-185380.7</v>
      </c>
    </row>
    <row r="479" spans="1:10" ht="15.75">
      <c r="A479" s="77" t="s">
        <v>477</v>
      </c>
      <c r="B479" s="83" t="s">
        <v>478</v>
      </c>
      <c r="C479" s="57"/>
      <c r="D479" s="57"/>
      <c r="E479" s="57"/>
      <c r="F479" s="60">
        <f>F480</f>
        <v>109639</v>
      </c>
      <c r="I479" s="154">
        <f t="shared" si="11"/>
        <v>-109639</v>
      </c>
      <c r="J479" s="154">
        <f t="shared" si="10"/>
        <v>-109639</v>
      </c>
    </row>
    <row r="480" spans="1:10" ht="31.5">
      <c r="A480" s="77" t="s">
        <v>76</v>
      </c>
      <c r="B480" s="83" t="s">
        <v>478</v>
      </c>
      <c r="C480" s="57" t="s">
        <v>135</v>
      </c>
      <c r="D480" s="57" t="s">
        <v>125</v>
      </c>
      <c r="E480" s="57" t="s">
        <v>48</v>
      </c>
      <c r="F480" s="60">
        <v>109639</v>
      </c>
      <c r="G480" s="153">
        <f>SUM(Ведомственная!G789)</f>
        <v>109639</v>
      </c>
      <c r="I480" s="154">
        <f t="shared" si="11"/>
        <v>0</v>
      </c>
      <c r="J480" s="154">
        <f t="shared" si="10"/>
        <v>-109639</v>
      </c>
    </row>
    <row r="481" spans="1:10" ht="15.75">
      <c r="A481" s="77" t="s">
        <v>486</v>
      </c>
      <c r="B481" s="57" t="s">
        <v>487</v>
      </c>
      <c r="C481" s="57"/>
      <c r="D481" s="57"/>
      <c r="E481" s="57"/>
      <c r="F481" s="60">
        <f>F482</f>
        <v>58055.1</v>
      </c>
      <c r="I481" s="154">
        <f t="shared" si="11"/>
        <v>-58055.1</v>
      </c>
      <c r="J481" s="154">
        <f t="shared" si="10"/>
        <v>-58055.1</v>
      </c>
    </row>
    <row r="482" spans="1:10" ht="31.5">
      <c r="A482" s="77" t="s">
        <v>76</v>
      </c>
      <c r="B482" s="57" t="s">
        <v>487</v>
      </c>
      <c r="C482" s="57" t="s">
        <v>135</v>
      </c>
      <c r="D482" s="57" t="s">
        <v>125</v>
      </c>
      <c r="E482" s="57" t="s">
        <v>58</v>
      </c>
      <c r="F482" s="60">
        <v>58055.1</v>
      </c>
      <c r="G482" s="153">
        <f>SUM(Ведомственная!G818)</f>
        <v>58055.1</v>
      </c>
      <c r="I482" s="154">
        <f t="shared" si="11"/>
        <v>0</v>
      </c>
      <c r="J482" s="154">
        <f t="shared" si="10"/>
        <v>-58055.1</v>
      </c>
    </row>
    <row r="483" spans="1:10" ht="15.75">
      <c r="A483" s="77" t="s">
        <v>166</v>
      </c>
      <c r="B483" s="82" t="s">
        <v>520</v>
      </c>
      <c r="C483" s="57"/>
      <c r="D483" s="57"/>
      <c r="E483" s="57"/>
      <c r="F483" s="60">
        <f>SUM(F485)+F492</f>
        <v>1659.7</v>
      </c>
      <c r="I483" s="154">
        <f aca="true" t="shared" si="12" ref="I483:I546">G483-F483</f>
        <v>-1659.7</v>
      </c>
      <c r="J483" s="154">
        <f t="shared" si="10"/>
        <v>-1659.7</v>
      </c>
    </row>
    <row r="484" spans="1:10" ht="15.75">
      <c r="A484" s="100" t="s">
        <v>168</v>
      </c>
      <c r="B484" s="82" t="s">
        <v>712</v>
      </c>
      <c r="C484" s="57"/>
      <c r="D484" s="57"/>
      <c r="E484" s="57"/>
      <c r="F484" s="60">
        <f>SUM(F485)</f>
        <v>1487.2</v>
      </c>
      <c r="I484" s="154">
        <f t="shared" si="12"/>
        <v>-1487.2</v>
      </c>
      <c r="J484" s="154">
        <f t="shared" si="10"/>
        <v>-1487.2</v>
      </c>
    </row>
    <row r="485" spans="1:10" ht="15.75">
      <c r="A485" s="77" t="s">
        <v>453</v>
      </c>
      <c r="B485" s="82" t="s">
        <v>713</v>
      </c>
      <c r="C485" s="57"/>
      <c r="D485" s="57"/>
      <c r="E485" s="57"/>
      <c r="F485" s="60">
        <f>SUM(F486+F488+F490)</f>
        <v>1487.2</v>
      </c>
      <c r="I485" s="154">
        <f t="shared" si="12"/>
        <v>-1487.2</v>
      </c>
      <c r="J485" s="154">
        <f aca="true" t="shared" si="13" ref="J485:J549">SUM(H485-F485)</f>
        <v>-1487.2</v>
      </c>
    </row>
    <row r="486" spans="1:10" ht="31.5" hidden="1">
      <c r="A486" s="77" t="s">
        <v>456</v>
      </c>
      <c r="B486" s="82" t="s">
        <v>457</v>
      </c>
      <c r="C486" s="57"/>
      <c r="D486" s="57"/>
      <c r="E486" s="57"/>
      <c r="F486" s="60">
        <f>F487</f>
        <v>0</v>
      </c>
      <c r="I486" s="154">
        <f t="shared" si="12"/>
        <v>0</v>
      </c>
      <c r="J486" s="154">
        <f t="shared" si="13"/>
        <v>0</v>
      </c>
    </row>
    <row r="487" spans="1:10" ht="31.5" hidden="1">
      <c r="A487" s="77" t="s">
        <v>76</v>
      </c>
      <c r="B487" s="82" t="s">
        <v>457</v>
      </c>
      <c r="C487" s="57" t="s">
        <v>135</v>
      </c>
      <c r="D487" s="57"/>
      <c r="E487" s="57"/>
      <c r="F487" s="60">
        <v>0</v>
      </c>
      <c r="G487" s="153">
        <f>SUM(Ведомственная!G729)</f>
        <v>0</v>
      </c>
      <c r="I487" s="154">
        <f t="shared" si="12"/>
        <v>0</v>
      </c>
      <c r="J487" s="154">
        <f t="shared" si="13"/>
        <v>0</v>
      </c>
    </row>
    <row r="488" spans="1:10" ht="31.5">
      <c r="A488" s="77" t="s">
        <v>458</v>
      </c>
      <c r="B488" s="82" t="s">
        <v>459</v>
      </c>
      <c r="C488" s="57"/>
      <c r="D488" s="57"/>
      <c r="E488" s="57"/>
      <c r="F488" s="60">
        <f>F489</f>
        <v>146</v>
      </c>
      <c r="I488" s="154">
        <f t="shared" si="12"/>
        <v>-146</v>
      </c>
      <c r="J488" s="154">
        <f t="shared" si="13"/>
        <v>-146</v>
      </c>
    </row>
    <row r="489" spans="1:10" ht="31.5">
      <c r="A489" s="77" t="s">
        <v>76</v>
      </c>
      <c r="B489" s="82" t="s">
        <v>459</v>
      </c>
      <c r="C489" s="57" t="s">
        <v>135</v>
      </c>
      <c r="D489" s="57" t="s">
        <v>125</v>
      </c>
      <c r="E489" s="57" t="s">
        <v>38</v>
      </c>
      <c r="F489" s="60">
        <v>146</v>
      </c>
      <c r="G489" s="153">
        <f>SUM(Ведомственная!G731)</f>
        <v>146</v>
      </c>
      <c r="I489" s="154">
        <f t="shared" si="12"/>
        <v>0</v>
      </c>
      <c r="J489" s="154">
        <f t="shared" si="13"/>
        <v>-146</v>
      </c>
    </row>
    <row r="490" spans="1:10" ht="31.5">
      <c r="A490" s="77" t="s">
        <v>460</v>
      </c>
      <c r="B490" s="82" t="s">
        <v>461</v>
      </c>
      <c r="C490" s="57"/>
      <c r="D490" s="57"/>
      <c r="E490" s="57"/>
      <c r="F490" s="60">
        <f>F491</f>
        <v>1341.2</v>
      </c>
      <c r="I490" s="154">
        <f t="shared" si="12"/>
        <v>-1341.2</v>
      </c>
      <c r="J490" s="154">
        <f t="shared" si="13"/>
        <v>-1341.2</v>
      </c>
    </row>
    <row r="491" spans="1:10" ht="31.5">
      <c r="A491" s="77" t="s">
        <v>76</v>
      </c>
      <c r="B491" s="82" t="s">
        <v>461</v>
      </c>
      <c r="C491" s="57" t="s">
        <v>135</v>
      </c>
      <c r="D491" s="57" t="s">
        <v>125</v>
      </c>
      <c r="E491" s="57" t="s">
        <v>38</v>
      </c>
      <c r="F491" s="60">
        <v>1341.2</v>
      </c>
      <c r="G491" s="153">
        <f>SUM(Ведомственная!G733)</f>
        <v>1341.2</v>
      </c>
      <c r="I491" s="154">
        <f t="shared" si="12"/>
        <v>0</v>
      </c>
      <c r="J491" s="154">
        <f t="shared" si="13"/>
        <v>-1341.2</v>
      </c>
    </row>
    <row r="492" spans="1:10" ht="14.25" customHeight="1">
      <c r="A492" s="77" t="s">
        <v>477</v>
      </c>
      <c r="B492" s="82" t="s">
        <v>479</v>
      </c>
      <c r="C492" s="57"/>
      <c r="D492" s="57"/>
      <c r="E492" s="57"/>
      <c r="F492" s="60">
        <f>F494+F496+F498</f>
        <v>172.5</v>
      </c>
      <c r="I492" s="154">
        <f t="shared" si="12"/>
        <v>-172.5</v>
      </c>
      <c r="J492" s="154">
        <f t="shared" si="13"/>
        <v>-172.5</v>
      </c>
    </row>
    <row r="493" spans="1:10" ht="31.5" hidden="1">
      <c r="A493" s="77" t="s">
        <v>456</v>
      </c>
      <c r="B493" s="82" t="s">
        <v>480</v>
      </c>
      <c r="C493" s="57"/>
      <c r="D493" s="57"/>
      <c r="E493" s="57"/>
      <c r="F493" s="60">
        <f>F494</f>
        <v>0</v>
      </c>
      <c r="I493" s="154">
        <f t="shared" si="12"/>
        <v>0</v>
      </c>
      <c r="J493" s="154">
        <f t="shared" si="13"/>
        <v>0</v>
      </c>
    </row>
    <row r="494" spans="1:10" ht="31.5" hidden="1">
      <c r="A494" s="77" t="s">
        <v>76</v>
      </c>
      <c r="B494" s="82" t="s">
        <v>480</v>
      </c>
      <c r="C494" s="57" t="s">
        <v>135</v>
      </c>
      <c r="D494" s="57"/>
      <c r="E494" s="57"/>
      <c r="F494" s="60"/>
      <c r="G494" s="153">
        <f>SUM(Ведомственная!G793)</f>
        <v>0</v>
      </c>
      <c r="I494" s="154">
        <f t="shared" si="12"/>
        <v>0</v>
      </c>
      <c r="J494" s="154">
        <f t="shared" si="13"/>
        <v>0</v>
      </c>
    </row>
    <row r="495" spans="1:10" ht="31.5">
      <c r="A495" s="77" t="s">
        <v>458</v>
      </c>
      <c r="B495" s="82" t="s">
        <v>481</v>
      </c>
      <c r="C495" s="57"/>
      <c r="D495" s="57"/>
      <c r="E495" s="57"/>
      <c r="F495" s="60">
        <f>F496</f>
        <v>134</v>
      </c>
      <c r="I495" s="154">
        <f t="shared" si="12"/>
        <v>-134</v>
      </c>
      <c r="J495" s="154">
        <f t="shared" si="13"/>
        <v>-134</v>
      </c>
    </row>
    <row r="496" spans="1:10" ht="31.5">
      <c r="A496" s="77" t="s">
        <v>76</v>
      </c>
      <c r="B496" s="82" t="s">
        <v>481</v>
      </c>
      <c r="C496" s="57" t="s">
        <v>135</v>
      </c>
      <c r="D496" s="57" t="s">
        <v>125</v>
      </c>
      <c r="E496" s="57" t="s">
        <v>48</v>
      </c>
      <c r="F496" s="60">
        <v>134</v>
      </c>
      <c r="G496" s="153">
        <f>SUM(Ведомственная!G795)</f>
        <v>134</v>
      </c>
      <c r="I496" s="154">
        <f t="shared" si="12"/>
        <v>0</v>
      </c>
      <c r="J496" s="154">
        <f t="shared" si="13"/>
        <v>-134</v>
      </c>
    </row>
    <row r="497" spans="1:10" ht="31.5">
      <c r="A497" s="77" t="s">
        <v>460</v>
      </c>
      <c r="B497" s="82" t="s">
        <v>482</v>
      </c>
      <c r="C497" s="57"/>
      <c r="D497" s="57"/>
      <c r="E497" s="57"/>
      <c r="F497" s="60">
        <f>F498</f>
        <v>38.5</v>
      </c>
      <c r="I497" s="154">
        <f t="shared" si="12"/>
        <v>-38.5</v>
      </c>
      <c r="J497" s="154">
        <f t="shared" si="13"/>
        <v>-38.5</v>
      </c>
    </row>
    <row r="498" spans="1:10" ht="31.5">
      <c r="A498" s="77" t="s">
        <v>76</v>
      </c>
      <c r="B498" s="82" t="s">
        <v>482</v>
      </c>
      <c r="C498" s="57" t="s">
        <v>135</v>
      </c>
      <c r="D498" s="57" t="s">
        <v>125</v>
      </c>
      <c r="E498" s="57" t="s">
        <v>48</v>
      </c>
      <c r="F498" s="60">
        <v>38.5</v>
      </c>
      <c r="G498" s="153">
        <f>SUM(Ведомственная!G797)</f>
        <v>38.5</v>
      </c>
      <c r="I498" s="154">
        <f t="shared" si="12"/>
        <v>0</v>
      </c>
      <c r="J498" s="154">
        <f t="shared" si="13"/>
        <v>-38.5</v>
      </c>
    </row>
    <row r="499" spans="1:10" ht="31.5">
      <c r="A499" s="77" t="s">
        <v>49</v>
      </c>
      <c r="B499" s="82" t="s">
        <v>462</v>
      </c>
      <c r="C499" s="57"/>
      <c r="D499" s="57"/>
      <c r="E499" s="57"/>
      <c r="F499" s="60">
        <f>SUM(F500+F504+F508)</f>
        <v>155407.40000000002</v>
      </c>
      <c r="I499" s="154">
        <f t="shared" si="12"/>
        <v>-155407.40000000002</v>
      </c>
      <c r="J499" s="154">
        <f t="shared" si="13"/>
        <v>-155407.40000000002</v>
      </c>
    </row>
    <row r="500" spans="1:10" ht="15.75">
      <c r="A500" s="77" t="s">
        <v>453</v>
      </c>
      <c r="B500" s="82" t="s">
        <v>463</v>
      </c>
      <c r="C500" s="57"/>
      <c r="D500" s="57"/>
      <c r="E500" s="57"/>
      <c r="F500" s="60">
        <f>F501+F502+F503</f>
        <v>43845.9</v>
      </c>
      <c r="I500" s="154">
        <f t="shared" si="12"/>
        <v>-43845.9</v>
      </c>
      <c r="J500" s="154">
        <f t="shared" si="13"/>
        <v>-43845.9</v>
      </c>
    </row>
    <row r="501" spans="1:10" ht="63">
      <c r="A501" s="51" t="s">
        <v>55</v>
      </c>
      <c r="B501" s="82" t="s">
        <v>463</v>
      </c>
      <c r="C501" s="57" t="s">
        <v>99</v>
      </c>
      <c r="D501" s="57" t="s">
        <v>125</v>
      </c>
      <c r="E501" s="57" t="s">
        <v>38</v>
      </c>
      <c r="F501" s="60">
        <v>12926.9</v>
      </c>
      <c r="G501" s="153">
        <f>SUM(Ведомственная!G736)</f>
        <v>12926.9</v>
      </c>
      <c r="I501" s="154">
        <f t="shared" si="12"/>
        <v>0</v>
      </c>
      <c r="J501" s="154">
        <f t="shared" si="13"/>
        <v>-12926.9</v>
      </c>
    </row>
    <row r="502" spans="1:10" ht="31.5">
      <c r="A502" s="77" t="s">
        <v>56</v>
      </c>
      <c r="B502" s="82" t="s">
        <v>463</v>
      </c>
      <c r="C502" s="57" t="s">
        <v>101</v>
      </c>
      <c r="D502" s="57" t="s">
        <v>125</v>
      </c>
      <c r="E502" s="57" t="s">
        <v>38</v>
      </c>
      <c r="F502" s="60">
        <v>29317.9</v>
      </c>
      <c r="G502" s="153">
        <f>SUM(Ведомственная!G737)</f>
        <v>29317.9</v>
      </c>
      <c r="I502" s="154">
        <f t="shared" si="12"/>
        <v>0</v>
      </c>
      <c r="J502" s="154">
        <f t="shared" si="13"/>
        <v>-29317.9</v>
      </c>
    </row>
    <row r="503" spans="1:10" ht="15.75">
      <c r="A503" s="77" t="s">
        <v>26</v>
      </c>
      <c r="B503" s="82" t="s">
        <v>463</v>
      </c>
      <c r="C503" s="57" t="s">
        <v>106</v>
      </c>
      <c r="D503" s="57" t="s">
        <v>125</v>
      </c>
      <c r="E503" s="57" t="s">
        <v>38</v>
      </c>
      <c r="F503" s="60">
        <v>1601.1</v>
      </c>
      <c r="G503" s="153">
        <f>SUM(Ведомственная!G738)</f>
        <v>1601.1</v>
      </c>
      <c r="I503" s="154">
        <f t="shared" si="12"/>
        <v>0</v>
      </c>
      <c r="J503" s="154">
        <f t="shared" si="13"/>
        <v>-1601.1</v>
      </c>
    </row>
    <row r="504" spans="1:10" ht="15.75">
      <c r="A504" s="77" t="s">
        <v>477</v>
      </c>
      <c r="B504" s="82" t="s">
        <v>483</v>
      </c>
      <c r="C504" s="82"/>
      <c r="D504" s="76"/>
      <c r="E504" s="76"/>
      <c r="F504" s="60">
        <f>F505+F506+F507</f>
        <v>103516.90000000001</v>
      </c>
      <c r="I504" s="154">
        <f t="shared" si="12"/>
        <v>-103516.90000000001</v>
      </c>
      <c r="J504" s="154">
        <f t="shared" si="13"/>
        <v>-103516.90000000001</v>
      </c>
    </row>
    <row r="505" spans="1:10" ht="63">
      <c r="A505" s="51" t="s">
        <v>55</v>
      </c>
      <c r="B505" s="82" t="s">
        <v>483</v>
      </c>
      <c r="C505" s="57" t="s">
        <v>99</v>
      </c>
      <c r="D505" s="57" t="s">
        <v>125</v>
      </c>
      <c r="E505" s="57" t="s">
        <v>48</v>
      </c>
      <c r="F505" s="60">
        <v>42767.8</v>
      </c>
      <c r="G505" s="153">
        <f>SUM(Ведомственная!G800)</f>
        <v>42767.8</v>
      </c>
      <c r="I505" s="154">
        <f t="shared" si="12"/>
        <v>0</v>
      </c>
      <c r="J505" s="154">
        <f t="shared" si="13"/>
        <v>-42767.8</v>
      </c>
    </row>
    <row r="506" spans="1:10" ht="31.5">
      <c r="A506" s="77" t="s">
        <v>56</v>
      </c>
      <c r="B506" s="82" t="s">
        <v>483</v>
      </c>
      <c r="C506" s="57" t="s">
        <v>101</v>
      </c>
      <c r="D506" s="57" t="s">
        <v>125</v>
      </c>
      <c r="E506" s="57" t="s">
        <v>48</v>
      </c>
      <c r="F506" s="60">
        <v>46307.8</v>
      </c>
      <c r="G506" s="153">
        <f>SUM(Ведомственная!G801)</f>
        <v>46307.8</v>
      </c>
      <c r="I506" s="154">
        <f t="shared" si="12"/>
        <v>0</v>
      </c>
      <c r="J506" s="154">
        <f t="shared" si="13"/>
        <v>-46307.8</v>
      </c>
    </row>
    <row r="507" spans="1:10" ht="15.75">
      <c r="A507" s="77" t="s">
        <v>26</v>
      </c>
      <c r="B507" s="82" t="s">
        <v>483</v>
      </c>
      <c r="C507" s="57" t="s">
        <v>106</v>
      </c>
      <c r="D507" s="57" t="s">
        <v>125</v>
      </c>
      <c r="E507" s="57" t="s">
        <v>48</v>
      </c>
      <c r="F507" s="60">
        <v>14441.3</v>
      </c>
      <c r="G507" s="153">
        <f>SUM(Ведомственная!G802)</f>
        <v>14441.3</v>
      </c>
      <c r="I507" s="154">
        <f t="shared" si="12"/>
        <v>0</v>
      </c>
      <c r="J507" s="154">
        <f t="shared" si="13"/>
        <v>-14441.3</v>
      </c>
    </row>
    <row r="508" spans="1:10" ht="15.75">
      <c r="A508" s="77" t="s">
        <v>484</v>
      </c>
      <c r="B508" s="83" t="s">
        <v>485</v>
      </c>
      <c r="C508" s="83"/>
      <c r="D508" s="57"/>
      <c r="E508" s="57"/>
      <c r="F508" s="60">
        <f>F509+F510+F511</f>
        <v>8044.6</v>
      </c>
      <c r="I508" s="154">
        <f t="shared" si="12"/>
        <v>-8044.6</v>
      </c>
      <c r="J508" s="154">
        <f t="shared" si="13"/>
        <v>-8044.6</v>
      </c>
    </row>
    <row r="509" spans="1:10" ht="63">
      <c r="A509" s="51" t="s">
        <v>55</v>
      </c>
      <c r="B509" s="83" t="s">
        <v>485</v>
      </c>
      <c r="C509" s="83">
        <v>100</v>
      </c>
      <c r="D509" s="57" t="s">
        <v>125</v>
      </c>
      <c r="E509" s="57" t="s">
        <v>48</v>
      </c>
      <c r="F509" s="60">
        <v>3238.4</v>
      </c>
      <c r="G509" s="153">
        <f>SUM(Ведомственная!G804)</f>
        <v>3238.4</v>
      </c>
      <c r="I509" s="154">
        <f t="shared" si="12"/>
        <v>0</v>
      </c>
      <c r="J509" s="154">
        <f t="shared" si="13"/>
        <v>-3238.4</v>
      </c>
    </row>
    <row r="510" spans="1:10" ht="31.5">
      <c r="A510" s="77" t="s">
        <v>56</v>
      </c>
      <c r="B510" s="83" t="s">
        <v>485</v>
      </c>
      <c r="C510" s="83">
        <v>200</v>
      </c>
      <c r="D510" s="57" t="s">
        <v>125</v>
      </c>
      <c r="E510" s="57" t="s">
        <v>48</v>
      </c>
      <c r="F510" s="60">
        <v>3587.6</v>
      </c>
      <c r="G510" s="153">
        <f>SUM(Ведомственная!G805)</f>
        <v>3587.6</v>
      </c>
      <c r="I510" s="154">
        <f t="shared" si="12"/>
        <v>0</v>
      </c>
      <c r="J510" s="154">
        <f t="shared" si="13"/>
        <v>-3587.6</v>
      </c>
    </row>
    <row r="511" spans="1:10" ht="15.75">
      <c r="A511" s="77" t="s">
        <v>26</v>
      </c>
      <c r="B511" s="83" t="s">
        <v>485</v>
      </c>
      <c r="C511" s="83">
        <v>800</v>
      </c>
      <c r="D511" s="57" t="s">
        <v>125</v>
      </c>
      <c r="E511" s="57" t="s">
        <v>48</v>
      </c>
      <c r="F511" s="60">
        <v>1218.6</v>
      </c>
      <c r="G511" s="153">
        <f>SUM(Ведомственная!G806)</f>
        <v>1218.6</v>
      </c>
      <c r="I511" s="154">
        <f t="shared" si="12"/>
        <v>0</v>
      </c>
      <c r="J511" s="154">
        <f t="shared" si="13"/>
        <v>-1218.6</v>
      </c>
    </row>
    <row r="512" spans="1:10" ht="31.5">
      <c r="A512" s="77" t="s">
        <v>501</v>
      </c>
      <c r="B512" s="57" t="s">
        <v>502</v>
      </c>
      <c r="C512" s="57"/>
      <c r="D512" s="57"/>
      <c r="E512" s="57"/>
      <c r="F512" s="60">
        <f>F513+F519</f>
        <v>3086.9</v>
      </c>
      <c r="I512" s="154">
        <f t="shared" si="12"/>
        <v>-3086.9</v>
      </c>
      <c r="J512" s="154">
        <f t="shared" si="13"/>
        <v>-3086.9</v>
      </c>
    </row>
    <row r="513" spans="1:10" ht="15.75">
      <c r="A513" s="77" t="s">
        <v>39</v>
      </c>
      <c r="B513" s="57" t="s">
        <v>503</v>
      </c>
      <c r="C513" s="57"/>
      <c r="D513" s="57"/>
      <c r="E513" s="57"/>
      <c r="F513" s="60">
        <f>F514+F517</f>
        <v>1100</v>
      </c>
      <c r="I513" s="154">
        <f t="shared" si="12"/>
        <v>-1100</v>
      </c>
      <c r="J513" s="154">
        <f t="shared" si="13"/>
        <v>-1100</v>
      </c>
    </row>
    <row r="514" spans="1:10" ht="31.5">
      <c r="A514" s="77" t="s">
        <v>504</v>
      </c>
      <c r="B514" s="57" t="s">
        <v>505</v>
      </c>
      <c r="C514" s="57"/>
      <c r="D514" s="57"/>
      <c r="E514" s="57"/>
      <c r="F514" s="60">
        <f>SUM(F515:F516)</f>
        <v>800</v>
      </c>
      <c r="I514" s="154">
        <f t="shared" si="12"/>
        <v>-800</v>
      </c>
      <c r="J514" s="154">
        <f t="shared" si="13"/>
        <v>-800</v>
      </c>
    </row>
    <row r="515" spans="1:10" ht="31.5">
      <c r="A515" s="77" t="s">
        <v>56</v>
      </c>
      <c r="B515" s="57" t="s">
        <v>505</v>
      </c>
      <c r="C515" s="57" t="s">
        <v>101</v>
      </c>
      <c r="D515" s="57" t="s">
        <v>125</v>
      </c>
      <c r="E515" s="57" t="s">
        <v>125</v>
      </c>
      <c r="F515" s="60">
        <v>258.4</v>
      </c>
      <c r="G515" s="153">
        <f>SUM(Ведомственная!G847+Ведомственная!G449+Ведомственная!G925)</f>
        <v>258.40000000000003</v>
      </c>
      <c r="I515" s="154">
        <f t="shared" si="12"/>
        <v>0</v>
      </c>
      <c r="J515" s="154">
        <f t="shared" si="13"/>
        <v>-258.4</v>
      </c>
    </row>
    <row r="516" spans="1:10" ht="31.5">
      <c r="A516" s="166" t="s">
        <v>283</v>
      </c>
      <c r="B516" s="57" t="s">
        <v>505</v>
      </c>
      <c r="C516" s="57" t="s">
        <v>135</v>
      </c>
      <c r="D516" s="57" t="s">
        <v>125</v>
      </c>
      <c r="E516" s="57" t="s">
        <v>125</v>
      </c>
      <c r="F516" s="60">
        <v>541.6</v>
      </c>
      <c r="G516" s="153">
        <f>SUM(Ведомственная!G624+Ведомственная!G926+Ведомственная!G848)</f>
        <v>541.6</v>
      </c>
      <c r="I516" s="154">
        <f t="shared" si="12"/>
        <v>0</v>
      </c>
      <c r="J516" s="154"/>
    </row>
    <row r="517" spans="1:10" ht="63">
      <c r="A517" s="77" t="s">
        <v>506</v>
      </c>
      <c r="B517" s="83" t="s">
        <v>507</v>
      </c>
      <c r="C517" s="57"/>
      <c r="D517" s="57"/>
      <c r="E517" s="57"/>
      <c r="F517" s="60">
        <v>300</v>
      </c>
      <c r="I517" s="154">
        <f t="shared" si="12"/>
        <v>-300</v>
      </c>
      <c r="J517" s="154">
        <f t="shared" si="13"/>
        <v>-300</v>
      </c>
    </row>
    <row r="518" spans="1:10" ht="31.5">
      <c r="A518" s="77" t="s">
        <v>56</v>
      </c>
      <c r="B518" s="83" t="s">
        <v>507</v>
      </c>
      <c r="C518" s="57" t="s">
        <v>101</v>
      </c>
      <c r="D518" s="57" t="s">
        <v>125</v>
      </c>
      <c r="E518" s="57" t="s">
        <v>125</v>
      </c>
      <c r="F518" s="60">
        <v>300</v>
      </c>
      <c r="G518" s="153">
        <f>SUM(Ведомственная!G850)</f>
        <v>300</v>
      </c>
      <c r="I518" s="154">
        <f t="shared" si="12"/>
        <v>0</v>
      </c>
      <c r="J518" s="154">
        <f t="shared" si="13"/>
        <v>-300</v>
      </c>
    </row>
    <row r="519" spans="1:10" ht="31.5">
      <c r="A519" s="77" t="s">
        <v>49</v>
      </c>
      <c r="B519" s="82" t="s">
        <v>508</v>
      </c>
      <c r="C519" s="57"/>
      <c r="D519" s="57"/>
      <c r="E519" s="57"/>
      <c r="F519" s="60">
        <f>SUM(F520)</f>
        <v>1986.9</v>
      </c>
      <c r="I519" s="154">
        <f t="shared" si="12"/>
        <v>-1986.9</v>
      </c>
      <c r="J519" s="154">
        <f t="shared" si="13"/>
        <v>-1986.9</v>
      </c>
    </row>
    <row r="520" spans="1:10" ht="31.5">
      <c r="A520" s="92" t="s">
        <v>509</v>
      </c>
      <c r="B520" s="82" t="s">
        <v>510</v>
      </c>
      <c r="C520" s="57"/>
      <c r="D520" s="57"/>
      <c r="E520" s="57"/>
      <c r="F520" s="60">
        <f>F521+F522+F523</f>
        <v>1986.9</v>
      </c>
      <c r="I520" s="154">
        <f t="shared" si="12"/>
        <v>-1986.9</v>
      </c>
      <c r="J520" s="154">
        <f t="shared" si="13"/>
        <v>-1986.9</v>
      </c>
    </row>
    <row r="521" spans="1:10" ht="63">
      <c r="A521" s="51" t="s">
        <v>55</v>
      </c>
      <c r="B521" s="82" t="s">
        <v>510</v>
      </c>
      <c r="C521" s="57" t="s">
        <v>99</v>
      </c>
      <c r="D521" s="57" t="s">
        <v>125</v>
      </c>
      <c r="E521" s="57" t="s">
        <v>125</v>
      </c>
      <c r="F521" s="60">
        <f>1382.5+417.5</f>
        <v>1800</v>
      </c>
      <c r="G521" s="153">
        <f>SUM(Ведомственная!G853)</f>
        <v>1800</v>
      </c>
      <c r="I521" s="154">
        <f t="shared" si="12"/>
        <v>0</v>
      </c>
      <c r="J521" s="154">
        <f t="shared" si="13"/>
        <v>-1800</v>
      </c>
    </row>
    <row r="522" spans="1:10" ht="31.5">
      <c r="A522" s="77" t="s">
        <v>56</v>
      </c>
      <c r="B522" s="82" t="s">
        <v>510</v>
      </c>
      <c r="C522" s="57" t="s">
        <v>101</v>
      </c>
      <c r="D522" s="57" t="s">
        <v>125</v>
      </c>
      <c r="E522" s="57" t="s">
        <v>125</v>
      </c>
      <c r="F522" s="60">
        <f>1986.9-F521-F523</f>
        <v>183.7000000000001</v>
      </c>
      <c r="G522" s="153">
        <f>SUM(Ведомственная!G854)</f>
        <v>183.7000000000001</v>
      </c>
      <c r="I522" s="154">
        <f t="shared" si="12"/>
        <v>0</v>
      </c>
      <c r="J522" s="154">
        <f t="shared" si="13"/>
        <v>-183.7000000000001</v>
      </c>
    </row>
    <row r="523" spans="1:10" ht="15.75">
      <c r="A523" s="77" t="s">
        <v>26</v>
      </c>
      <c r="B523" s="82" t="s">
        <v>510</v>
      </c>
      <c r="C523" s="57" t="s">
        <v>106</v>
      </c>
      <c r="D523" s="57" t="s">
        <v>125</v>
      </c>
      <c r="E523" s="57" t="s">
        <v>125</v>
      </c>
      <c r="F523" s="60">
        <v>3.2</v>
      </c>
      <c r="G523" s="153">
        <f>SUM(Ведомственная!G855)</f>
        <v>3.2</v>
      </c>
      <c r="I523" s="154">
        <f t="shared" si="12"/>
        <v>0</v>
      </c>
      <c r="J523" s="154">
        <f t="shared" si="13"/>
        <v>-3.2</v>
      </c>
    </row>
    <row r="524" spans="1:10" ht="31.5">
      <c r="A524" s="77" t="s">
        <v>464</v>
      </c>
      <c r="B524" s="82" t="s">
        <v>465</v>
      </c>
      <c r="C524" s="57"/>
      <c r="D524" s="57"/>
      <c r="E524" s="57"/>
      <c r="F524" s="60">
        <f>F525</f>
        <v>12055.900000000001</v>
      </c>
      <c r="I524" s="154">
        <f t="shared" si="12"/>
        <v>-12055.900000000001</v>
      </c>
      <c r="J524" s="154">
        <f t="shared" si="13"/>
        <v>-12055.900000000001</v>
      </c>
    </row>
    <row r="525" spans="1:10" ht="15.75">
      <c r="A525" s="77" t="s">
        <v>39</v>
      </c>
      <c r="B525" s="82" t="s">
        <v>466</v>
      </c>
      <c r="C525" s="57"/>
      <c r="D525" s="57"/>
      <c r="E525" s="57"/>
      <c r="F525" s="60">
        <f>SUM(F526:F531)</f>
        <v>12055.900000000001</v>
      </c>
      <c r="I525" s="154">
        <f t="shared" si="12"/>
        <v>-12055.900000000001</v>
      </c>
      <c r="J525" s="154">
        <f t="shared" si="13"/>
        <v>-12055.900000000001</v>
      </c>
    </row>
    <row r="526" spans="1:10" ht="31.5">
      <c r="A526" s="77" t="s">
        <v>56</v>
      </c>
      <c r="B526" s="82" t="s">
        <v>466</v>
      </c>
      <c r="C526" s="57" t="s">
        <v>101</v>
      </c>
      <c r="D526" s="57" t="s">
        <v>125</v>
      </c>
      <c r="E526" s="57" t="s">
        <v>38</v>
      </c>
      <c r="F526" s="60">
        <v>773</v>
      </c>
      <c r="G526" s="153">
        <f>SUM(Ведомственная!G741)</f>
        <v>773</v>
      </c>
      <c r="I526" s="154">
        <f t="shared" si="12"/>
        <v>0</v>
      </c>
      <c r="J526" s="154">
        <f t="shared" si="13"/>
        <v>-773</v>
      </c>
    </row>
    <row r="527" spans="1:10" ht="31.5">
      <c r="A527" s="77" t="s">
        <v>76</v>
      </c>
      <c r="B527" s="82" t="s">
        <v>466</v>
      </c>
      <c r="C527" s="57" t="s">
        <v>135</v>
      </c>
      <c r="D527" s="57" t="s">
        <v>125</v>
      </c>
      <c r="E527" s="57" t="s">
        <v>38</v>
      </c>
      <c r="F527" s="60">
        <v>3842.8</v>
      </c>
      <c r="G527" s="153">
        <f>SUM(Ведомственная!G742)</f>
        <v>3842.8</v>
      </c>
      <c r="I527" s="154">
        <f t="shared" si="12"/>
        <v>0</v>
      </c>
      <c r="J527" s="154">
        <f t="shared" si="13"/>
        <v>-3842.8</v>
      </c>
    </row>
    <row r="528" spans="1:10" ht="31.5">
      <c r="A528" s="77" t="s">
        <v>56</v>
      </c>
      <c r="B528" s="82" t="s">
        <v>466</v>
      </c>
      <c r="C528" s="57" t="s">
        <v>101</v>
      </c>
      <c r="D528" s="57" t="s">
        <v>125</v>
      </c>
      <c r="E528" s="57" t="s">
        <v>48</v>
      </c>
      <c r="F528" s="60">
        <v>4990.8</v>
      </c>
      <c r="G528" s="153">
        <f>SUM(Ведомственная!G809)</f>
        <v>4990.8</v>
      </c>
      <c r="I528" s="154">
        <f t="shared" si="12"/>
        <v>0</v>
      </c>
      <c r="J528" s="154">
        <f t="shared" si="13"/>
        <v>-4990.8</v>
      </c>
    </row>
    <row r="529" spans="1:10" ht="44.25" customHeight="1">
      <c r="A529" s="77" t="s">
        <v>76</v>
      </c>
      <c r="B529" s="82" t="s">
        <v>466</v>
      </c>
      <c r="C529" s="57" t="s">
        <v>135</v>
      </c>
      <c r="D529" s="57" t="s">
        <v>125</v>
      </c>
      <c r="E529" s="57" t="s">
        <v>48</v>
      </c>
      <c r="F529" s="60">
        <v>2199.3</v>
      </c>
      <c r="G529" s="153">
        <f>SUM(Ведомственная!G810)</f>
        <v>2199.3</v>
      </c>
      <c r="I529" s="154">
        <f t="shared" si="12"/>
        <v>0</v>
      </c>
      <c r="J529" s="154">
        <f t="shared" si="13"/>
        <v>-2199.3</v>
      </c>
    </row>
    <row r="530" spans="1:10" ht="30.75" customHeight="1">
      <c r="A530" s="77" t="s">
        <v>56</v>
      </c>
      <c r="B530" s="82" t="s">
        <v>466</v>
      </c>
      <c r="C530" s="57" t="s">
        <v>101</v>
      </c>
      <c r="D530" s="57" t="s">
        <v>125</v>
      </c>
      <c r="E530" s="57" t="s">
        <v>192</v>
      </c>
      <c r="F530" s="60">
        <v>250</v>
      </c>
      <c r="G530" s="153">
        <f>SUM(Ведомственная!G873)</f>
        <v>250</v>
      </c>
      <c r="I530" s="154">
        <f t="shared" si="12"/>
        <v>0</v>
      </c>
      <c r="J530" s="154">
        <f t="shared" si="13"/>
        <v>-250</v>
      </c>
    </row>
    <row r="531" spans="1:10" ht="31.5" hidden="1">
      <c r="A531" s="77" t="s">
        <v>76</v>
      </c>
      <c r="B531" s="82" t="s">
        <v>466</v>
      </c>
      <c r="C531" s="57" t="s">
        <v>135</v>
      </c>
      <c r="D531" s="57" t="s">
        <v>125</v>
      </c>
      <c r="E531" s="57" t="s">
        <v>82</v>
      </c>
      <c r="F531" s="60"/>
      <c r="G531" s="153">
        <f>SUM(Ведомственная!G821)</f>
        <v>0</v>
      </c>
      <c r="I531" s="154">
        <f t="shared" si="12"/>
        <v>0</v>
      </c>
      <c r="J531" s="154">
        <f t="shared" si="13"/>
        <v>0</v>
      </c>
    </row>
    <row r="532" spans="1:10" ht="31.5">
      <c r="A532" s="77" t="s">
        <v>511</v>
      </c>
      <c r="B532" s="82" t="s">
        <v>512</v>
      </c>
      <c r="C532" s="57"/>
      <c r="D532" s="57"/>
      <c r="E532" s="57"/>
      <c r="F532" s="60">
        <f>F536+F533</f>
        <v>40104.1</v>
      </c>
      <c r="I532" s="154">
        <f t="shared" si="12"/>
        <v>-40104.1</v>
      </c>
      <c r="J532" s="154">
        <f t="shared" si="13"/>
        <v>-40104.1</v>
      </c>
    </row>
    <row r="533" spans="1:10" ht="15.75" hidden="1">
      <c r="A533" s="77" t="s">
        <v>39</v>
      </c>
      <c r="B533" s="59" t="s">
        <v>635</v>
      </c>
      <c r="C533" s="57"/>
      <c r="D533" s="57"/>
      <c r="E533" s="57"/>
      <c r="F533" s="60">
        <f>F534</f>
        <v>0</v>
      </c>
      <c r="I533" s="154">
        <f t="shared" si="12"/>
        <v>0</v>
      </c>
      <c r="J533" s="154">
        <f t="shared" si="13"/>
        <v>0</v>
      </c>
    </row>
    <row r="534" spans="1:10" ht="15.75" hidden="1">
      <c r="A534" s="77" t="s">
        <v>636</v>
      </c>
      <c r="B534" s="59" t="s">
        <v>637</v>
      </c>
      <c r="C534" s="57"/>
      <c r="D534" s="57"/>
      <c r="E534" s="57"/>
      <c r="F534" s="60">
        <f>F535</f>
        <v>0</v>
      </c>
      <c r="I534" s="154">
        <f t="shared" si="12"/>
        <v>0</v>
      </c>
      <c r="J534" s="154">
        <f t="shared" si="13"/>
        <v>0</v>
      </c>
    </row>
    <row r="535" spans="1:10" ht="31.5" hidden="1">
      <c r="A535" s="77" t="s">
        <v>56</v>
      </c>
      <c r="B535" s="59" t="s">
        <v>637</v>
      </c>
      <c r="C535" s="57" t="s">
        <v>101</v>
      </c>
      <c r="D535" s="57"/>
      <c r="E535" s="57"/>
      <c r="F535" s="60"/>
      <c r="I535" s="154">
        <f t="shared" si="12"/>
        <v>0</v>
      </c>
      <c r="J535" s="154">
        <f t="shared" si="13"/>
        <v>0</v>
      </c>
    </row>
    <row r="536" spans="1:10" ht="31.5">
      <c r="A536" s="77" t="s">
        <v>49</v>
      </c>
      <c r="B536" s="83" t="s">
        <v>513</v>
      </c>
      <c r="C536" s="57"/>
      <c r="D536" s="57"/>
      <c r="E536" s="57"/>
      <c r="F536" s="60">
        <f>SUM(F537)</f>
        <v>40104.1</v>
      </c>
      <c r="I536" s="154">
        <f t="shared" si="12"/>
        <v>-40104.1</v>
      </c>
      <c r="J536" s="154">
        <f t="shared" si="13"/>
        <v>-40104.1</v>
      </c>
    </row>
    <row r="537" spans="1:10" ht="15.75">
      <c r="A537" s="100" t="s">
        <v>521</v>
      </c>
      <c r="B537" s="83" t="s">
        <v>514</v>
      </c>
      <c r="C537" s="57"/>
      <c r="D537" s="57"/>
      <c r="E537" s="57"/>
      <c r="F537" s="60">
        <f>F538+F539+F540</f>
        <v>40104.1</v>
      </c>
      <c r="I537" s="154">
        <f t="shared" si="12"/>
        <v>-40104.1</v>
      </c>
      <c r="J537" s="154">
        <f t="shared" si="13"/>
        <v>-40104.1</v>
      </c>
    </row>
    <row r="538" spans="1:10" ht="63">
      <c r="A538" s="51" t="s">
        <v>55</v>
      </c>
      <c r="B538" s="83" t="s">
        <v>514</v>
      </c>
      <c r="C538" s="57" t="s">
        <v>99</v>
      </c>
      <c r="D538" s="57" t="s">
        <v>125</v>
      </c>
      <c r="E538" s="57" t="s">
        <v>192</v>
      </c>
      <c r="F538" s="60">
        <v>35245.3</v>
      </c>
      <c r="G538" s="153">
        <f>SUM(Ведомственная!G877)</f>
        <v>35245.3</v>
      </c>
      <c r="I538" s="154">
        <f t="shared" si="12"/>
        <v>0</v>
      </c>
      <c r="J538" s="154">
        <f t="shared" si="13"/>
        <v>-35245.3</v>
      </c>
    </row>
    <row r="539" spans="1:10" ht="31.5">
      <c r="A539" s="77" t="s">
        <v>56</v>
      </c>
      <c r="B539" s="83" t="s">
        <v>514</v>
      </c>
      <c r="C539" s="57" t="s">
        <v>101</v>
      </c>
      <c r="D539" s="57" t="s">
        <v>125</v>
      </c>
      <c r="E539" s="57" t="s">
        <v>192</v>
      </c>
      <c r="F539" s="60">
        <v>4467.6</v>
      </c>
      <c r="G539" s="153">
        <f>SUM(Ведомственная!G878)</f>
        <v>4467.6</v>
      </c>
      <c r="I539" s="154">
        <f t="shared" si="12"/>
        <v>0</v>
      </c>
      <c r="J539" s="154">
        <f t="shared" si="13"/>
        <v>-4467.6</v>
      </c>
    </row>
    <row r="540" spans="1:10" ht="15.75">
      <c r="A540" s="77" t="s">
        <v>26</v>
      </c>
      <c r="B540" s="83" t="s">
        <v>514</v>
      </c>
      <c r="C540" s="57" t="s">
        <v>106</v>
      </c>
      <c r="D540" s="57" t="s">
        <v>125</v>
      </c>
      <c r="E540" s="57" t="s">
        <v>192</v>
      </c>
      <c r="F540" s="60">
        <v>391.2</v>
      </c>
      <c r="G540" s="153">
        <f>SUM(Ведомственная!G879)</f>
        <v>391.2</v>
      </c>
      <c r="I540" s="154">
        <f t="shared" si="12"/>
        <v>0</v>
      </c>
      <c r="J540" s="154">
        <f t="shared" si="13"/>
        <v>-391.2</v>
      </c>
    </row>
    <row r="541" spans="1:11" ht="31.5">
      <c r="A541" s="77" t="s">
        <v>324</v>
      </c>
      <c r="B541" s="57" t="s">
        <v>325</v>
      </c>
      <c r="C541" s="57"/>
      <c r="D541" s="57"/>
      <c r="E541" s="57"/>
      <c r="F541" s="60">
        <f>F542+F548+F562+F566</f>
        <v>94690.40000000001</v>
      </c>
      <c r="H541" s="155">
        <f>SUM(G542:G587)</f>
        <v>94690.40000000001</v>
      </c>
      <c r="I541" s="154">
        <f t="shared" si="12"/>
        <v>-94690.40000000001</v>
      </c>
      <c r="J541" s="154">
        <f t="shared" si="13"/>
        <v>0</v>
      </c>
      <c r="K541" s="31">
        <f>Ведомственная!G634+Ведомственная!G384</f>
        <v>94690.40000000001</v>
      </c>
    </row>
    <row r="542" spans="1:11" ht="31.5">
      <c r="A542" s="77" t="s">
        <v>426</v>
      </c>
      <c r="B542" s="57" t="s">
        <v>326</v>
      </c>
      <c r="C542" s="57"/>
      <c r="D542" s="57"/>
      <c r="E542" s="57"/>
      <c r="F542" s="60">
        <f>F543</f>
        <v>5751.1</v>
      </c>
      <c r="I542" s="154">
        <f t="shared" si="12"/>
        <v>-5751.1</v>
      </c>
      <c r="J542" s="154">
        <f t="shared" si="13"/>
        <v>-5751.1</v>
      </c>
      <c r="K542" s="40">
        <f>K541-F541</f>
        <v>0</v>
      </c>
    </row>
    <row r="543" spans="1:10" ht="31.5">
      <c r="A543" s="77" t="s">
        <v>49</v>
      </c>
      <c r="B543" s="57" t="s">
        <v>327</v>
      </c>
      <c r="C543" s="57"/>
      <c r="D543" s="57"/>
      <c r="E543" s="57"/>
      <c r="F543" s="60">
        <f>F544</f>
        <v>5751.1</v>
      </c>
      <c r="I543" s="154">
        <f t="shared" si="12"/>
        <v>-5751.1</v>
      </c>
      <c r="J543" s="154">
        <f t="shared" si="13"/>
        <v>-5751.1</v>
      </c>
    </row>
    <row r="544" spans="1:10" ht="15.75">
      <c r="A544" s="77" t="s">
        <v>328</v>
      </c>
      <c r="B544" s="57" t="s">
        <v>329</v>
      </c>
      <c r="C544" s="57"/>
      <c r="D544" s="57"/>
      <c r="E544" s="57"/>
      <c r="F544" s="60">
        <f>F545+F546+F547</f>
        <v>5751.1</v>
      </c>
      <c r="I544" s="154">
        <f t="shared" si="12"/>
        <v>-5751.1</v>
      </c>
      <c r="J544" s="154">
        <f t="shared" si="13"/>
        <v>-5751.1</v>
      </c>
    </row>
    <row r="545" spans="1:10" ht="63">
      <c r="A545" s="51" t="s">
        <v>55</v>
      </c>
      <c r="B545" s="57" t="s">
        <v>329</v>
      </c>
      <c r="C545" s="57" t="s">
        <v>99</v>
      </c>
      <c r="D545" s="57" t="s">
        <v>189</v>
      </c>
      <c r="E545" s="57" t="s">
        <v>38</v>
      </c>
      <c r="F545" s="60">
        <v>5023.2</v>
      </c>
      <c r="G545" s="153">
        <f>SUM(Ведомственная!G638)</f>
        <v>5023.2</v>
      </c>
      <c r="I545" s="154">
        <f t="shared" si="12"/>
        <v>0</v>
      </c>
      <c r="J545" s="154">
        <f t="shared" si="13"/>
        <v>-5023.2</v>
      </c>
    </row>
    <row r="546" spans="1:10" ht="31.5">
      <c r="A546" s="77" t="s">
        <v>56</v>
      </c>
      <c r="B546" s="57" t="s">
        <v>329</v>
      </c>
      <c r="C546" s="57" t="s">
        <v>101</v>
      </c>
      <c r="D546" s="57" t="s">
        <v>189</v>
      </c>
      <c r="E546" s="57" t="s">
        <v>38</v>
      </c>
      <c r="F546" s="58">
        <v>726.1</v>
      </c>
      <c r="G546" s="153">
        <f>SUM(Ведомственная!G639)</f>
        <v>726.1</v>
      </c>
      <c r="I546" s="154">
        <f t="shared" si="12"/>
        <v>0</v>
      </c>
      <c r="J546" s="154">
        <f t="shared" si="13"/>
        <v>-726.1</v>
      </c>
    </row>
    <row r="547" spans="1:10" ht="15.75">
      <c r="A547" s="77" t="s">
        <v>26</v>
      </c>
      <c r="B547" s="57" t="s">
        <v>329</v>
      </c>
      <c r="C547" s="57" t="s">
        <v>106</v>
      </c>
      <c r="D547" s="57" t="s">
        <v>189</v>
      </c>
      <c r="E547" s="57" t="s">
        <v>38</v>
      </c>
      <c r="F547" s="60">
        <v>1.8</v>
      </c>
      <c r="G547" s="153">
        <f>SUM(Ведомственная!G640)</f>
        <v>1.8</v>
      </c>
      <c r="I547" s="154">
        <f aca="true" t="shared" si="14" ref="I547:I610">G547-F547</f>
        <v>0</v>
      </c>
      <c r="J547" s="154">
        <f t="shared" si="13"/>
        <v>-1.8</v>
      </c>
    </row>
    <row r="548" spans="1:10" ht="31.5">
      <c r="A548" s="77" t="s">
        <v>342</v>
      </c>
      <c r="B548" s="57" t="s">
        <v>330</v>
      </c>
      <c r="C548" s="57"/>
      <c r="D548" s="57"/>
      <c r="E548" s="57"/>
      <c r="F548" s="60">
        <f>F549</f>
        <v>5733</v>
      </c>
      <c r="I548" s="154">
        <f t="shared" si="14"/>
        <v>-5733</v>
      </c>
      <c r="J548" s="154">
        <f t="shared" si="13"/>
        <v>-5733</v>
      </c>
    </row>
    <row r="549" spans="1:10" ht="15.75">
      <c r="A549" s="77" t="s">
        <v>39</v>
      </c>
      <c r="B549" s="57" t="s">
        <v>427</v>
      </c>
      <c r="C549" s="57"/>
      <c r="D549" s="57"/>
      <c r="E549" s="57"/>
      <c r="F549" s="60">
        <f>F550+F556+F560+F554+F558</f>
        <v>5733</v>
      </c>
      <c r="I549" s="154">
        <f t="shared" si="14"/>
        <v>-5733</v>
      </c>
      <c r="J549" s="154">
        <f t="shared" si="13"/>
        <v>-5733</v>
      </c>
    </row>
    <row r="550" spans="1:10" ht="15.75">
      <c r="A550" s="77" t="s">
        <v>328</v>
      </c>
      <c r="B550" s="57" t="s">
        <v>428</v>
      </c>
      <c r="C550" s="57"/>
      <c r="D550" s="57"/>
      <c r="E550" s="57"/>
      <c r="F550" s="60">
        <f>+F551+F552+F553</f>
        <v>3424</v>
      </c>
      <c r="I550" s="154">
        <f t="shared" si="14"/>
        <v>-3424</v>
      </c>
      <c r="J550" s="154">
        <f aca="true" t="shared" si="15" ref="J550:J561">SUM(H550-F550)</f>
        <v>-3424</v>
      </c>
    </row>
    <row r="551" spans="1:10" ht="63">
      <c r="A551" s="51" t="s">
        <v>55</v>
      </c>
      <c r="B551" s="57" t="s">
        <v>428</v>
      </c>
      <c r="C551" s="57" t="s">
        <v>99</v>
      </c>
      <c r="D551" s="57" t="s">
        <v>189</v>
      </c>
      <c r="E551" s="57" t="s">
        <v>38</v>
      </c>
      <c r="F551" s="60">
        <v>1484</v>
      </c>
      <c r="G551" s="153">
        <f>SUM(Ведомственная!G644)</f>
        <v>1484</v>
      </c>
      <c r="I551" s="154">
        <f t="shared" si="14"/>
        <v>0</v>
      </c>
      <c r="J551" s="154">
        <f t="shared" si="15"/>
        <v>-1484</v>
      </c>
    </row>
    <row r="552" spans="1:10" ht="31.5">
      <c r="A552" s="77" t="s">
        <v>56</v>
      </c>
      <c r="B552" s="57" t="s">
        <v>428</v>
      </c>
      <c r="C552" s="57" t="s">
        <v>101</v>
      </c>
      <c r="D552" s="57" t="s">
        <v>189</v>
      </c>
      <c r="E552" s="57" t="s">
        <v>38</v>
      </c>
      <c r="F552" s="60">
        <v>1820</v>
      </c>
      <c r="G552" s="153">
        <f>SUM(Ведомственная!G645)</f>
        <v>1820</v>
      </c>
      <c r="I552" s="154">
        <f t="shared" si="14"/>
        <v>0</v>
      </c>
      <c r="J552" s="154">
        <f t="shared" si="15"/>
        <v>-1820</v>
      </c>
    </row>
    <row r="553" spans="1:10" ht="31.5">
      <c r="A553" s="77" t="s">
        <v>283</v>
      </c>
      <c r="B553" s="57" t="s">
        <v>428</v>
      </c>
      <c r="C553" s="57" t="s">
        <v>135</v>
      </c>
      <c r="D553" s="57" t="s">
        <v>189</v>
      </c>
      <c r="E553" s="57" t="s">
        <v>38</v>
      </c>
      <c r="F553" s="60">
        <v>120</v>
      </c>
      <c r="G553" s="153">
        <f>SUM(Ведомственная!G646)</f>
        <v>120</v>
      </c>
      <c r="I553" s="154">
        <f t="shared" si="14"/>
        <v>0</v>
      </c>
      <c r="J553" s="154">
        <f t="shared" si="15"/>
        <v>-120</v>
      </c>
    </row>
    <row r="554" spans="1:10" ht="47.25">
      <c r="A554" s="51" t="s">
        <v>683</v>
      </c>
      <c r="B554" s="80" t="s">
        <v>684</v>
      </c>
      <c r="C554" s="80"/>
      <c r="D554" s="57"/>
      <c r="E554" s="57"/>
      <c r="F554" s="60">
        <f>SUM(F555)</f>
        <v>1760</v>
      </c>
      <c r="I554" s="154">
        <f t="shared" si="14"/>
        <v>-1760</v>
      </c>
      <c r="J554" s="154"/>
    </row>
    <row r="555" spans="1:10" ht="31.5">
      <c r="A555" s="51" t="s">
        <v>283</v>
      </c>
      <c r="B555" s="80" t="s">
        <v>684</v>
      </c>
      <c r="C555" s="80" t="s">
        <v>135</v>
      </c>
      <c r="D555" s="57" t="s">
        <v>189</v>
      </c>
      <c r="E555" s="57" t="s">
        <v>38</v>
      </c>
      <c r="F555" s="60">
        <v>1760</v>
      </c>
      <c r="G555" s="153">
        <f>SUM(Ведомственная!G648)</f>
        <v>1760</v>
      </c>
      <c r="I555" s="154">
        <f t="shared" si="14"/>
        <v>0</v>
      </c>
      <c r="J555" s="154"/>
    </row>
    <row r="556" spans="1:10" ht="31.5">
      <c r="A556" s="77" t="s">
        <v>338</v>
      </c>
      <c r="B556" s="57" t="s">
        <v>429</v>
      </c>
      <c r="C556" s="57"/>
      <c r="D556" s="57"/>
      <c r="E556" s="57"/>
      <c r="F556" s="60">
        <f>F557</f>
        <v>499</v>
      </c>
      <c r="I556" s="154">
        <f t="shared" si="14"/>
        <v>-499</v>
      </c>
      <c r="J556" s="154">
        <f t="shared" si="15"/>
        <v>-499</v>
      </c>
    </row>
    <row r="557" spans="1:10" ht="31.5">
      <c r="A557" s="77" t="s">
        <v>56</v>
      </c>
      <c r="B557" s="57" t="s">
        <v>429</v>
      </c>
      <c r="C557" s="57" t="s">
        <v>101</v>
      </c>
      <c r="D557" s="57" t="s">
        <v>189</v>
      </c>
      <c r="E557" s="57" t="s">
        <v>38</v>
      </c>
      <c r="F557" s="60">
        <v>499</v>
      </c>
      <c r="G557" s="153">
        <f>SUM(Ведомственная!G650)</f>
        <v>499</v>
      </c>
      <c r="I557" s="154">
        <f t="shared" si="14"/>
        <v>0</v>
      </c>
      <c r="J557" s="154">
        <f t="shared" si="15"/>
        <v>-499</v>
      </c>
    </row>
    <row r="558" spans="1:10" ht="78.75">
      <c r="A558" s="102" t="s">
        <v>685</v>
      </c>
      <c r="B558" s="57" t="s">
        <v>686</v>
      </c>
      <c r="C558" s="57"/>
      <c r="D558" s="57"/>
      <c r="E558" s="57"/>
      <c r="F558" s="60">
        <f>SUM(F559)</f>
        <v>50</v>
      </c>
      <c r="I558" s="154">
        <f t="shared" si="14"/>
        <v>-50</v>
      </c>
      <c r="J558" s="154"/>
    </row>
    <row r="559" spans="1:10" ht="29.25" customHeight="1">
      <c r="A559" s="102" t="s">
        <v>283</v>
      </c>
      <c r="B559" s="57" t="s">
        <v>686</v>
      </c>
      <c r="C559" s="57" t="s">
        <v>135</v>
      </c>
      <c r="D559" s="57" t="s">
        <v>189</v>
      </c>
      <c r="E559" s="57" t="s">
        <v>38</v>
      </c>
      <c r="F559" s="60">
        <v>50</v>
      </c>
      <c r="G559" s="153">
        <f>SUM(Ведомственная!G652)</f>
        <v>50</v>
      </c>
      <c r="I559" s="154">
        <f t="shared" si="14"/>
        <v>0</v>
      </c>
      <c r="J559" s="154"/>
    </row>
    <row r="560" spans="1:10" ht="47.25" hidden="1">
      <c r="A560" s="77" t="s">
        <v>339</v>
      </c>
      <c r="B560" s="57" t="s">
        <v>430</v>
      </c>
      <c r="C560" s="57"/>
      <c r="D560" s="57"/>
      <c r="E560" s="57"/>
      <c r="F560" s="60">
        <f>F561</f>
        <v>0</v>
      </c>
      <c r="I560" s="154">
        <f t="shared" si="14"/>
        <v>0</v>
      </c>
      <c r="J560" s="154">
        <f t="shared" si="15"/>
        <v>0</v>
      </c>
    </row>
    <row r="561" spans="1:10" ht="31.5" hidden="1">
      <c r="A561" s="77" t="s">
        <v>283</v>
      </c>
      <c r="B561" s="57" t="s">
        <v>430</v>
      </c>
      <c r="C561" s="57" t="s">
        <v>135</v>
      </c>
      <c r="D561" s="57" t="s">
        <v>189</v>
      </c>
      <c r="E561" s="57" t="s">
        <v>38</v>
      </c>
      <c r="F561" s="60"/>
      <c r="G561" s="153">
        <f>SUM(Ведомственная!G654)</f>
        <v>0</v>
      </c>
      <c r="I561" s="154">
        <f t="shared" si="14"/>
        <v>0</v>
      </c>
      <c r="J561" s="154">
        <f t="shared" si="15"/>
        <v>0</v>
      </c>
    </row>
    <row r="562" spans="1:10" ht="78.75">
      <c r="A562" s="77" t="s">
        <v>340</v>
      </c>
      <c r="B562" s="83" t="s">
        <v>333</v>
      </c>
      <c r="C562" s="57"/>
      <c r="D562" s="57"/>
      <c r="E562" s="57"/>
      <c r="F562" s="60">
        <f>F563</f>
        <v>70957.3</v>
      </c>
      <c r="I562" s="154">
        <f t="shared" si="14"/>
        <v>-70957.3</v>
      </c>
      <c r="J562" s="154">
        <f aca="true" t="shared" si="16" ref="J562:J647">SUM(H562-F562)</f>
        <v>-70957.3</v>
      </c>
    </row>
    <row r="563" spans="1:10" ht="31.5">
      <c r="A563" s="77" t="s">
        <v>331</v>
      </c>
      <c r="B563" s="83" t="s">
        <v>431</v>
      </c>
      <c r="C563" s="57"/>
      <c r="D563" s="57"/>
      <c r="E563" s="57"/>
      <c r="F563" s="60">
        <f>F564</f>
        <v>70957.3</v>
      </c>
      <c r="I563" s="154">
        <f t="shared" si="14"/>
        <v>-70957.3</v>
      </c>
      <c r="J563" s="154">
        <f t="shared" si="16"/>
        <v>-70957.3</v>
      </c>
    </row>
    <row r="564" spans="1:10" ht="15.75">
      <c r="A564" s="77" t="s">
        <v>328</v>
      </c>
      <c r="B564" s="83" t="s">
        <v>432</v>
      </c>
      <c r="C564" s="57"/>
      <c r="D564" s="57"/>
      <c r="E564" s="57"/>
      <c r="F564" s="60">
        <f>F565</f>
        <v>70957.3</v>
      </c>
      <c r="I564" s="154">
        <f t="shared" si="14"/>
        <v>-70957.3</v>
      </c>
      <c r="J564" s="154">
        <f t="shared" si="16"/>
        <v>-70957.3</v>
      </c>
    </row>
    <row r="565" spans="1:10" ht="31.5">
      <c r="A565" s="77" t="s">
        <v>76</v>
      </c>
      <c r="B565" s="83" t="s">
        <v>432</v>
      </c>
      <c r="C565" s="57" t="s">
        <v>135</v>
      </c>
      <c r="D565" s="57" t="s">
        <v>189</v>
      </c>
      <c r="E565" s="57" t="s">
        <v>38</v>
      </c>
      <c r="F565" s="60">
        <v>70957.3</v>
      </c>
      <c r="G565" s="153">
        <f>SUM(Ведомственная!G658)</f>
        <v>70957.3</v>
      </c>
      <c r="I565" s="154">
        <f t="shared" si="14"/>
        <v>0</v>
      </c>
      <c r="J565" s="154">
        <f t="shared" si="16"/>
        <v>-70957.3</v>
      </c>
    </row>
    <row r="566" spans="1:10" ht="45" customHeight="1">
      <c r="A566" s="77" t="s">
        <v>341</v>
      </c>
      <c r="B566" s="57" t="s">
        <v>337</v>
      </c>
      <c r="C566" s="57"/>
      <c r="D566" s="57"/>
      <c r="E566" s="57"/>
      <c r="F566" s="60">
        <f>SUM(F567+F571+F569)</f>
        <v>12249</v>
      </c>
      <c r="I566" s="154">
        <f t="shared" si="14"/>
        <v>-12249</v>
      </c>
      <c r="J566" s="154">
        <f t="shared" si="16"/>
        <v>-12249</v>
      </c>
    </row>
    <row r="567" spans="1:10" ht="31.5">
      <c r="A567" s="17" t="s">
        <v>358</v>
      </c>
      <c r="B567" s="88" t="s">
        <v>422</v>
      </c>
      <c r="C567" s="88"/>
      <c r="D567" s="71"/>
      <c r="E567" s="71"/>
      <c r="F567" s="72">
        <f>SUM(F568)</f>
        <v>9322</v>
      </c>
      <c r="I567" s="154">
        <f t="shared" si="14"/>
        <v>-9322</v>
      </c>
      <c r="J567" s="154">
        <f t="shared" si="16"/>
        <v>-9322</v>
      </c>
    </row>
    <row r="568" spans="1:10" ht="31.5">
      <c r="A568" s="17" t="s">
        <v>359</v>
      </c>
      <c r="B568" s="88" t="s">
        <v>422</v>
      </c>
      <c r="C568" s="88">
        <v>400</v>
      </c>
      <c r="D568" s="57" t="s">
        <v>189</v>
      </c>
      <c r="E568" s="57" t="s">
        <v>38</v>
      </c>
      <c r="F568" s="72">
        <f>1000+8322</f>
        <v>9322</v>
      </c>
      <c r="G568" s="153">
        <f>SUM(Ведомственная!G387)</f>
        <v>9322</v>
      </c>
      <c r="I568" s="154">
        <f t="shared" si="14"/>
        <v>0</v>
      </c>
      <c r="J568" s="154">
        <f t="shared" si="16"/>
        <v>-9322</v>
      </c>
    </row>
    <row r="569" spans="1:10" ht="47.25">
      <c r="A569" s="70" t="s">
        <v>750</v>
      </c>
      <c r="B569" s="89" t="s">
        <v>751</v>
      </c>
      <c r="C569" s="89"/>
      <c r="D569" s="57"/>
      <c r="E569" s="57"/>
      <c r="F569" s="72">
        <f>SUM(F570)</f>
        <v>800</v>
      </c>
      <c r="I569" s="154">
        <f t="shared" si="14"/>
        <v>-800</v>
      </c>
      <c r="J569" s="154"/>
    </row>
    <row r="570" spans="1:10" ht="31.5">
      <c r="A570" s="70" t="s">
        <v>359</v>
      </c>
      <c r="B570" s="89" t="s">
        <v>751</v>
      </c>
      <c r="C570" s="89">
        <v>400</v>
      </c>
      <c r="D570" s="57" t="s">
        <v>189</v>
      </c>
      <c r="E570" s="57" t="s">
        <v>38</v>
      </c>
      <c r="F570" s="72">
        <v>800</v>
      </c>
      <c r="G570" s="153">
        <f>SUM(Ведомственная!G389)</f>
        <v>800</v>
      </c>
      <c r="I570" s="154">
        <f t="shared" si="14"/>
        <v>0</v>
      </c>
      <c r="J570" s="154"/>
    </row>
    <row r="571" spans="1:10" ht="15.75">
      <c r="A571" s="77" t="s">
        <v>166</v>
      </c>
      <c r="B571" s="57" t="s">
        <v>433</v>
      </c>
      <c r="C571" s="57"/>
      <c r="D571" s="57"/>
      <c r="E571" s="57"/>
      <c r="F571" s="60">
        <f>SUM(F572+F577+F580+F583)</f>
        <v>2127</v>
      </c>
      <c r="I571" s="154">
        <f t="shared" si="14"/>
        <v>-2127</v>
      </c>
      <c r="J571" s="154">
        <f t="shared" si="16"/>
        <v>-2127</v>
      </c>
    </row>
    <row r="572" spans="1:10" ht="31.5">
      <c r="A572" s="77" t="s">
        <v>527</v>
      </c>
      <c r="B572" s="57" t="s">
        <v>528</v>
      </c>
      <c r="C572" s="57"/>
      <c r="D572" s="57"/>
      <c r="E572" s="57"/>
      <c r="F572" s="60">
        <f>F575+F573</f>
        <v>1000</v>
      </c>
      <c r="I572" s="154">
        <f t="shared" si="14"/>
        <v>-1000</v>
      </c>
      <c r="J572" s="154">
        <f t="shared" si="16"/>
        <v>-1000</v>
      </c>
    </row>
    <row r="573" spans="1:10" ht="47.25">
      <c r="A573" s="51" t="s">
        <v>683</v>
      </c>
      <c r="B573" s="80" t="s">
        <v>687</v>
      </c>
      <c r="C573" s="80"/>
      <c r="D573" s="57"/>
      <c r="E573" s="57"/>
      <c r="F573" s="60">
        <f>SUM(F574)</f>
        <v>1000</v>
      </c>
      <c r="I573" s="154">
        <f t="shared" si="14"/>
        <v>-1000</v>
      </c>
      <c r="J573" s="154"/>
    </row>
    <row r="574" spans="1:10" ht="29.25" customHeight="1">
      <c r="A574" s="51" t="s">
        <v>283</v>
      </c>
      <c r="B574" s="80" t="s">
        <v>687</v>
      </c>
      <c r="C574" s="80" t="s">
        <v>135</v>
      </c>
      <c r="D574" s="57" t="s">
        <v>189</v>
      </c>
      <c r="E574" s="57" t="s">
        <v>38</v>
      </c>
      <c r="F574" s="60">
        <v>1000</v>
      </c>
      <c r="G574" s="153">
        <f>SUM(Ведомственная!G665)</f>
        <v>1000</v>
      </c>
      <c r="I574" s="154">
        <f t="shared" si="14"/>
        <v>0</v>
      </c>
      <c r="J574" s="154"/>
    </row>
    <row r="575" spans="1:10" ht="14.25" customHeight="1" hidden="1">
      <c r="A575" s="77" t="s">
        <v>328</v>
      </c>
      <c r="B575" s="57" t="s">
        <v>529</v>
      </c>
      <c r="C575" s="57"/>
      <c r="D575" s="57"/>
      <c r="E575" s="57"/>
      <c r="F575" s="60">
        <f>F576</f>
        <v>0</v>
      </c>
      <c r="I575" s="154">
        <f t="shared" si="14"/>
        <v>0</v>
      </c>
      <c r="J575" s="154">
        <f t="shared" si="16"/>
        <v>0</v>
      </c>
    </row>
    <row r="576" spans="1:10" ht="31.5" hidden="1">
      <c r="A576" s="77" t="s">
        <v>76</v>
      </c>
      <c r="B576" s="57" t="s">
        <v>529</v>
      </c>
      <c r="C576" s="57" t="s">
        <v>135</v>
      </c>
      <c r="D576" s="57" t="s">
        <v>189</v>
      </c>
      <c r="E576" s="57" t="s">
        <v>38</v>
      </c>
      <c r="F576" s="60"/>
      <c r="G576" s="153">
        <f>SUM(Ведомственная!G663)</f>
        <v>0</v>
      </c>
      <c r="I576" s="154">
        <f t="shared" si="14"/>
        <v>0</v>
      </c>
      <c r="J576" s="154">
        <f t="shared" si="16"/>
        <v>0</v>
      </c>
    </row>
    <row r="577" spans="1:10" ht="31.5">
      <c r="A577" s="77" t="s">
        <v>334</v>
      </c>
      <c r="B577" s="57" t="s">
        <v>434</v>
      </c>
      <c r="C577" s="57"/>
      <c r="D577" s="57"/>
      <c r="E577" s="57"/>
      <c r="F577" s="60">
        <f>F578</f>
        <v>657</v>
      </c>
      <c r="I577" s="154">
        <f t="shared" si="14"/>
        <v>-657</v>
      </c>
      <c r="J577" s="154">
        <f t="shared" si="16"/>
        <v>-657</v>
      </c>
    </row>
    <row r="578" spans="1:10" ht="15.75">
      <c r="A578" s="77" t="s">
        <v>328</v>
      </c>
      <c r="B578" s="57" t="s">
        <v>435</v>
      </c>
      <c r="C578" s="57"/>
      <c r="D578" s="57"/>
      <c r="E578" s="57"/>
      <c r="F578" s="60">
        <f>F579</f>
        <v>657</v>
      </c>
      <c r="I578" s="154">
        <f t="shared" si="14"/>
        <v>-657</v>
      </c>
      <c r="J578" s="154">
        <f t="shared" si="16"/>
        <v>-657</v>
      </c>
    </row>
    <row r="579" spans="1:10" ht="31.5">
      <c r="A579" s="77" t="s">
        <v>76</v>
      </c>
      <c r="B579" s="57" t="s">
        <v>435</v>
      </c>
      <c r="C579" s="57" t="s">
        <v>135</v>
      </c>
      <c r="D579" s="57" t="s">
        <v>189</v>
      </c>
      <c r="E579" s="57" t="s">
        <v>38</v>
      </c>
      <c r="F579" s="60">
        <v>657</v>
      </c>
      <c r="G579" s="153">
        <f>SUM(Ведомственная!G671)</f>
        <v>657</v>
      </c>
      <c r="I579" s="154">
        <f t="shared" si="14"/>
        <v>0</v>
      </c>
      <c r="J579" s="154">
        <f t="shared" si="16"/>
        <v>-657</v>
      </c>
    </row>
    <row r="580" spans="1:10" ht="31.5" hidden="1">
      <c r="A580" s="77" t="s">
        <v>335</v>
      </c>
      <c r="B580" s="57" t="s">
        <v>436</v>
      </c>
      <c r="C580" s="57"/>
      <c r="D580" s="57"/>
      <c r="E580" s="57"/>
      <c r="F580" s="60">
        <f>+F581</f>
        <v>0</v>
      </c>
      <c r="I580" s="154">
        <f t="shared" si="14"/>
        <v>0</v>
      </c>
      <c r="J580" s="154">
        <f t="shared" si="16"/>
        <v>0</v>
      </c>
    </row>
    <row r="581" spans="1:10" ht="15.75" hidden="1">
      <c r="A581" s="77" t="s">
        <v>328</v>
      </c>
      <c r="B581" s="57" t="s">
        <v>437</v>
      </c>
      <c r="C581" s="57"/>
      <c r="D581" s="57"/>
      <c r="E581" s="57"/>
      <c r="F581" s="60">
        <f>F582</f>
        <v>0</v>
      </c>
      <c r="I581" s="154">
        <f t="shared" si="14"/>
        <v>0</v>
      </c>
      <c r="J581" s="154">
        <f t="shared" si="16"/>
        <v>0</v>
      </c>
    </row>
    <row r="582" spans="1:10" ht="31.5" hidden="1">
      <c r="A582" s="77" t="s">
        <v>76</v>
      </c>
      <c r="B582" s="57" t="s">
        <v>437</v>
      </c>
      <c r="C582" s="57" t="s">
        <v>135</v>
      </c>
      <c r="D582" s="57"/>
      <c r="E582" s="57"/>
      <c r="F582" s="60"/>
      <c r="G582" s="153">
        <f>SUM(Ведомственная!G674)</f>
        <v>0</v>
      </c>
      <c r="I582" s="154">
        <f t="shared" si="14"/>
        <v>0</v>
      </c>
      <c r="J582" s="154">
        <f t="shared" si="16"/>
        <v>0</v>
      </c>
    </row>
    <row r="583" spans="1:10" ht="31.5">
      <c r="A583" s="77" t="s">
        <v>336</v>
      </c>
      <c r="B583" s="57" t="s">
        <v>438</v>
      </c>
      <c r="C583" s="57"/>
      <c r="D583" s="57"/>
      <c r="E583" s="57"/>
      <c r="F583" s="60">
        <f>+F586+F584</f>
        <v>470</v>
      </c>
      <c r="I583" s="154">
        <f t="shared" si="14"/>
        <v>-470</v>
      </c>
      <c r="J583" s="154">
        <f t="shared" si="16"/>
        <v>-470</v>
      </c>
    </row>
    <row r="584" spans="1:10" ht="47.25">
      <c r="A584" s="51" t="s">
        <v>683</v>
      </c>
      <c r="B584" s="80" t="s">
        <v>688</v>
      </c>
      <c r="C584" s="80"/>
      <c r="D584" s="57"/>
      <c r="E584" s="57"/>
      <c r="F584" s="60">
        <f>SUM(F585)</f>
        <v>470</v>
      </c>
      <c r="I584" s="154">
        <f t="shared" si="14"/>
        <v>-470</v>
      </c>
      <c r="J584" s="154"/>
    </row>
    <row r="585" spans="1:10" ht="28.5" customHeight="1">
      <c r="A585" s="51" t="s">
        <v>283</v>
      </c>
      <c r="B585" s="80" t="s">
        <v>688</v>
      </c>
      <c r="C585" s="80" t="s">
        <v>135</v>
      </c>
      <c r="D585" s="57" t="s">
        <v>189</v>
      </c>
      <c r="E585" s="57" t="s">
        <v>38</v>
      </c>
      <c r="F585" s="60">
        <v>470</v>
      </c>
      <c r="G585" s="153">
        <f>SUM(Ведомственная!G677)</f>
        <v>470</v>
      </c>
      <c r="I585" s="154">
        <f t="shared" si="14"/>
        <v>0</v>
      </c>
      <c r="J585" s="154"/>
    </row>
    <row r="586" spans="1:10" ht="15.75" hidden="1">
      <c r="A586" s="77" t="s">
        <v>328</v>
      </c>
      <c r="B586" s="57" t="s">
        <v>439</v>
      </c>
      <c r="C586" s="57"/>
      <c r="D586" s="57"/>
      <c r="E586" s="57"/>
      <c r="F586" s="60">
        <f>F587</f>
        <v>0</v>
      </c>
      <c r="I586" s="154">
        <f t="shared" si="14"/>
        <v>0</v>
      </c>
      <c r="J586" s="154">
        <f t="shared" si="16"/>
        <v>0</v>
      </c>
    </row>
    <row r="587" spans="1:10" ht="15.75" hidden="1">
      <c r="A587" s="77" t="s">
        <v>332</v>
      </c>
      <c r="B587" s="57" t="s">
        <v>439</v>
      </c>
      <c r="C587" s="57" t="s">
        <v>135</v>
      </c>
      <c r="D587" s="57" t="s">
        <v>189</v>
      </c>
      <c r="E587" s="57" t="s">
        <v>38</v>
      </c>
      <c r="F587" s="60"/>
      <c r="G587" s="153">
        <f>SUM(Ведомственная!G679)</f>
        <v>0</v>
      </c>
      <c r="I587" s="154">
        <f t="shared" si="14"/>
        <v>0</v>
      </c>
      <c r="J587" s="154">
        <f t="shared" si="16"/>
        <v>0</v>
      </c>
    </row>
    <row r="588" spans="1:10" ht="31.5">
      <c r="A588" s="51" t="s">
        <v>88</v>
      </c>
      <c r="B588" s="52" t="s">
        <v>20</v>
      </c>
      <c r="C588" s="52"/>
      <c r="D588" s="53"/>
      <c r="E588" s="53"/>
      <c r="F588" s="54">
        <f>SUM(F589+F614+F619+F630)</f>
        <v>20906.6</v>
      </c>
      <c r="G588" s="154"/>
      <c r="H588" s="159">
        <f>SUM(G589:G634)</f>
        <v>20906.6</v>
      </c>
      <c r="I588" s="154">
        <f t="shared" si="14"/>
        <v>-20906.6</v>
      </c>
      <c r="J588" s="154">
        <f t="shared" si="16"/>
        <v>0</v>
      </c>
    </row>
    <row r="589" spans="1:10" ht="47.25">
      <c r="A589" s="51" t="s">
        <v>89</v>
      </c>
      <c r="B589" s="52" t="s">
        <v>21</v>
      </c>
      <c r="C589" s="52"/>
      <c r="D589" s="53"/>
      <c r="E589" s="53"/>
      <c r="F589" s="54">
        <f>F603+F590+F606</f>
        <v>14751.000000000002</v>
      </c>
      <c r="G589" s="154"/>
      <c r="I589" s="154">
        <f t="shared" si="14"/>
        <v>-14751.000000000002</v>
      </c>
      <c r="J589" s="154">
        <f t="shared" si="16"/>
        <v>-14751.000000000002</v>
      </c>
    </row>
    <row r="590" spans="1:10" ht="15.75">
      <c r="A590" s="51" t="s">
        <v>39</v>
      </c>
      <c r="B590" s="52" t="s">
        <v>40</v>
      </c>
      <c r="C590" s="52"/>
      <c r="D590" s="53"/>
      <c r="E590" s="53"/>
      <c r="F590" s="54">
        <f>SUM(F591+F594+F599)</f>
        <v>12551.000000000002</v>
      </c>
      <c r="I590" s="154">
        <f t="shared" si="14"/>
        <v>-12551.000000000002</v>
      </c>
      <c r="J590" s="154">
        <f t="shared" si="16"/>
        <v>-12551.000000000002</v>
      </c>
    </row>
    <row r="591" spans="1:10" ht="15.75">
      <c r="A591" s="51" t="s">
        <v>42</v>
      </c>
      <c r="B591" s="52" t="s">
        <v>43</v>
      </c>
      <c r="C591" s="52"/>
      <c r="D591" s="53"/>
      <c r="E591" s="53"/>
      <c r="F591" s="54">
        <f>F592</f>
        <v>8760.7</v>
      </c>
      <c r="I591" s="154">
        <f t="shared" si="14"/>
        <v>-8760.7</v>
      </c>
      <c r="J591" s="154">
        <f t="shared" si="16"/>
        <v>-8760.7</v>
      </c>
    </row>
    <row r="592" spans="1:10" ht="31.5">
      <c r="A592" s="51" t="s">
        <v>44</v>
      </c>
      <c r="B592" s="52" t="s">
        <v>45</v>
      </c>
      <c r="C592" s="52"/>
      <c r="D592" s="53"/>
      <c r="E592" s="53"/>
      <c r="F592" s="54">
        <f>F593</f>
        <v>8760.7</v>
      </c>
      <c r="I592" s="154">
        <f t="shared" si="14"/>
        <v>-8760.7</v>
      </c>
      <c r="J592" s="154">
        <f t="shared" si="16"/>
        <v>-8760.7</v>
      </c>
    </row>
    <row r="593" spans="1:10" ht="15.75">
      <c r="A593" s="51" t="s">
        <v>46</v>
      </c>
      <c r="B593" s="52" t="s">
        <v>45</v>
      </c>
      <c r="C593" s="52">
        <v>300</v>
      </c>
      <c r="D593" s="53" t="s">
        <v>35</v>
      </c>
      <c r="E593" s="53" t="s">
        <v>38</v>
      </c>
      <c r="F593" s="54">
        <v>8760.7</v>
      </c>
      <c r="G593" s="153">
        <f>SUM(Ведомственная!G457)</f>
        <v>8760.7</v>
      </c>
      <c r="I593" s="154">
        <f t="shared" si="14"/>
        <v>0</v>
      </c>
      <c r="J593" s="154">
        <f t="shared" si="16"/>
        <v>-8760.7</v>
      </c>
    </row>
    <row r="594" spans="1:10" ht="15.75">
      <c r="A594" s="51" t="s">
        <v>59</v>
      </c>
      <c r="B594" s="52" t="s">
        <v>60</v>
      </c>
      <c r="C594" s="52"/>
      <c r="D594" s="53"/>
      <c r="E594" s="53"/>
      <c r="F594" s="54">
        <f>F595+F597</f>
        <v>2602.1000000000004</v>
      </c>
      <c r="I594" s="154">
        <f t="shared" si="14"/>
        <v>-2602.1000000000004</v>
      </c>
      <c r="J594" s="154">
        <f t="shared" si="16"/>
        <v>-2602.1000000000004</v>
      </c>
    </row>
    <row r="595" spans="1:10" ht="15.75">
      <c r="A595" s="51" t="s">
        <v>61</v>
      </c>
      <c r="B595" s="52" t="s">
        <v>62</v>
      </c>
      <c r="C595" s="52"/>
      <c r="D595" s="53"/>
      <c r="E595" s="53"/>
      <c r="F595" s="54">
        <f>F596</f>
        <v>1218.7</v>
      </c>
      <c r="I595" s="154">
        <f t="shared" si="14"/>
        <v>-1218.7</v>
      </c>
      <c r="J595" s="154">
        <f t="shared" si="16"/>
        <v>-1218.7</v>
      </c>
    </row>
    <row r="596" spans="1:10" ht="15.75">
      <c r="A596" s="51" t="s">
        <v>46</v>
      </c>
      <c r="B596" s="52" t="s">
        <v>62</v>
      </c>
      <c r="C596" s="52">
        <v>300</v>
      </c>
      <c r="D596" s="53" t="s">
        <v>35</v>
      </c>
      <c r="E596" s="53" t="s">
        <v>58</v>
      </c>
      <c r="F596" s="54">
        <v>1218.7</v>
      </c>
      <c r="G596" s="153">
        <f>SUM(Ведомственная!G535)</f>
        <v>1218.7</v>
      </c>
      <c r="I596" s="154">
        <f t="shared" si="14"/>
        <v>0</v>
      </c>
      <c r="J596" s="154">
        <f t="shared" si="16"/>
        <v>-1218.7</v>
      </c>
    </row>
    <row r="597" spans="1:10" ht="31.5">
      <c r="A597" s="51" t="s">
        <v>63</v>
      </c>
      <c r="B597" s="52" t="s">
        <v>64</v>
      </c>
      <c r="C597" s="52"/>
      <c r="D597" s="53"/>
      <c r="E597" s="53"/>
      <c r="F597" s="54">
        <f>F598</f>
        <v>1383.4</v>
      </c>
      <c r="I597" s="154">
        <f t="shared" si="14"/>
        <v>-1383.4</v>
      </c>
      <c r="J597" s="154">
        <f t="shared" si="16"/>
        <v>-1383.4</v>
      </c>
    </row>
    <row r="598" spans="1:10" ht="15.75">
      <c r="A598" s="51" t="s">
        <v>46</v>
      </c>
      <c r="B598" s="52" t="s">
        <v>64</v>
      </c>
      <c r="C598" s="52">
        <v>300</v>
      </c>
      <c r="D598" s="53" t="s">
        <v>35</v>
      </c>
      <c r="E598" s="53" t="s">
        <v>58</v>
      </c>
      <c r="F598" s="54">
        <v>1383.4</v>
      </c>
      <c r="G598" s="153">
        <f>SUM(Ведомственная!G537)</f>
        <v>1383.4</v>
      </c>
      <c r="I598" s="154">
        <f t="shared" si="14"/>
        <v>0</v>
      </c>
      <c r="J598" s="154">
        <f t="shared" si="16"/>
        <v>-1383.4</v>
      </c>
    </row>
    <row r="599" spans="1:10" ht="31.5">
      <c r="A599" s="51" t="s">
        <v>65</v>
      </c>
      <c r="B599" s="52" t="s">
        <v>66</v>
      </c>
      <c r="C599" s="52"/>
      <c r="D599" s="53"/>
      <c r="E599" s="53"/>
      <c r="F599" s="54">
        <f>F600</f>
        <v>1188.2</v>
      </c>
      <c r="I599" s="154">
        <f t="shared" si="14"/>
        <v>-1188.2</v>
      </c>
      <c r="J599" s="154">
        <f t="shared" si="16"/>
        <v>-1188.2</v>
      </c>
    </row>
    <row r="600" spans="1:10" ht="15.75">
      <c r="A600" s="51" t="s">
        <v>67</v>
      </c>
      <c r="B600" s="52" t="s">
        <v>68</v>
      </c>
      <c r="C600" s="52"/>
      <c r="D600" s="53"/>
      <c r="E600" s="53"/>
      <c r="F600" s="54">
        <f>F601+F602</f>
        <v>1188.2</v>
      </c>
      <c r="I600" s="154">
        <f t="shared" si="14"/>
        <v>-1188.2</v>
      </c>
      <c r="J600" s="154">
        <f t="shared" si="16"/>
        <v>-1188.2</v>
      </c>
    </row>
    <row r="601" spans="1:10" ht="31.5">
      <c r="A601" s="51" t="s">
        <v>56</v>
      </c>
      <c r="B601" s="52" t="s">
        <v>68</v>
      </c>
      <c r="C601" s="52">
        <v>200</v>
      </c>
      <c r="D601" s="53" t="s">
        <v>35</v>
      </c>
      <c r="E601" s="53" t="s">
        <v>58</v>
      </c>
      <c r="F601" s="54">
        <v>786.2</v>
      </c>
      <c r="G601" s="153">
        <f>SUM(Ведомственная!G540)</f>
        <v>786.2</v>
      </c>
      <c r="I601" s="154">
        <f t="shared" si="14"/>
        <v>0</v>
      </c>
      <c r="J601" s="154">
        <f t="shared" si="16"/>
        <v>-786.2</v>
      </c>
    </row>
    <row r="602" spans="1:10" ht="15" customHeight="1">
      <c r="A602" s="51" t="s">
        <v>46</v>
      </c>
      <c r="B602" s="52" t="s">
        <v>68</v>
      </c>
      <c r="C602" s="52">
        <v>300</v>
      </c>
      <c r="D602" s="53" t="s">
        <v>35</v>
      </c>
      <c r="E602" s="53" t="s">
        <v>58</v>
      </c>
      <c r="F602" s="54">
        <v>402</v>
      </c>
      <c r="G602" s="153">
        <f>SUM(Ведомственная!G541)</f>
        <v>402</v>
      </c>
      <c r="I602" s="154">
        <f t="shared" si="14"/>
        <v>0</v>
      </c>
      <c r="J602" s="154">
        <f t="shared" si="16"/>
        <v>-402</v>
      </c>
    </row>
    <row r="603" spans="1:10" ht="47.25" hidden="1">
      <c r="A603" s="51" t="s">
        <v>22</v>
      </c>
      <c r="B603" s="52" t="s">
        <v>23</v>
      </c>
      <c r="C603" s="52"/>
      <c r="D603" s="53"/>
      <c r="E603" s="53"/>
      <c r="F603" s="54">
        <f>SUM(F604)</f>
        <v>0</v>
      </c>
      <c r="I603" s="154">
        <f t="shared" si="14"/>
        <v>0</v>
      </c>
      <c r="J603" s="154">
        <f t="shared" si="16"/>
        <v>0</v>
      </c>
    </row>
    <row r="604" spans="1:10" ht="15.75" hidden="1">
      <c r="A604" s="51" t="s">
        <v>24</v>
      </c>
      <c r="B604" s="52" t="s">
        <v>25</v>
      </c>
      <c r="C604" s="52"/>
      <c r="D604" s="53"/>
      <c r="E604" s="53"/>
      <c r="F604" s="54">
        <f>F605</f>
        <v>0</v>
      </c>
      <c r="I604" s="154">
        <f t="shared" si="14"/>
        <v>0</v>
      </c>
      <c r="J604" s="154">
        <f t="shared" si="16"/>
        <v>0</v>
      </c>
    </row>
    <row r="605" spans="1:10" ht="15.75" hidden="1">
      <c r="A605" s="51" t="s">
        <v>26</v>
      </c>
      <c r="B605" s="52" t="s">
        <v>25</v>
      </c>
      <c r="C605" s="52">
        <v>800</v>
      </c>
      <c r="D605" s="53" t="s">
        <v>17</v>
      </c>
      <c r="E605" s="53" t="s">
        <v>19</v>
      </c>
      <c r="F605" s="54">
        <v>0</v>
      </c>
      <c r="G605" s="153">
        <f>SUM(Ведомственная!G437)</f>
        <v>0</v>
      </c>
      <c r="I605" s="154">
        <f t="shared" si="14"/>
        <v>0</v>
      </c>
      <c r="J605" s="154">
        <f t="shared" si="16"/>
        <v>0</v>
      </c>
    </row>
    <row r="606" spans="1:10" ht="31.5">
      <c r="A606" s="51" t="s">
        <v>49</v>
      </c>
      <c r="B606" s="52" t="s">
        <v>50</v>
      </c>
      <c r="C606" s="52"/>
      <c r="D606" s="53"/>
      <c r="E606" s="53"/>
      <c r="F606" s="54">
        <f>SUM(F607+F611)</f>
        <v>2200</v>
      </c>
      <c r="I606" s="154">
        <f t="shared" si="14"/>
        <v>-2200</v>
      </c>
      <c r="J606" s="154">
        <f t="shared" si="16"/>
        <v>-2200</v>
      </c>
    </row>
    <row r="607" spans="1:10" ht="15.75">
      <c r="A607" s="51" t="s">
        <v>51</v>
      </c>
      <c r="B607" s="52" t="s">
        <v>52</v>
      </c>
      <c r="C607" s="52"/>
      <c r="D607" s="53"/>
      <c r="E607" s="53"/>
      <c r="F607" s="54">
        <f>F608</f>
        <v>2200</v>
      </c>
      <c r="I607" s="154">
        <f t="shared" si="14"/>
        <v>-2200</v>
      </c>
      <c r="J607" s="154">
        <f t="shared" si="16"/>
        <v>-2200</v>
      </c>
    </row>
    <row r="608" spans="1:10" ht="47.25">
      <c r="A608" s="51" t="s">
        <v>53</v>
      </c>
      <c r="B608" s="52" t="s">
        <v>54</v>
      </c>
      <c r="C608" s="52"/>
      <c r="D608" s="53"/>
      <c r="E608" s="53"/>
      <c r="F608" s="54">
        <f>F609+F610</f>
        <v>2200</v>
      </c>
      <c r="I608" s="154">
        <f t="shared" si="14"/>
        <v>-2200</v>
      </c>
      <c r="J608" s="154">
        <f t="shared" si="16"/>
        <v>-2200</v>
      </c>
    </row>
    <row r="609" spans="1:10" ht="63">
      <c r="A609" s="51" t="s">
        <v>55</v>
      </c>
      <c r="B609" s="52" t="s">
        <v>54</v>
      </c>
      <c r="C609" s="52">
        <v>100</v>
      </c>
      <c r="D609" s="53" t="s">
        <v>35</v>
      </c>
      <c r="E609" s="53" t="s">
        <v>48</v>
      </c>
      <c r="F609" s="54">
        <v>1190</v>
      </c>
      <c r="G609" s="153">
        <f>SUM(Ведомственная!G471)</f>
        <v>1190</v>
      </c>
      <c r="I609" s="154">
        <f t="shared" si="14"/>
        <v>0</v>
      </c>
      <c r="J609" s="154">
        <f t="shared" si="16"/>
        <v>-1190</v>
      </c>
    </row>
    <row r="610" spans="1:10" ht="31.5">
      <c r="A610" s="51" t="s">
        <v>56</v>
      </c>
      <c r="B610" s="52" t="s">
        <v>54</v>
      </c>
      <c r="C610" s="52">
        <v>200</v>
      </c>
      <c r="D610" s="53" t="s">
        <v>35</v>
      </c>
      <c r="E610" s="53" t="s">
        <v>48</v>
      </c>
      <c r="F610" s="54">
        <v>1010</v>
      </c>
      <c r="G610" s="153">
        <f>SUM(Ведомственная!G472)</f>
        <v>1010</v>
      </c>
      <c r="I610" s="154">
        <f t="shared" si="14"/>
        <v>0</v>
      </c>
      <c r="J610" s="154">
        <f t="shared" si="16"/>
        <v>-1010</v>
      </c>
    </row>
    <row r="611" spans="1:10" ht="15.75" hidden="1">
      <c r="A611" s="51" t="s">
        <v>714</v>
      </c>
      <c r="B611" s="52" t="s">
        <v>715</v>
      </c>
      <c r="C611" s="52"/>
      <c r="D611" s="53"/>
      <c r="E611" s="53"/>
      <c r="F611" s="54">
        <f>SUM(F612)</f>
        <v>0</v>
      </c>
      <c r="I611" s="154">
        <f aca="true" t="shared" si="17" ref="I611:I674">G611-F611</f>
        <v>0</v>
      </c>
      <c r="J611" s="154"/>
    </row>
    <row r="612" spans="1:10" ht="47.25" hidden="1">
      <c r="A612" s="51" t="s">
        <v>53</v>
      </c>
      <c r="B612" s="52" t="s">
        <v>716</v>
      </c>
      <c r="C612" s="52"/>
      <c r="D612" s="53"/>
      <c r="E612" s="53"/>
      <c r="F612" s="54">
        <f>SUM(F613)</f>
        <v>0</v>
      </c>
      <c r="I612" s="154">
        <f t="shared" si="17"/>
        <v>0</v>
      </c>
      <c r="J612" s="154"/>
    </row>
    <row r="613" spans="1:10" ht="31.5" hidden="1">
      <c r="A613" s="51" t="s">
        <v>56</v>
      </c>
      <c r="B613" s="52" t="s">
        <v>716</v>
      </c>
      <c r="C613" s="52">
        <v>200</v>
      </c>
      <c r="D613" s="53" t="s">
        <v>35</v>
      </c>
      <c r="E613" s="53" t="s">
        <v>17</v>
      </c>
      <c r="F613" s="54"/>
      <c r="G613" s="153">
        <f>SUM(Ведомственная!G593)</f>
        <v>0</v>
      </c>
      <c r="I613" s="154">
        <f t="shared" si="17"/>
        <v>0</v>
      </c>
      <c r="J613" s="154"/>
    </row>
    <row r="614" spans="1:10" ht="15.75">
      <c r="A614" s="51" t="s">
        <v>91</v>
      </c>
      <c r="B614" s="52" t="s">
        <v>69</v>
      </c>
      <c r="C614" s="52"/>
      <c r="D614" s="53"/>
      <c r="E614" s="53"/>
      <c r="F614" s="54">
        <f>F615</f>
        <v>150.5</v>
      </c>
      <c r="I614" s="154">
        <f t="shared" si="17"/>
        <v>-150.5</v>
      </c>
      <c r="J614" s="154">
        <f t="shared" si="16"/>
        <v>-150.5</v>
      </c>
    </row>
    <row r="615" spans="1:10" ht="15.75">
      <c r="A615" s="51" t="s">
        <v>39</v>
      </c>
      <c r="B615" s="52" t="s">
        <v>70</v>
      </c>
      <c r="C615" s="52"/>
      <c r="D615" s="53"/>
      <c r="E615" s="53"/>
      <c r="F615" s="54">
        <f>F616</f>
        <v>150.5</v>
      </c>
      <c r="I615" s="154">
        <f t="shared" si="17"/>
        <v>-150.5</v>
      </c>
      <c r="J615" s="154">
        <f t="shared" si="16"/>
        <v>-150.5</v>
      </c>
    </row>
    <row r="616" spans="1:10" ht="15.75">
      <c r="A616" s="51" t="s">
        <v>41</v>
      </c>
      <c r="B616" s="52" t="s">
        <v>71</v>
      </c>
      <c r="C616" s="52"/>
      <c r="D616" s="53"/>
      <c r="E616" s="53"/>
      <c r="F616" s="54">
        <f>F617+F618</f>
        <v>150.5</v>
      </c>
      <c r="I616" s="154">
        <f t="shared" si="17"/>
        <v>-150.5</v>
      </c>
      <c r="J616" s="154">
        <f t="shared" si="16"/>
        <v>-150.5</v>
      </c>
    </row>
    <row r="617" spans="1:10" ht="31.5">
      <c r="A617" s="51" t="s">
        <v>56</v>
      </c>
      <c r="B617" s="52" t="s">
        <v>71</v>
      </c>
      <c r="C617" s="52">
        <v>200</v>
      </c>
      <c r="D617" s="53" t="s">
        <v>35</v>
      </c>
      <c r="E617" s="53" t="s">
        <v>58</v>
      </c>
      <c r="F617" s="54">
        <v>83.5</v>
      </c>
      <c r="G617" s="153">
        <f>SUM(Ведомственная!G545)</f>
        <v>83.5</v>
      </c>
      <c r="I617" s="154">
        <f t="shared" si="17"/>
        <v>0</v>
      </c>
      <c r="J617" s="154">
        <f t="shared" si="16"/>
        <v>-83.5</v>
      </c>
    </row>
    <row r="618" spans="1:10" ht="15.75">
      <c r="A618" s="51" t="s">
        <v>46</v>
      </c>
      <c r="B618" s="52" t="s">
        <v>71</v>
      </c>
      <c r="C618" s="52">
        <v>300</v>
      </c>
      <c r="D618" s="53" t="s">
        <v>35</v>
      </c>
      <c r="E618" s="53" t="s">
        <v>58</v>
      </c>
      <c r="F618" s="54">
        <v>67</v>
      </c>
      <c r="G618" s="153">
        <f>SUM(Ведомственная!G546)</f>
        <v>67</v>
      </c>
      <c r="I618" s="154">
        <f t="shared" si="17"/>
        <v>0</v>
      </c>
      <c r="J618" s="154">
        <f t="shared" si="16"/>
        <v>-67</v>
      </c>
    </row>
    <row r="619" spans="1:10" ht="15.75">
      <c r="A619" s="51" t="s">
        <v>92</v>
      </c>
      <c r="B619" s="52" t="s">
        <v>72</v>
      </c>
      <c r="C619" s="52"/>
      <c r="D619" s="53"/>
      <c r="E619" s="53"/>
      <c r="F619" s="54">
        <f>F626+F620+F622</f>
        <v>2400</v>
      </c>
      <c r="I619" s="154">
        <f t="shared" si="17"/>
        <v>-2400</v>
      </c>
      <c r="J619" s="154">
        <f t="shared" si="16"/>
        <v>-2400</v>
      </c>
    </row>
    <row r="620" spans="1:10" ht="15.75" hidden="1">
      <c r="A620" s="51" t="s">
        <v>41</v>
      </c>
      <c r="B620" s="52" t="s">
        <v>650</v>
      </c>
      <c r="C620" s="52"/>
      <c r="D620" s="53"/>
      <c r="E620" s="53"/>
      <c r="F620" s="54">
        <f>SUM(F621)</f>
        <v>0</v>
      </c>
      <c r="I620" s="154">
        <f t="shared" si="17"/>
        <v>0</v>
      </c>
      <c r="J620" s="154"/>
    </row>
    <row r="621" spans="1:10" ht="31.5" hidden="1">
      <c r="A621" s="51" t="s">
        <v>56</v>
      </c>
      <c r="B621" s="52" t="s">
        <v>650</v>
      </c>
      <c r="C621" s="52">
        <v>200</v>
      </c>
      <c r="D621" s="53" t="s">
        <v>35</v>
      </c>
      <c r="E621" s="53" t="s">
        <v>82</v>
      </c>
      <c r="F621" s="54"/>
      <c r="G621" s="153">
        <f>SUM(Ведомственная!G366)</f>
        <v>0</v>
      </c>
      <c r="I621" s="154">
        <f t="shared" si="17"/>
        <v>0</v>
      </c>
      <c r="J621" s="154">
        <f t="shared" si="16"/>
        <v>0</v>
      </c>
    </row>
    <row r="622" spans="1:10" ht="15.75">
      <c r="A622" s="51" t="s">
        <v>39</v>
      </c>
      <c r="B622" s="52" t="s">
        <v>678</v>
      </c>
      <c r="C622" s="52"/>
      <c r="D622" s="67"/>
      <c r="E622" s="67"/>
      <c r="F622" s="54">
        <f>F623</f>
        <v>1525</v>
      </c>
      <c r="I622" s="154">
        <f t="shared" si="17"/>
        <v>-1525</v>
      </c>
      <c r="J622" s="154"/>
    </row>
    <row r="623" spans="1:10" ht="15.75">
      <c r="A623" s="51" t="s">
        <v>41</v>
      </c>
      <c r="B623" s="52" t="s">
        <v>679</v>
      </c>
      <c r="C623" s="52"/>
      <c r="D623" s="67"/>
      <c r="E623" s="67"/>
      <c r="F623" s="54">
        <f>SUM(F624:F625)</f>
        <v>1525</v>
      </c>
      <c r="I623" s="154">
        <f t="shared" si="17"/>
        <v>-1525</v>
      </c>
      <c r="J623" s="154"/>
    </row>
    <row r="624" spans="1:10" ht="31.5">
      <c r="A624" s="51" t="s">
        <v>56</v>
      </c>
      <c r="B624" s="52" t="s">
        <v>679</v>
      </c>
      <c r="C624" s="52">
        <v>200</v>
      </c>
      <c r="D624" s="53" t="s">
        <v>35</v>
      </c>
      <c r="E624" s="53" t="s">
        <v>58</v>
      </c>
      <c r="F624" s="54">
        <v>411.8</v>
      </c>
      <c r="G624" s="153">
        <f>SUM(Ведомственная!G550)</f>
        <v>411.8</v>
      </c>
      <c r="I624" s="154">
        <f t="shared" si="17"/>
        <v>0</v>
      </c>
      <c r="J624" s="154"/>
    </row>
    <row r="625" spans="1:10" ht="31.5">
      <c r="A625" s="166" t="s">
        <v>76</v>
      </c>
      <c r="B625" s="52" t="s">
        <v>679</v>
      </c>
      <c r="C625" s="52">
        <v>600</v>
      </c>
      <c r="D625" s="167" t="s">
        <v>35</v>
      </c>
      <c r="E625" s="167" t="s">
        <v>82</v>
      </c>
      <c r="F625" s="54">
        <v>1113.2</v>
      </c>
      <c r="G625" s="153">
        <f>SUM(Ведомственная!G1010)+Ведомственная!G631+Ведомственная!G911</f>
        <v>1113.2</v>
      </c>
      <c r="I625" s="154">
        <f t="shared" si="17"/>
        <v>0</v>
      </c>
      <c r="J625" s="154"/>
    </row>
    <row r="626" spans="1:10" ht="31.5">
      <c r="A626" s="51" t="s">
        <v>73</v>
      </c>
      <c r="B626" s="52" t="s">
        <v>74</v>
      </c>
      <c r="C626" s="52"/>
      <c r="D626" s="53"/>
      <c r="E626" s="53"/>
      <c r="F626" s="54">
        <f>F627</f>
        <v>875</v>
      </c>
      <c r="I626" s="154">
        <f t="shared" si="17"/>
        <v>-875</v>
      </c>
      <c r="J626" s="154">
        <f t="shared" si="16"/>
        <v>-875</v>
      </c>
    </row>
    <row r="627" spans="1:10" ht="14.25" customHeight="1">
      <c r="A627" s="51" t="s">
        <v>41</v>
      </c>
      <c r="B627" s="52" t="s">
        <v>75</v>
      </c>
      <c r="C627" s="52"/>
      <c r="D627" s="53"/>
      <c r="E627" s="53"/>
      <c r="F627" s="54">
        <f>SUM(F628:F629)</f>
        <v>875</v>
      </c>
      <c r="I627" s="154">
        <f t="shared" si="17"/>
        <v>-875</v>
      </c>
      <c r="J627" s="154">
        <f t="shared" si="16"/>
        <v>-875</v>
      </c>
    </row>
    <row r="628" spans="1:10" ht="31.5" hidden="1">
      <c r="A628" s="51" t="s">
        <v>56</v>
      </c>
      <c r="B628" s="52" t="s">
        <v>75</v>
      </c>
      <c r="C628" s="52">
        <v>200</v>
      </c>
      <c r="D628" s="53" t="s">
        <v>35</v>
      </c>
      <c r="E628" s="53" t="s">
        <v>58</v>
      </c>
      <c r="F628" s="54"/>
      <c r="G628" s="153">
        <f>SUM(Ведомственная!G553)</f>
        <v>0</v>
      </c>
      <c r="I628" s="154">
        <f t="shared" si="17"/>
        <v>0</v>
      </c>
      <c r="J628" s="154">
        <f t="shared" si="16"/>
        <v>0</v>
      </c>
    </row>
    <row r="629" spans="1:10" ht="31.5">
      <c r="A629" s="51" t="s">
        <v>76</v>
      </c>
      <c r="B629" s="52" t="s">
        <v>75</v>
      </c>
      <c r="C629" s="52">
        <v>600</v>
      </c>
      <c r="D629" s="53" t="s">
        <v>35</v>
      </c>
      <c r="E629" s="53" t="s">
        <v>58</v>
      </c>
      <c r="F629" s="54">
        <v>875</v>
      </c>
      <c r="G629" s="153">
        <f>SUM(Ведомственная!G554)</f>
        <v>875</v>
      </c>
      <c r="I629" s="154">
        <f t="shared" si="17"/>
        <v>0</v>
      </c>
      <c r="J629" s="154">
        <f t="shared" si="16"/>
        <v>-875</v>
      </c>
    </row>
    <row r="630" spans="1:10" ht="47.25">
      <c r="A630" s="51" t="s">
        <v>94</v>
      </c>
      <c r="B630" s="52" t="s">
        <v>83</v>
      </c>
      <c r="C630" s="52"/>
      <c r="D630" s="53"/>
      <c r="E630" s="53"/>
      <c r="F630" s="54">
        <f>F631</f>
        <v>3605.1</v>
      </c>
      <c r="I630" s="154">
        <f t="shared" si="17"/>
        <v>-3605.1</v>
      </c>
      <c r="J630" s="154">
        <f t="shared" si="16"/>
        <v>-3605.1</v>
      </c>
    </row>
    <row r="631" spans="1:10" ht="47.25">
      <c r="A631" s="51" t="s">
        <v>84</v>
      </c>
      <c r="B631" s="52" t="s">
        <v>85</v>
      </c>
      <c r="C631" s="52"/>
      <c r="D631" s="53"/>
      <c r="E631" s="53"/>
      <c r="F631" s="54">
        <f>F632</f>
        <v>3605.1</v>
      </c>
      <c r="I631" s="154">
        <f t="shared" si="17"/>
        <v>-3605.1</v>
      </c>
      <c r="J631" s="154">
        <f t="shared" si="16"/>
        <v>-3605.1</v>
      </c>
    </row>
    <row r="632" spans="1:10" ht="15.75">
      <c r="A632" s="51" t="s">
        <v>86</v>
      </c>
      <c r="B632" s="52" t="s">
        <v>87</v>
      </c>
      <c r="C632" s="52"/>
      <c r="D632" s="53"/>
      <c r="E632" s="53"/>
      <c r="F632" s="54">
        <f>F633+F634</f>
        <v>3605.1</v>
      </c>
      <c r="I632" s="154">
        <f t="shared" si="17"/>
        <v>-3605.1</v>
      </c>
      <c r="J632" s="154">
        <f t="shared" si="16"/>
        <v>-3605.1</v>
      </c>
    </row>
    <row r="633" spans="1:10" ht="63">
      <c r="A633" s="51" t="s">
        <v>55</v>
      </c>
      <c r="B633" s="52" t="s">
        <v>87</v>
      </c>
      <c r="C633" s="52">
        <v>100</v>
      </c>
      <c r="D633" s="53" t="s">
        <v>35</v>
      </c>
      <c r="E633" s="53" t="s">
        <v>82</v>
      </c>
      <c r="F633" s="54">
        <v>3593.1</v>
      </c>
      <c r="G633" s="153">
        <f>SUM(Ведомственная!G615)</f>
        <v>3593.1</v>
      </c>
      <c r="I633" s="154">
        <f t="shared" si="17"/>
        <v>0</v>
      </c>
      <c r="J633" s="154">
        <f t="shared" si="16"/>
        <v>-3593.1</v>
      </c>
    </row>
    <row r="634" spans="1:10" ht="31.5">
      <c r="A634" s="51" t="s">
        <v>56</v>
      </c>
      <c r="B634" s="52" t="s">
        <v>87</v>
      </c>
      <c r="C634" s="52">
        <v>200</v>
      </c>
      <c r="D634" s="53" t="s">
        <v>35</v>
      </c>
      <c r="E634" s="53" t="s">
        <v>82</v>
      </c>
      <c r="F634" s="54">
        <v>12</v>
      </c>
      <c r="G634" s="153">
        <f>SUM(Ведомственная!G616)</f>
        <v>12</v>
      </c>
      <c r="I634" s="154">
        <f t="shared" si="17"/>
        <v>0</v>
      </c>
      <c r="J634" s="154">
        <f t="shared" si="16"/>
        <v>-12</v>
      </c>
    </row>
    <row r="635" spans="1:10" ht="78.75">
      <c r="A635" s="51" t="s">
        <v>90</v>
      </c>
      <c r="B635" s="52" t="s">
        <v>29</v>
      </c>
      <c r="C635" s="52"/>
      <c r="D635" s="53"/>
      <c r="E635" s="53"/>
      <c r="F635" s="54">
        <f>F636+F639</f>
        <v>22060</v>
      </c>
      <c r="H635" s="155">
        <f>SUM(G638:G645)</f>
        <v>22060</v>
      </c>
      <c r="I635" s="154">
        <f t="shared" si="17"/>
        <v>-22060</v>
      </c>
      <c r="J635" s="154">
        <f t="shared" si="16"/>
        <v>0</v>
      </c>
    </row>
    <row r="636" spans="1:10" ht="47.25">
      <c r="A636" s="51" t="s">
        <v>30</v>
      </c>
      <c r="B636" s="52" t="s">
        <v>31</v>
      </c>
      <c r="C636" s="52"/>
      <c r="D636" s="53"/>
      <c r="E636" s="53"/>
      <c r="F636" s="54">
        <f>SUM(F637)</f>
        <v>21766.8</v>
      </c>
      <c r="I636" s="154">
        <f t="shared" si="17"/>
        <v>-21766.8</v>
      </c>
      <c r="J636" s="154">
        <f t="shared" si="16"/>
        <v>-21766.8</v>
      </c>
    </row>
    <row r="637" spans="1:10" ht="47.25">
      <c r="A637" s="51" t="s">
        <v>32</v>
      </c>
      <c r="B637" s="52" t="s">
        <v>33</v>
      </c>
      <c r="C637" s="52"/>
      <c r="D637" s="53"/>
      <c r="E637" s="53"/>
      <c r="F637" s="54">
        <f>F638</f>
        <v>21766.8</v>
      </c>
      <c r="I637" s="154">
        <f t="shared" si="17"/>
        <v>-21766.8</v>
      </c>
      <c r="J637" s="154">
        <f t="shared" si="16"/>
        <v>-21766.8</v>
      </c>
    </row>
    <row r="638" spans="1:10" ht="31.5">
      <c r="A638" s="51" t="s">
        <v>76</v>
      </c>
      <c r="B638" s="52" t="s">
        <v>33</v>
      </c>
      <c r="C638" s="52">
        <v>600</v>
      </c>
      <c r="D638" s="53" t="s">
        <v>35</v>
      </c>
      <c r="E638" s="53" t="s">
        <v>82</v>
      </c>
      <c r="F638" s="54">
        <v>21766.8</v>
      </c>
      <c r="G638" s="153">
        <f>SUM(Ведомственная!G371)</f>
        <v>21766.8</v>
      </c>
      <c r="I638" s="154">
        <f t="shared" si="17"/>
        <v>0</v>
      </c>
      <c r="J638" s="154">
        <f t="shared" si="16"/>
        <v>-21766.8</v>
      </c>
    </row>
    <row r="639" spans="1:10" ht="15.75">
      <c r="A639" s="51" t="s">
        <v>166</v>
      </c>
      <c r="B639" s="52" t="s">
        <v>680</v>
      </c>
      <c r="C639" s="52"/>
      <c r="D639" s="67"/>
      <c r="E639" s="53"/>
      <c r="F639" s="54">
        <f>SUM(F640)+F643</f>
        <v>293.2</v>
      </c>
      <c r="I639" s="154">
        <f t="shared" si="17"/>
        <v>-293.2</v>
      </c>
      <c r="J639" s="154"/>
    </row>
    <row r="640" spans="1:10" ht="31.5">
      <c r="A640" s="51" t="s">
        <v>335</v>
      </c>
      <c r="B640" s="52" t="s">
        <v>681</v>
      </c>
      <c r="C640" s="52"/>
      <c r="D640" s="67"/>
      <c r="E640" s="53"/>
      <c r="F640" s="54">
        <f>SUM(F641)</f>
        <v>212.9</v>
      </c>
      <c r="I640" s="154">
        <f t="shared" si="17"/>
        <v>-212.9</v>
      </c>
      <c r="J640" s="154"/>
    </row>
    <row r="641" spans="1:10" ht="47.25">
      <c r="A641" s="51" t="s">
        <v>32</v>
      </c>
      <c r="B641" s="52" t="s">
        <v>681</v>
      </c>
      <c r="C641" s="52"/>
      <c r="D641" s="67"/>
      <c r="E641" s="53"/>
      <c r="F641" s="54">
        <f>SUM(F642)</f>
        <v>212.9</v>
      </c>
      <c r="I641" s="154">
        <f t="shared" si="17"/>
        <v>-212.9</v>
      </c>
      <c r="J641" s="154"/>
    </row>
    <row r="642" spans="1:10" ht="31.5">
      <c r="A642" s="51" t="s">
        <v>76</v>
      </c>
      <c r="B642" s="52" t="s">
        <v>681</v>
      </c>
      <c r="C642" s="52">
        <v>600</v>
      </c>
      <c r="D642" s="53" t="s">
        <v>35</v>
      </c>
      <c r="E642" s="53" t="s">
        <v>82</v>
      </c>
      <c r="F642" s="54">
        <v>212.9</v>
      </c>
      <c r="G642" s="153">
        <f>SUM(Ведомственная!G375)</f>
        <v>212.9</v>
      </c>
      <c r="I642" s="154">
        <f t="shared" si="17"/>
        <v>0</v>
      </c>
      <c r="J642" s="154"/>
    </row>
    <row r="643" spans="1:10" ht="31.5">
      <c r="A643" s="51" t="s">
        <v>336</v>
      </c>
      <c r="B643" s="52" t="s">
        <v>682</v>
      </c>
      <c r="C643" s="52"/>
      <c r="D643" s="67"/>
      <c r="E643" s="53"/>
      <c r="F643" s="54">
        <f>SUM(F644)</f>
        <v>80.3</v>
      </c>
      <c r="I643" s="154">
        <f t="shared" si="17"/>
        <v>-80.3</v>
      </c>
      <c r="J643" s="154"/>
    </row>
    <row r="644" spans="1:10" ht="47.25">
      <c r="A644" s="51" t="s">
        <v>32</v>
      </c>
      <c r="B644" s="52" t="s">
        <v>682</v>
      </c>
      <c r="C644" s="52"/>
      <c r="D644" s="67"/>
      <c r="E644" s="53"/>
      <c r="F644" s="54">
        <f>SUM(F645)</f>
        <v>80.3</v>
      </c>
      <c r="I644" s="154">
        <f t="shared" si="17"/>
        <v>-80.3</v>
      </c>
      <c r="J644" s="154"/>
    </row>
    <row r="645" spans="1:10" ht="31.5">
      <c r="A645" s="51" t="s">
        <v>76</v>
      </c>
      <c r="B645" s="52" t="s">
        <v>682</v>
      </c>
      <c r="C645" s="52">
        <v>600</v>
      </c>
      <c r="D645" s="53" t="s">
        <v>35</v>
      </c>
      <c r="E645" s="53" t="s">
        <v>82</v>
      </c>
      <c r="F645" s="54">
        <v>80.3</v>
      </c>
      <c r="G645" s="153">
        <f>SUM(Ведомственная!G378)</f>
        <v>80.3</v>
      </c>
      <c r="I645" s="154">
        <f t="shared" si="17"/>
        <v>0</v>
      </c>
      <c r="J645" s="154"/>
    </row>
    <row r="646" spans="1:10" ht="63">
      <c r="A646" s="51" t="s">
        <v>93</v>
      </c>
      <c r="B646" s="52" t="s">
        <v>77</v>
      </c>
      <c r="C646" s="52"/>
      <c r="D646" s="53"/>
      <c r="E646" s="53"/>
      <c r="F646" s="54">
        <f>F647</f>
        <v>3587.4</v>
      </c>
      <c r="H646" s="155">
        <f>SUM(G647:G649)</f>
        <v>3587.4</v>
      </c>
      <c r="I646" s="154">
        <f t="shared" si="17"/>
        <v>-3587.4</v>
      </c>
      <c r="J646" s="154">
        <f t="shared" si="16"/>
        <v>0</v>
      </c>
    </row>
    <row r="647" spans="1:10" ht="15.75">
      <c r="A647" s="51" t="s">
        <v>39</v>
      </c>
      <c r="B647" s="52" t="s">
        <v>78</v>
      </c>
      <c r="C647" s="52"/>
      <c r="D647" s="53"/>
      <c r="E647" s="53"/>
      <c r="F647" s="54">
        <f>SUM(F648)</f>
        <v>3587.4</v>
      </c>
      <c r="I647" s="154">
        <f t="shared" si="17"/>
        <v>-3587.4</v>
      </c>
      <c r="J647" s="154">
        <f t="shared" si="16"/>
        <v>-3587.4</v>
      </c>
    </row>
    <row r="648" spans="1:10" ht="31.5">
      <c r="A648" s="51" t="s">
        <v>79</v>
      </c>
      <c r="B648" s="52" t="s">
        <v>80</v>
      </c>
      <c r="C648" s="52"/>
      <c r="D648" s="53"/>
      <c r="E648" s="53"/>
      <c r="F648" s="54">
        <f>F649</f>
        <v>3587.4</v>
      </c>
      <c r="I648" s="154">
        <f t="shared" si="17"/>
        <v>-3587.4</v>
      </c>
      <c r="J648" s="154">
        <f aca="true" t="shared" si="18" ref="J648:J724">SUM(H648-F648)</f>
        <v>-3587.4</v>
      </c>
    </row>
    <row r="649" spans="1:10" ht="31.5">
      <c r="A649" s="51" t="s">
        <v>56</v>
      </c>
      <c r="B649" s="52" t="s">
        <v>80</v>
      </c>
      <c r="C649" s="52">
        <v>200</v>
      </c>
      <c r="D649" s="53" t="s">
        <v>35</v>
      </c>
      <c r="E649" s="53" t="s">
        <v>58</v>
      </c>
      <c r="F649" s="54">
        <v>3587.4</v>
      </c>
      <c r="G649" s="153">
        <f>SUM(Ведомственная!G558)</f>
        <v>3587.4</v>
      </c>
      <c r="I649" s="154">
        <f t="shared" si="17"/>
        <v>0</v>
      </c>
      <c r="J649" s="154">
        <f t="shared" si="18"/>
        <v>-3587.4</v>
      </c>
    </row>
    <row r="650" spans="1:10" ht="31.5">
      <c r="A650" s="51" t="s">
        <v>276</v>
      </c>
      <c r="B650" s="52" t="s">
        <v>277</v>
      </c>
      <c r="C650" s="52"/>
      <c r="D650" s="53"/>
      <c r="E650" s="53"/>
      <c r="F650" s="54">
        <f>SUM(F651:F653)</f>
        <v>632.4000000000001</v>
      </c>
      <c r="H650" s="155">
        <f>SUM(G651:G653)</f>
        <v>632.4</v>
      </c>
      <c r="I650" s="154">
        <f t="shared" si="17"/>
        <v>-632.4000000000001</v>
      </c>
      <c r="J650" s="154">
        <f t="shared" si="18"/>
        <v>-1.1368683772161603E-13</v>
      </c>
    </row>
    <row r="651" spans="1:10" ht="63">
      <c r="A651" s="166" t="s">
        <v>55</v>
      </c>
      <c r="B651" s="52" t="s">
        <v>277</v>
      </c>
      <c r="C651" s="52">
        <v>100</v>
      </c>
      <c r="D651" s="167" t="s">
        <v>38</v>
      </c>
      <c r="E651" s="167">
        <v>13</v>
      </c>
      <c r="F651" s="54">
        <v>13.3</v>
      </c>
      <c r="G651" s="153">
        <f>SUM(Ведомственная!G120)</f>
        <v>13.3</v>
      </c>
      <c r="I651" s="154">
        <f t="shared" si="17"/>
        <v>0</v>
      </c>
      <c r="J651" s="154"/>
    </row>
    <row r="652" spans="1:10" ht="31.5">
      <c r="A652" s="51" t="s">
        <v>56</v>
      </c>
      <c r="B652" s="52" t="s">
        <v>277</v>
      </c>
      <c r="C652" s="52">
        <v>200</v>
      </c>
      <c r="D652" s="53" t="s">
        <v>38</v>
      </c>
      <c r="E652" s="53">
        <v>13</v>
      </c>
      <c r="F652" s="54">
        <v>469.1</v>
      </c>
      <c r="G652" s="153">
        <f>SUM(Ведомственная!G121)</f>
        <v>469.09999999999997</v>
      </c>
      <c r="I652" s="154">
        <f t="shared" si="17"/>
        <v>0</v>
      </c>
      <c r="J652" s="154">
        <f t="shared" si="18"/>
        <v>-469.1</v>
      </c>
    </row>
    <row r="653" spans="1:10" ht="15.75">
      <c r="A653" s="51" t="s">
        <v>46</v>
      </c>
      <c r="B653" s="52" t="s">
        <v>277</v>
      </c>
      <c r="C653" s="52">
        <v>300</v>
      </c>
      <c r="D653" s="53" t="s">
        <v>38</v>
      </c>
      <c r="E653" s="53">
        <v>13</v>
      </c>
      <c r="F653" s="54">
        <v>150</v>
      </c>
      <c r="G653" s="153">
        <f>SUM(Ведомственная!G122)</f>
        <v>150</v>
      </c>
      <c r="I653" s="154">
        <f t="shared" si="17"/>
        <v>0</v>
      </c>
      <c r="J653" s="154">
        <f t="shared" si="18"/>
        <v>-150</v>
      </c>
    </row>
    <row r="654" spans="1:10" ht="31.5">
      <c r="A654" s="49" t="s">
        <v>219</v>
      </c>
      <c r="B654" s="82" t="s">
        <v>220</v>
      </c>
      <c r="C654" s="52"/>
      <c r="D654" s="53"/>
      <c r="E654" s="53"/>
      <c r="F654" s="90">
        <f>SUM(F655+F657)</f>
        <v>40005.6</v>
      </c>
      <c r="H654" s="155">
        <f>SUM(G656:G668)</f>
        <v>40005.6</v>
      </c>
      <c r="I654" s="154">
        <f t="shared" si="17"/>
        <v>-40005.6</v>
      </c>
      <c r="J654" s="154">
        <f t="shared" si="18"/>
        <v>0</v>
      </c>
    </row>
    <row r="655" spans="1:10" ht="21.75" customHeight="1">
      <c r="A655" s="77" t="s">
        <v>233</v>
      </c>
      <c r="B655" s="82" t="s">
        <v>234</v>
      </c>
      <c r="C655" s="52"/>
      <c r="D655" s="53"/>
      <c r="E655" s="53"/>
      <c r="F655" s="52">
        <f>SUM(F656)</f>
        <v>8735.2</v>
      </c>
      <c r="I655" s="154">
        <f t="shared" si="17"/>
        <v>-8735.2</v>
      </c>
      <c r="J655" s="154">
        <f t="shared" si="18"/>
        <v>-8735.2</v>
      </c>
    </row>
    <row r="656" spans="1:10" ht="20.25" customHeight="1">
      <c r="A656" s="91" t="s">
        <v>235</v>
      </c>
      <c r="B656" s="82" t="s">
        <v>234</v>
      </c>
      <c r="C656" s="52">
        <v>700</v>
      </c>
      <c r="D656" s="53" t="s">
        <v>104</v>
      </c>
      <c r="E656" s="53" t="s">
        <v>38</v>
      </c>
      <c r="F656" s="52">
        <v>8735.2</v>
      </c>
      <c r="G656" s="153">
        <f>SUM(Ведомственная!G429)</f>
        <v>8735.2</v>
      </c>
      <c r="I656" s="154">
        <f t="shared" si="17"/>
        <v>0</v>
      </c>
      <c r="J656" s="154">
        <f t="shared" si="18"/>
        <v>-8735.2</v>
      </c>
    </row>
    <row r="657" spans="1:10" ht="47.25">
      <c r="A657" s="77" t="s">
        <v>84</v>
      </c>
      <c r="B657" s="53" t="s">
        <v>221</v>
      </c>
      <c r="C657" s="76"/>
      <c r="D657" s="76"/>
      <c r="E657" s="76"/>
      <c r="F657" s="90">
        <f>SUM(F658+F661+F664+F666)</f>
        <v>31270.399999999998</v>
      </c>
      <c r="I657" s="154">
        <f t="shared" si="17"/>
        <v>-31270.399999999998</v>
      </c>
      <c r="J657" s="154">
        <f t="shared" si="18"/>
        <v>-31270.399999999998</v>
      </c>
    </row>
    <row r="658" spans="1:10" ht="15.75">
      <c r="A658" s="77" t="s">
        <v>86</v>
      </c>
      <c r="B658" s="53" t="s">
        <v>222</v>
      </c>
      <c r="C658" s="76"/>
      <c r="D658" s="76"/>
      <c r="E658" s="76"/>
      <c r="F658" s="90">
        <f>SUM(F659:F660)</f>
        <v>23809</v>
      </c>
      <c r="I658" s="154">
        <f t="shared" si="17"/>
        <v>-23809</v>
      </c>
      <c r="J658" s="154">
        <f t="shared" si="18"/>
        <v>-23809</v>
      </c>
    </row>
    <row r="659" spans="1:10" ht="63">
      <c r="A659" s="51" t="s">
        <v>55</v>
      </c>
      <c r="B659" s="53" t="s">
        <v>222</v>
      </c>
      <c r="C659" s="76" t="s">
        <v>99</v>
      </c>
      <c r="D659" s="76" t="s">
        <v>38</v>
      </c>
      <c r="E659" s="76" t="s">
        <v>82</v>
      </c>
      <c r="F659" s="90">
        <v>23801.4</v>
      </c>
      <c r="G659" s="153">
        <f>SUM(Ведомственная!G400)</f>
        <v>23801.4</v>
      </c>
      <c r="I659" s="154">
        <f t="shared" si="17"/>
        <v>0</v>
      </c>
      <c r="J659" s="154">
        <f t="shared" si="18"/>
        <v>-23801.4</v>
      </c>
    </row>
    <row r="660" spans="1:10" ht="31.5">
      <c r="A660" s="51" t="s">
        <v>56</v>
      </c>
      <c r="B660" s="53" t="s">
        <v>222</v>
      </c>
      <c r="C660" s="76" t="s">
        <v>101</v>
      </c>
      <c r="D660" s="76" t="s">
        <v>38</v>
      </c>
      <c r="E660" s="76" t="s">
        <v>82</v>
      </c>
      <c r="F660" s="90">
        <v>7.6</v>
      </c>
      <c r="G660" s="153">
        <f>SUM(Ведомственная!G401)</f>
        <v>7.6</v>
      </c>
      <c r="I660" s="154">
        <f t="shared" si="17"/>
        <v>0</v>
      </c>
      <c r="J660" s="154">
        <f t="shared" si="18"/>
        <v>-7.6</v>
      </c>
    </row>
    <row r="661" spans="1:10" ht="15.75">
      <c r="A661" s="77" t="s">
        <v>105</v>
      </c>
      <c r="B661" s="82" t="s">
        <v>225</v>
      </c>
      <c r="C661" s="52"/>
      <c r="D661" s="53"/>
      <c r="E661" s="53"/>
      <c r="F661" s="90">
        <f>SUM(F662:F663)</f>
        <v>213.3</v>
      </c>
      <c r="I661" s="154">
        <f t="shared" si="17"/>
        <v>-213.3</v>
      </c>
      <c r="J661" s="154">
        <f t="shared" si="18"/>
        <v>-213.3</v>
      </c>
    </row>
    <row r="662" spans="1:10" ht="31.5">
      <c r="A662" s="51" t="s">
        <v>56</v>
      </c>
      <c r="B662" s="82" t="s">
        <v>225</v>
      </c>
      <c r="C662" s="52">
        <v>200</v>
      </c>
      <c r="D662" s="53" t="s">
        <v>38</v>
      </c>
      <c r="E662" s="53" t="s">
        <v>104</v>
      </c>
      <c r="F662" s="90">
        <v>211.3</v>
      </c>
      <c r="G662" s="153">
        <f>SUM(Ведомственная!G410)</f>
        <v>211.3</v>
      </c>
      <c r="I662" s="154">
        <f t="shared" si="17"/>
        <v>0</v>
      </c>
      <c r="J662" s="154">
        <f t="shared" si="18"/>
        <v>-211.3</v>
      </c>
    </row>
    <row r="663" spans="1:10" ht="15.75">
      <c r="A663" s="77" t="s">
        <v>26</v>
      </c>
      <c r="B663" s="82" t="s">
        <v>225</v>
      </c>
      <c r="C663" s="52">
        <v>800</v>
      </c>
      <c r="D663" s="53" t="s">
        <v>38</v>
      </c>
      <c r="E663" s="53" t="s">
        <v>104</v>
      </c>
      <c r="F663" s="90">
        <v>2</v>
      </c>
      <c r="G663" s="153">
        <f>SUM(Ведомственная!G411)</f>
        <v>2</v>
      </c>
      <c r="I663" s="154">
        <f t="shared" si="17"/>
        <v>0</v>
      </c>
      <c r="J663" s="154">
        <f t="shared" si="18"/>
        <v>-2</v>
      </c>
    </row>
    <row r="664" spans="1:10" ht="31.5">
      <c r="A664" s="77" t="s">
        <v>107</v>
      </c>
      <c r="B664" s="82" t="s">
        <v>226</v>
      </c>
      <c r="C664" s="52"/>
      <c r="D664" s="53"/>
      <c r="E664" s="53"/>
      <c r="F664" s="90">
        <f>SUM(F665)</f>
        <v>300.6</v>
      </c>
      <c r="I664" s="154">
        <f t="shared" si="17"/>
        <v>-300.6</v>
      </c>
      <c r="J664" s="154">
        <f t="shared" si="18"/>
        <v>-300.6</v>
      </c>
    </row>
    <row r="665" spans="1:10" ht="31.5">
      <c r="A665" s="51" t="s">
        <v>56</v>
      </c>
      <c r="B665" s="82" t="s">
        <v>226</v>
      </c>
      <c r="C665" s="52">
        <v>200</v>
      </c>
      <c r="D665" s="53" t="s">
        <v>38</v>
      </c>
      <c r="E665" s="53" t="s">
        <v>104</v>
      </c>
      <c r="F665" s="90">
        <v>300.6</v>
      </c>
      <c r="G665" s="153">
        <f>SUM(Ведомственная!G413)</f>
        <v>300.6</v>
      </c>
      <c r="I665" s="154">
        <f t="shared" si="17"/>
        <v>0</v>
      </c>
      <c r="J665" s="154">
        <f t="shared" si="18"/>
        <v>-300.6</v>
      </c>
    </row>
    <row r="666" spans="1:10" ht="31.5">
      <c r="A666" s="77" t="s">
        <v>108</v>
      </c>
      <c r="B666" s="82" t="s">
        <v>227</v>
      </c>
      <c r="C666" s="52"/>
      <c r="D666" s="53"/>
      <c r="E666" s="53"/>
      <c r="F666" s="90">
        <f>SUM(F667:F668)</f>
        <v>6947.5</v>
      </c>
      <c r="I666" s="154">
        <f t="shared" si="17"/>
        <v>-6947.5</v>
      </c>
      <c r="J666" s="154">
        <f t="shared" si="18"/>
        <v>-6947.5</v>
      </c>
    </row>
    <row r="667" spans="1:10" ht="31.5">
      <c r="A667" s="51" t="s">
        <v>56</v>
      </c>
      <c r="B667" s="82" t="s">
        <v>227</v>
      </c>
      <c r="C667" s="52">
        <v>200</v>
      </c>
      <c r="D667" s="53" t="s">
        <v>38</v>
      </c>
      <c r="E667" s="53" t="s">
        <v>104</v>
      </c>
      <c r="F667" s="90">
        <v>6947.5</v>
      </c>
      <c r="G667" s="153">
        <f>SUM(Ведомственная!G415)</f>
        <v>6947.5</v>
      </c>
      <c r="I667" s="154">
        <f t="shared" si="17"/>
        <v>0</v>
      </c>
      <c r="J667" s="154">
        <f t="shared" si="18"/>
        <v>-6947.5</v>
      </c>
    </row>
    <row r="668" spans="1:10" ht="15.75" hidden="1">
      <c r="A668" s="77" t="s">
        <v>26</v>
      </c>
      <c r="B668" s="82" t="s">
        <v>227</v>
      </c>
      <c r="C668" s="52">
        <v>800</v>
      </c>
      <c r="D668" s="53"/>
      <c r="E668" s="53"/>
      <c r="F668" s="90"/>
      <c r="G668" s="153">
        <f>SUM(Ведомственная!G416)</f>
        <v>0</v>
      </c>
      <c r="I668" s="154">
        <f t="shared" si="17"/>
        <v>0</v>
      </c>
      <c r="J668" s="154">
        <f t="shared" si="18"/>
        <v>0</v>
      </c>
    </row>
    <row r="669" spans="1:10" ht="31.5">
      <c r="A669" s="51" t="s">
        <v>278</v>
      </c>
      <c r="B669" s="52" t="s">
        <v>279</v>
      </c>
      <c r="C669" s="52"/>
      <c r="D669" s="53"/>
      <c r="E669" s="53"/>
      <c r="F669" s="54">
        <f>SUM(F670)</f>
        <v>133</v>
      </c>
      <c r="H669" s="155">
        <f>SUM(G670)</f>
        <v>133</v>
      </c>
      <c r="I669" s="154">
        <f t="shared" si="17"/>
        <v>-133</v>
      </c>
      <c r="J669" s="154">
        <f t="shared" si="18"/>
        <v>0</v>
      </c>
    </row>
    <row r="670" spans="1:10" ht="31.5">
      <c r="A670" s="51" t="s">
        <v>56</v>
      </c>
      <c r="B670" s="52" t="s">
        <v>279</v>
      </c>
      <c r="C670" s="52">
        <v>200</v>
      </c>
      <c r="D670" s="53" t="s">
        <v>38</v>
      </c>
      <c r="E670" s="53">
        <v>13</v>
      </c>
      <c r="F670" s="54">
        <v>133</v>
      </c>
      <c r="G670" s="153">
        <f>SUM(Ведомственная!G124)</f>
        <v>133</v>
      </c>
      <c r="I670" s="154">
        <f t="shared" si="17"/>
        <v>0</v>
      </c>
      <c r="J670" s="154">
        <f t="shared" si="18"/>
        <v>-133</v>
      </c>
    </row>
    <row r="671" spans="1:10" ht="47.25">
      <c r="A671" s="51" t="s">
        <v>280</v>
      </c>
      <c r="B671" s="52" t="s">
        <v>281</v>
      </c>
      <c r="C671" s="52"/>
      <c r="D671" s="53"/>
      <c r="E671" s="53"/>
      <c r="F671" s="54">
        <f>SUM(F672+F675)+F677</f>
        <v>3072.2000000000003</v>
      </c>
      <c r="H671" s="155">
        <f>SUM(G674:G679)</f>
        <v>3072.2000000000003</v>
      </c>
      <c r="I671" s="154">
        <f t="shared" si="17"/>
        <v>-3072.2000000000003</v>
      </c>
      <c r="J671" s="154">
        <f t="shared" si="18"/>
        <v>0</v>
      </c>
    </row>
    <row r="672" spans="1:10" ht="94.5">
      <c r="A672" s="92" t="s">
        <v>246</v>
      </c>
      <c r="B672" s="52" t="s">
        <v>535</v>
      </c>
      <c r="C672" s="52"/>
      <c r="D672" s="53"/>
      <c r="E672" s="53"/>
      <c r="F672" s="54">
        <f>SUM(F673)</f>
        <v>87.4</v>
      </c>
      <c r="I672" s="154">
        <f t="shared" si="17"/>
        <v>-87.4</v>
      </c>
      <c r="J672" s="154">
        <f t="shared" si="18"/>
        <v>-87.4</v>
      </c>
    </row>
    <row r="673" spans="1:10" ht="47.25">
      <c r="A673" s="77" t="s">
        <v>534</v>
      </c>
      <c r="B673" s="52" t="s">
        <v>536</v>
      </c>
      <c r="C673" s="52"/>
      <c r="D673" s="53"/>
      <c r="E673" s="53"/>
      <c r="F673" s="54">
        <f>SUM(F674)</f>
        <v>87.4</v>
      </c>
      <c r="I673" s="154">
        <f t="shared" si="17"/>
        <v>-87.4</v>
      </c>
      <c r="J673" s="154">
        <f t="shared" si="18"/>
        <v>-87.4</v>
      </c>
    </row>
    <row r="674" spans="1:10" ht="31.5">
      <c r="A674" s="77" t="s">
        <v>283</v>
      </c>
      <c r="B674" s="52" t="s">
        <v>536</v>
      </c>
      <c r="C674" s="52">
        <v>600</v>
      </c>
      <c r="D674" s="53" t="s">
        <v>38</v>
      </c>
      <c r="E674" s="53">
        <v>13</v>
      </c>
      <c r="F674" s="54">
        <v>87.4</v>
      </c>
      <c r="G674" s="153">
        <f>SUM(Ведомственная!G128)</f>
        <v>87.4</v>
      </c>
      <c r="I674" s="154">
        <f t="shared" si="17"/>
        <v>0</v>
      </c>
      <c r="J674" s="154">
        <f t="shared" si="18"/>
        <v>-87.4</v>
      </c>
    </row>
    <row r="675" spans="1:10" ht="47.25">
      <c r="A675" s="51" t="s">
        <v>30</v>
      </c>
      <c r="B675" s="52" t="s">
        <v>282</v>
      </c>
      <c r="C675" s="52"/>
      <c r="D675" s="53"/>
      <c r="E675" s="53"/>
      <c r="F675" s="54">
        <f>SUM(F676)</f>
        <v>2712.3</v>
      </c>
      <c r="I675" s="154">
        <f aca="true" t="shared" si="19" ref="I675:I731">G675-F675</f>
        <v>-2712.3</v>
      </c>
      <c r="J675" s="154">
        <f t="shared" si="18"/>
        <v>-2712.3</v>
      </c>
    </row>
    <row r="676" spans="1:10" ht="31.5">
      <c r="A676" s="51" t="s">
        <v>283</v>
      </c>
      <c r="B676" s="52" t="s">
        <v>282</v>
      </c>
      <c r="C676" s="52">
        <v>600</v>
      </c>
      <c r="D676" s="53" t="s">
        <v>38</v>
      </c>
      <c r="E676" s="53">
        <v>13</v>
      </c>
      <c r="F676" s="54">
        <v>2712.3</v>
      </c>
      <c r="G676" s="153">
        <f>SUM(Ведомственная!G130)</f>
        <v>2712.3</v>
      </c>
      <c r="I676" s="154">
        <f t="shared" si="19"/>
        <v>0</v>
      </c>
      <c r="J676" s="154">
        <f t="shared" si="18"/>
        <v>-2712.3</v>
      </c>
    </row>
    <row r="677" spans="1:10" ht="15.75">
      <c r="A677" s="117" t="s">
        <v>166</v>
      </c>
      <c r="B677" s="52" t="s">
        <v>755</v>
      </c>
      <c r="C677" s="118"/>
      <c r="D677" s="118"/>
      <c r="E677" s="52"/>
      <c r="F677" s="52">
        <f>SUM(F678)</f>
        <v>272.5</v>
      </c>
      <c r="G677" s="160"/>
      <c r="I677" s="154">
        <f t="shared" si="19"/>
        <v>-272.5</v>
      </c>
      <c r="J677" s="154"/>
    </row>
    <row r="678" spans="1:10" ht="31.5">
      <c r="A678" s="77" t="s">
        <v>670</v>
      </c>
      <c r="B678" s="52" t="s">
        <v>756</v>
      </c>
      <c r="C678" s="118"/>
      <c r="D678" s="118"/>
      <c r="E678" s="52"/>
      <c r="F678" s="52">
        <f>SUM(F679)</f>
        <v>272.5</v>
      </c>
      <c r="G678" s="160"/>
      <c r="I678" s="154">
        <f t="shared" si="19"/>
        <v>-272.5</v>
      </c>
      <c r="J678" s="154"/>
    </row>
    <row r="679" spans="1:10" ht="31.5">
      <c r="A679" s="117" t="s">
        <v>283</v>
      </c>
      <c r="B679" s="52" t="s">
        <v>756</v>
      </c>
      <c r="C679" s="52">
        <v>600</v>
      </c>
      <c r="D679" s="118" t="s">
        <v>38</v>
      </c>
      <c r="E679" s="118">
        <v>13</v>
      </c>
      <c r="F679" s="52">
        <v>272.5</v>
      </c>
      <c r="G679" s="160">
        <f>SUM(Ведомственная!G133)</f>
        <v>272.5</v>
      </c>
      <c r="I679" s="154">
        <f t="shared" si="19"/>
        <v>0</v>
      </c>
      <c r="J679" s="154"/>
    </row>
    <row r="680" spans="1:10" ht="47.25">
      <c r="A680" s="168" t="s">
        <v>707</v>
      </c>
      <c r="B680" s="52" t="s">
        <v>708</v>
      </c>
      <c r="C680" s="52"/>
      <c r="D680" s="169"/>
      <c r="E680" s="169"/>
      <c r="F680" s="90">
        <f>SUM(F681)</f>
        <v>1600</v>
      </c>
      <c r="G680" s="160"/>
      <c r="H680" s="159">
        <f>SUM(G681:G684)</f>
        <v>1600</v>
      </c>
      <c r="I680" s="154">
        <f t="shared" si="19"/>
        <v>-1600</v>
      </c>
      <c r="J680" s="154"/>
    </row>
    <row r="681" spans="1:10" ht="15.75">
      <c r="A681" s="168" t="s">
        <v>39</v>
      </c>
      <c r="B681" s="52" t="s">
        <v>709</v>
      </c>
      <c r="C681" s="52"/>
      <c r="D681" s="169"/>
      <c r="E681" s="169"/>
      <c r="F681" s="90">
        <f>SUM(F682)</f>
        <v>1600</v>
      </c>
      <c r="G681" s="160"/>
      <c r="I681" s="154">
        <f t="shared" si="19"/>
        <v>-1600</v>
      </c>
      <c r="J681" s="154"/>
    </row>
    <row r="682" spans="1:10" ht="15.75">
      <c r="A682" s="168" t="s">
        <v>59</v>
      </c>
      <c r="B682" s="52" t="s">
        <v>710</v>
      </c>
      <c r="C682" s="52"/>
      <c r="D682" s="169"/>
      <c r="E682" s="169"/>
      <c r="F682" s="90">
        <f>SUM(F683)</f>
        <v>1600</v>
      </c>
      <c r="G682" s="160"/>
      <c r="I682" s="154">
        <f t="shared" si="19"/>
        <v>-1600</v>
      </c>
      <c r="J682" s="154"/>
    </row>
    <row r="683" spans="1:10" ht="94.5">
      <c r="A683" s="168" t="s">
        <v>1199</v>
      </c>
      <c r="B683" s="52" t="s">
        <v>711</v>
      </c>
      <c r="C683" s="52"/>
      <c r="D683" s="169"/>
      <c r="E683" s="169"/>
      <c r="F683" s="90">
        <f>SUM(F684)</f>
        <v>1600</v>
      </c>
      <c r="G683" s="160"/>
      <c r="I683" s="154">
        <f t="shared" si="19"/>
        <v>-1600</v>
      </c>
      <c r="J683" s="154"/>
    </row>
    <row r="684" spans="1:10" ht="15.75">
      <c r="A684" s="168" t="s">
        <v>46</v>
      </c>
      <c r="B684" s="52" t="s">
        <v>711</v>
      </c>
      <c r="C684" s="52">
        <v>300</v>
      </c>
      <c r="D684" s="169" t="s">
        <v>35</v>
      </c>
      <c r="E684" s="169" t="s">
        <v>58</v>
      </c>
      <c r="F684" s="52">
        <v>1600</v>
      </c>
      <c r="G684" s="160">
        <f>SUM(Ведомственная!G563)</f>
        <v>1600</v>
      </c>
      <c r="I684" s="154">
        <f t="shared" si="19"/>
        <v>0</v>
      </c>
      <c r="J684" s="154"/>
    </row>
    <row r="685" spans="1:10" ht="47.25">
      <c r="A685" s="51" t="s">
        <v>722</v>
      </c>
      <c r="B685" s="52" t="s">
        <v>719</v>
      </c>
      <c r="C685" s="53"/>
      <c r="D685" s="53"/>
      <c r="E685" s="53"/>
      <c r="F685" s="54">
        <f>SUM(F686)</f>
        <v>35383.5</v>
      </c>
      <c r="H685" s="155">
        <f>SUM(G686:G688)</f>
        <v>35383.5</v>
      </c>
      <c r="I685" s="154">
        <f t="shared" si="19"/>
        <v>-35383.5</v>
      </c>
      <c r="J685" s="154"/>
    </row>
    <row r="686" spans="1:10" ht="47.25">
      <c r="A686" s="51" t="s">
        <v>717</v>
      </c>
      <c r="B686" s="52" t="s">
        <v>720</v>
      </c>
      <c r="C686" s="53"/>
      <c r="D686" s="53"/>
      <c r="E686" s="53"/>
      <c r="F686" s="54">
        <f>SUM(F687)</f>
        <v>35383.5</v>
      </c>
      <c r="I686" s="154">
        <f t="shared" si="19"/>
        <v>-35383.5</v>
      </c>
      <c r="J686" s="154"/>
    </row>
    <row r="687" spans="1:10" ht="63">
      <c r="A687" s="51" t="s">
        <v>718</v>
      </c>
      <c r="B687" s="52" t="s">
        <v>721</v>
      </c>
      <c r="C687" s="53"/>
      <c r="D687" s="53"/>
      <c r="E687" s="53"/>
      <c r="F687" s="54">
        <f>SUM(F688)</f>
        <v>35383.5</v>
      </c>
      <c r="I687" s="154">
        <f t="shared" si="19"/>
        <v>-35383.5</v>
      </c>
      <c r="J687" s="154"/>
    </row>
    <row r="688" spans="1:10" ht="31.5">
      <c r="A688" s="70" t="s">
        <v>359</v>
      </c>
      <c r="B688" s="52" t="s">
        <v>721</v>
      </c>
      <c r="C688" s="53" t="s">
        <v>313</v>
      </c>
      <c r="D688" s="53" t="s">
        <v>188</v>
      </c>
      <c r="E688" s="53" t="s">
        <v>38</v>
      </c>
      <c r="F688" s="54">
        <v>35383.5</v>
      </c>
      <c r="G688" s="153">
        <f>SUM(Ведомственная!G226)</f>
        <v>35383.5</v>
      </c>
      <c r="I688" s="154">
        <f t="shared" si="19"/>
        <v>0</v>
      </c>
      <c r="J688" s="154"/>
    </row>
    <row r="689" spans="1:10" ht="15.75">
      <c r="A689" s="103" t="s">
        <v>216</v>
      </c>
      <c r="B689" s="68" t="s">
        <v>217</v>
      </c>
      <c r="C689" s="68"/>
      <c r="D689" s="68"/>
      <c r="E689" s="68"/>
      <c r="F689" s="60">
        <f>SUM(F699)+F690+F692+F694+F719+F696+F730</f>
        <v>40280.6</v>
      </c>
      <c r="H689" s="155">
        <f>SUM(G690:G732)</f>
        <v>40280.600000000006</v>
      </c>
      <c r="I689" s="154">
        <f t="shared" si="19"/>
        <v>-40280.6</v>
      </c>
      <c r="J689" s="154">
        <f t="shared" si="18"/>
        <v>7.275957614183426E-12</v>
      </c>
    </row>
    <row r="690" spans="1:10" ht="63">
      <c r="A690" s="51" t="s">
        <v>644</v>
      </c>
      <c r="B690" s="82" t="s">
        <v>230</v>
      </c>
      <c r="C690" s="52"/>
      <c r="D690" s="53"/>
      <c r="E690" s="53"/>
      <c r="F690" s="52">
        <f>SUM(F691)</f>
        <v>33.6</v>
      </c>
      <c r="I690" s="154">
        <f t="shared" si="19"/>
        <v>-33.6</v>
      </c>
      <c r="J690" s="154">
        <f t="shared" si="18"/>
        <v>-33.6</v>
      </c>
    </row>
    <row r="691" spans="1:10" ht="15.75">
      <c r="A691" s="77" t="s">
        <v>26</v>
      </c>
      <c r="B691" s="82" t="s">
        <v>230</v>
      </c>
      <c r="C691" s="52">
        <v>800</v>
      </c>
      <c r="D691" s="53">
        <v>10</v>
      </c>
      <c r="E691" s="53" t="s">
        <v>82</v>
      </c>
      <c r="F691" s="52">
        <v>33.6</v>
      </c>
      <c r="G691" s="153">
        <f>SUM(Ведомственная!G424)</f>
        <v>33.59999999999991</v>
      </c>
      <c r="I691" s="154">
        <f t="shared" si="19"/>
        <v>-9.237055564881302E-14</v>
      </c>
      <c r="J691" s="154">
        <f t="shared" si="18"/>
        <v>-33.6</v>
      </c>
    </row>
    <row r="692" spans="1:10" ht="31.5" hidden="1">
      <c r="A692" s="77" t="s">
        <v>228</v>
      </c>
      <c r="B692" s="53" t="s">
        <v>229</v>
      </c>
      <c r="C692" s="52"/>
      <c r="D692" s="53"/>
      <c r="E692" s="53"/>
      <c r="F692" s="52">
        <f>SUM(F693)</f>
        <v>0</v>
      </c>
      <c r="I692" s="154">
        <f t="shared" si="19"/>
        <v>0</v>
      </c>
      <c r="J692" s="154">
        <f t="shared" si="18"/>
        <v>0</v>
      </c>
    </row>
    <row r="693" spans="1:10" ht="15.75" hidden="1">
      <c r="A693" s="77" t="s">
        <v>26</v>
      </c>
      <c r="B693" s="53" t="s">
        <v>229</v>
      </c>
      <c r="C693" s="52">
        <v>800</v>
      </c>
      <c r="D693" s="53"/>
      <c r="E693" s="53"/>
      <c r="F693" s="52"/>
      <c r="G693" s="153">
        <f>SUM(Ведомственная!G419)</f>
        <v>0</v>
      </c>
      <c r="I693" s="154">
        <f t="shared" si="19"/>
        <v>0</v>
      </c>
      <c r="J693" s="154">
        <f t="shared" si="18"/>
        <v>0</v>
      </c>
    </row>
    <row r="694" spans="1:10" ht="15.75">
      <c r="A694" s="91" t="s">
        <v>158</v>
      </c>
      <c r="B694" s="53" t="s">
        <v>224</v>
      </c>
      <c r="C694" s="82"/>
      <c r="D694" s="76"/>
      <c r="E694" s="76"/>
      <c r="F694" s="93">
        <f>SUM(F695)</f>
        <v>19.600000000000023</v>
      </c>
      <c r="I694" s="154">
        <f t="shared" si="19"/>
        <v>-19.600000000000023</v>
      </c>
      <c r="J694" s="154">
        <f t="shared" si="18"/>
        <v>-19.600000000000023</v>
      </c>
    </row>
    <row r="695" spans="1:10" ht="15.75">
      <c r="A695" s="91" t="s">
        <v>26</v>
      </c>
      <c r="B695" s="53" t="s">
        <v>224</v>
      </c>
      <c r="C695" s="52">
        <v>800</v>
      </c>
      <c r="D695" s="53" t="s">
        <v>38</v>
      </c>
      <c r="E695" s="53" t="s">
        <v>189</v>
      </c>
      <c r="F695" s="93">
        <f>500-480.4</f>
        <v>19.600000000000023</v>
      </c>
      <c r="G695" s="153">
        <f>SUM(Ведомственная!G405)</f>
        <v>19.600000000000023</v>
      </c>
      <c r="I695" s="154">
        <f t="shared" si="19"/>
        <v>0</v>
      </c>
      <c r="J695" s="154">
        <f t="shared" si="18"/>
        <v>-19.600000000000023</v>
      </c>
    </row>
    <row r="696" spans="1:10" ht="47.25">
      <c r="A696" s="17" t="s">
        <v>366</v>
      </c>
      <c r="B696" s="68" t="s">
        <v>424</v>
      </c>
      <c r="C696" s="68"/>
      <c r="D696" s="68"/>
      <c r="E696" s="68"/>
      <c r="F696" s="69">
        <f>SUM(F697)</f>
        <v>500</v>
      </c>
      <c r="I696" s="154">
        <f t="shared" si="19"/>
        <v>-500</v>
      </c>
      <c r="J696" s="154">
        <f t="shared" si="18"/>
        <v>-500</v>
      </c>
    </row>
    <row r="697" spans="1:10" ht="31.5">
      <c r="A697" s="17" t="s">
        <v>423</v>
      </c>
      <c r="B697" s="68" t="s">
        <v>425</v>
      </c>
      <c r="C697" s="68"/>
      <c r="D697" s="68"/>
      <c r="E697" s="68"/>
      <c r="F697" s="69">
        <f>SUM(F698)</f>
        <v>500</v>
      </c>
      <c r="I697" s="154">
        <f t="shared" si="19"/>
        <v>-500</v>
      </c>
      <c r="J697" s="154">
        <f t="shared" si="18"/>
        <v>-500</v>
      </c>
    </row>
    <row r="698" spans="1:10" ht="31.5">
      <c r="A698" s="17" t="s">
        <v>56</v>
      </c>
      <c r="B698" s="68" t="s">
        <v>425</v>
      </c>
      <c r="C698" s="68" t="s">
        <v>101</v>
      </c>
      <c r="D698" s="68" t="s">
        <v>58</v>
      </c>
      <c r="E698" s="68" t="s">
        <v>192</v>
      </c>
      <c r="F698" s="69">
        <v>500</v>
      </c>
      <c r="G698" s="153">
        <f>SUM(Ведомственная!G167)</f>
        <v>500</v>
      </c>
      <c r="I698" s="154">
        <f t="shared" si="19"/>
        <v>0</v>
      </c>
      <c r="J698" s="154">
        <f t="shared" si="18"/>
        <v>-500</v>
      </c>
    </row>
    <row r="699" spans="1:10" ht="47.25">
      <c r="A699" s="91" t="s">
        <v>84</v>
      </c>
      <c r="B699" s="68" t="s">
        <v>114</v>
      </c>
      <c r="C699" s="57"/>
      <c r="D699" s="57"/>
      <c r="E699" s="57"/>
      <c r="F699" s="60">
        <f>SUM(F700+F703+F706+F708+F711+F713+F715)</f>
        <v>39249.3</v>
      </c>
      <c r="I699" s="154">
        <f t="shared" si="19"/>
        <v>-39249.3</v>
      </c>
      <c r="J699" s="154">
        <f t="shared" si="18"/>
        <v>-39249.3</v>
      </c>
    </row>
    <row r="700" spans="1:10" ht="15.75">
      <c r="A700" s="91" t="s">
        <v>86</v>
      </c>
      <c r="B700" s="68" t="s">
        <v>115</v>
      </c>
      <c r="C700" s="57"/>
      <c r="D700" s="57"/>
      <c r="E700" s="57"/>
      <c r="F700" s="60">
        <f>SUM(F701+F702)</f>
        <v>14775.2</v>
      </c>
      <c r="I700" s="154">
        <f t="shared" si="19"/>
        <v>-14775.2</v>
      </c>
      <c r="J700" s="154">
        <f t="shared" si="18"/>
        <v>-14775.2</v>
      </c>
    </row>
    <row r="701" spans="1:10" ht="63">
      <c r="A701" s="51" t="s">
        <v>55</v>
      </c>
      <c r="B701" s="68" t="s">
        <v>115</v>
      </c>
      <c r="C701" s="68" t="s">
        <v>99</v>
      </c>
      <c r="D701" s="68" t="s">
        <v>38</v>
      </c>
      <c r="E701" s="68" t="s">
        <v>58</v>
      </c>
      <c r="F701" s="60">
        <v>14765.2</v>
      </c>
      <c r="G701" s="153">
        <f>SUM(Ведомственная!G17)</f>
        <v>14765.2</v>
      </c>
      <c r="I701" s="154">
        <f t="shared" si="19"/>
        <v>0</v>
      </c>
      <c r="J701" s="154">
        <f t="shared" si="18"/>
        <v>-14765.2</v>
      </c>
    </row>
    <row r="702" spans="1:10" ht="15.75">
      <c r="A702" s="91" t="s">
        <v>100</v>
      </c>
      <c r="B702" s="68" t="s">
        <v>115</v>
      </c>
      <c r="C702" s="68" t="s">
        <v>101</v>
      </c>
      <c r="D702" s="68" t="s">
        <v>38</v>
      </c>
      <c r="E702" s="68" t="s">
        <v>58</v>
      </c>
      <c r="F702" s="58">
        <v>10</v>
      </c>
      <c r="G702" s="153">
        <f>SUM(Ведомственная!G18)</f>
        <v>10</v>
      </c>
      <c r="I702" s="154">
        <f t="shared" si="19"/>
        <v>0</v>
      </c>
      <c r="J702" s="154">
        <f t="shared" si="18"/>
        <v>-10</v>
      </c>
    </row>
    <row r="703" spans="1:10" ht="31.5">
      <c r="A703" s="91" t="s">
        <v>218</v>
      </c>
      <c r="B703" s="68" t="s">
        <v>120</v>
      </c>
      <c r="C703" s="57"/>
      <c r="D703" s="57"/>
      <c r="E703" s="57"/>
      <c r="F703" s="60">
        <f>SUM(F704:F705)</f>
        <v>4512.5</v>
      </c>
      <c r="I703" s="154">
        <f t="shared" si="19"/>
        <v>-4512.5</v>
      </c>
      <c r="J703" s="154">
        <f t="shared" si="18"/>
        <v>-4512.5</v>
      </c>
    </row>
    <row r="704" spans="1:10" ht="63">
      <c r="A704" s="51" t="s">
        <v>55</v>
      </c>
      <c r="B704" s="68" t="s">
        <v>120</v>
      </c>
      <c r="C704" s="68" t="s">
        <v>99</v>
      </c>
      <c r="D704" s="68" t="s">
        <v>38</v>
      </c>
      <c r="E704" s="68" t="s">
        <v>82</v>
      </c>
      <c r="F704" s="60">
        <v>4507.5</v>
      </c>
      <c r="G704" s="153">
        <f>SUM(Ведомственная!G38)</f>
        <v>4507.5</v>
      </c>
      <c r="I704" s="154">
        <f t="shared" si="19"/>
        <v>0</v>
      </c>
      <c r="J704" s="154">
        <f t="shared" si="18"/>
        <v>-4507.5</v>
      </c>
    </row>
    <row r="705" spans="1:10" ht="31.5">
      <c r="A705" s="51" t="s">
        <v>56</v>
      </c>
      <c r="B705" s="68" t="s">
        <v>120</v>
      </c>
      <c r="C705" s="68" t="s">
        <v>101</v>
      </c>
      <c r="D705" s="68" t="s">
        <v>38</v>
      </c>
      <c r="E705" s="68" t="s">
        <v>82</v>
      </c>
      <c r="F705" s="58">
        <v>5</v>
      </c>
      <c r="G705" s="153">
        <f>SUM(Ведомственная!G39)</f>
        <v>5</v>
      </c>
      <c r="I705" s="154">
        <f t="shared" si="19"/>
        <v>0</v>
      </c>
      <c r="J705" s="154">
        <f t="shared" si="18"/>
        <v>-5</v>
      </c>
    </row>
    <row r="706" spans="1:10" ht="15.75">
      <c r="A706" s="91" t="s">
        <v>102</v>
      </c>
      <c r="B706" s="68" t="s">
        <v>116</v>
      </c>
      <c r="C706" s="68"/>
      <c r="D706" s="68"/>
      <c r="E706" s="68"/>
      <c r="F706" s="60">
        <f>SUM(F707)</f>
        <v>1571.9</v>
      </c>
      <c r="I706" s="154">
        <f t="shared" si="19"/>
        <v>-1571.9</v>
      </c>
      <c r="J706" s="154">
        <f t="shared" si="18"/>
        <v>-1571.9</v>
      </c>
    </row>
    <row r="707" spans="1:10" ht="63">
      <c r="A707" s="51" t="s">
        <v>55</v>
      </c>
      <c r="B707" s="68" t="s">
        <v>116</v>
      </c>
      <c r="C707" s="68" t="s">
        <v>99</v>
      </c>
      <c r="D707" s="68" t="s">
        <v>38</v>
      </c>
      <c r="E707" s="68" t="s">
        <v>58</v>
      </c>
      <c r="F707" s="60">
        <v>1571.9</v>
      </c>
      <c r="G707" s="153">
        <f>SUM(Ведомственная!G20)</f>
        <v>1571.9</v>
      </c>
      <c r="I707" s="154">
        <f t="shared" si="19"/>
        <v>0</v>
      </c>
      <c r="J707" s="154">
        <f t="shared" si="18"/>
        <v>-1571.9</v>
      </c>
    </row>
    <row r="708" spans="1:10" ht="15.75">
      <c r="A708" s="91" t="s">
        <v>105</v>
      </c>
      <c r="B708" s="68" t="s">
        <v>117</v>
      </c>
      <c r="C708" s="68"/>
      <c r="D708" s="68"/>
      <c r="E708" s="68"/>
      <c r="F708" s="58">
        <f>SUM(F709:F710)</f>
        <v>757.8000000000001</v>
      </c>
      <c r="I708" s="154">
        <f t="shared" si="19"/>
        <v>-757.8000000000001</v>
      </c>
      <c r="J708" s="154">
        <f t="shared" si="18"/>
        <v>-757.8000000000001</v>
      </c>
    </row>
    <row r="709" spans="1:10" ht="31.5">
      <c r="A709" s="51" t="s">
        <v>56</v>
      </c>
      <c r="B709" s="68" t="s">
        <v>117</v>
      </c>
      <c r="C709" s="68" t="s">
        <v>101</v>
      </c>
      <c r="D709" s="68" t="s">
        <v>38</v>
      </c>
      <c r="E709" s="68" t="s">
        <v>104</v>
      </c>
      <c r="F709" s="58">
        <v>711.1</v>
      </c>
      <c r="G709" s="153">
        <f>SUM(Ведомственная!G24+Ведомственная!G45)</f>
        <v>711.0999999999999</v>
      </c>
      <c r="I709" s="154">
        <f t="shared" si="19"/>
        <v>0</v>
      </c>
      <c r="J709" s="154">
        <f t="shared" si="18"/>
        <v>-711.1</v>
      </c>
    </row>
    <row r="710" spans="1:10" ht="15.75">
      <c r="A710" s="91" t="s">
        <v>26</v>
      </c>
      <c r="B710" s="68" t="s">
        <v>117</v>
      </c>
      <c r="C710" s="68" t="s">
        <v>106</v>
      </c>
      <c r="D710" s="68" t="s">
        <v>38</v>
      </c>
      <c r="E710" s="68" t="s">
        <v>104</v>
      </c>
      <c r="F710" s="58">
        <v>46.7</v>
      </c>
      <c r="G710" s="153">
        <f>SUM(Ведомственная!G25+Ведомственная!G46)</f>
        <v>46.7</v>
      </c>
      <c r="I710" s="154">
        <f t="shared" si="19"/>
        <v>0</v>
      </c>
      <c r="J710" s="154">
        <f t="shared" si="18"/>
        <v>-46.7</v>
      </c>
    </row>
    <row r="711" spans="1:10" ht="31.5">
      <c r="A711" s="91" t="s">
        <v>107</v>
      </c>
      <c r="B711" s="68" t="s">
        <v>118</v>
      </c>
      <c r="C711" s="68"/>
      <c r="D711" s="68"/>
      <c r="E711" s="68"/>
      <c r="F711" s="58">
        <f>SUM(F712)</f>
        <v>789.9</v>
      </c>
      <c r="I711" s="154">
        <f t="shared" si="19"/>
        <v>-789.9</v>
      </c>
      <c r="J711" s="154">
        <f t="shared" si="18"/>
        <v>-789.9</v>
      </c>
    </row>
    <row r="712" spans="1:10" ht="31.5">
      <c r="A712" s="51" t="s">
        <v>56</v>
      </c>
      <c r="B712" s="68" t="s">
        <v>118</v>
      </c>
      <c r="C712" s="68" t="s">
        <v>101</v>
      </c>
      <c r="D712" s="68" t="s">
        <v>38</v>
      </c>
      <c r="E712" s="68" t="s">
        <v>104</v>
      </c>
      <c r="F712" s="58">
        <v>789.9</v>
      </c>
      <c r="G712" s="153">
        <f>SUM(Ведомственная!G27+Ведомственная!G48)</f>
        <v>789.9</v>
      </c>
      <c r="I712" s="154">
        <f t="shared" si="19"/>
        <v>0</v>
      </c>
      <c r="J712" s="154">
        <f t="shared" si="18"/>
        <v>-789.9</v>
      </c>
    </row>
    <row r="713" spans="1:10" ht="31.5">
      <c r="A713" s="91" t="s">
        <v>113</v>
      </c>
      <c r="B713" s="68" t="s">
        <v>121</v>
      </c>
      <c r="C713" s="80"/>
      <c r="D713" s="80"/>
      <c r="E713" s="80"/>
      <c r="F713" s="60">
        <f>SUM(F714)</f>
        <v>1960.2</v>
      </c>
      <c r="I713" s="154">
        <f t="shared" si="19"/>
        <v>-1960.2</v>
      </c>
      <c r="J713" s="154">
        <f t="shared" si="18"/>
        <v>-1960.2</v>
      </c>
    </row>
    <row r="714" spans="1:10" ht="63">
      <c r="A714" s="51" t="s">
        <v>55</v>
      </c>
      <c r="B714" s="68" t="s">
        <v>121</v>
      </c>
      <c r="C714" s="68" t="s">
        <v>99</v>
      </c>
      <c r="D714" s="68" t="s">
        <v>38</v>
      </c>
      <c r="E714" s="68" t="s">
        <v>82</v>
      </c>
      <c r="F714" s="60">
        <v>1960.2</v>
      </c>
      <c r="G714" s="153">
        <f>SUM(Ведомственная!G41)</f>
        <v>1960.2</v>
      </c>
      <c r="I714" s="154">
        <f t="shared" si="19"/>
        <v>0</v>
      </c>
      <c r="J714" s="154">
        <f t="shared" si="18"/>
        <v>-1960.2</v>
      </c>
    </row>
    <row r="715" spans="1:10" ht="31.5">
      <c r="A715" s="103" t="s">
        <v>108</v>
      </c>
      <c r="B715" s="68" t="s">
        <v>119</v>
      </c>
      <c r="C715" s="80"/>
      <c r="D715" s="80"/>
      <c r="E715" s="80"/>
      <c r="F715" s="60">
        <f>SUM(F716:F718)</f>
        <v>14881.800000000001</v>
      </c>
      <c r="I715" s="154">
        <f t="shared" si="19"/>
        <v>-14881.800000000001</v>
      </c>
      <c r="J715" s="154">
        <f t="shared" si="18"/>
        <v>-14881.800000000001</v>
      </c>
    </row>
    <row r="716" spans="1:10" ht="31.5">
      <c r="A716" s="51" t="s">
        <v>56</v>
      </c>
      <c r="B716" s="68" t="s">
        <v>119</v>
      </c>
      <c r="C716" s="80" t="s">
        <v>101</v>
      </c>
      <c r="D716" s="68" t="s">
        <v>38</v>
      </c>
      <c r="E716" s="68" t="s">
        <v>104</v>
      </c>
      <c r="F716" s="60">
        <v>4820.6</v>
      </c>
      <c r="G716" s="153">
        <f>SUM(Ведомственная!G29+Ведомственная!G50)</f>
        <v>4820.6</v>
      </c>
      <c r="I716" s="154">
        <f t="shared" si="19"/>
        <v>0</v>
      </c>
      <c r="J716" s="154">
        <f t="shared" si="18"/>
        <v>-4820.6</v>
      </c>
    </row>
    <row r="717" spans="1:10" ht="15.75">
      <c r="A717" s="91" t="s">
        <v>46</v>
      </c>
      <c r="B717" s="68" t="s">
        <v>119</v>
      </c>
      <c r="C717" s="80" t="s">
        <v>109</v>
      </c>
      <c r="D717" s="68" t="s">
        <v>38</v>
      </c>
      <c r="E717" s="68" t="s">
        <v>104</v>
      </c>
      <c r="F717" s="60">
        <v>667</v>
      </c>
      <c r="G717" s="153">
        <f>SUM(Ведомственная!G30)</f>
        <v>667</v>
      </c>
      <c r="I717" s="154">
        <f t="shared" si="19"/>
        <v>0</v>
      </c>
      <c r="J717" s="154">
        <f t="shared" si="18"/>
        <v>-667</v>
      </c>
    </row>
    <row r="718" spans="1:10" ht="15.75">
      <c r="A718" s="91" t="s">
        <v>26</v>
      </c>
      <c r="B718" s="68" t="s">
        <v>119</v>
      </c>
      <c r="C718" s="80" t="s">
        <v>106</v>
      </c>
      <c r="D718" s="68" t="s">
        <v>38</v>
      </c>
      <c r="E718" s="68" t="s">
        <v>104</v>
      </c>
      <c r="F718" s="60">
        <v>9394.2</v>
      </c>
      <c r="G718" s="153">
        <f>SUM(Ведомственная!G31+Ведомственная!G51)+Ведомственная!G136</f>
        <v>9394.199999999999</v>
      </c>
      <c r="I718" s="154">
        <f t="shared" si="19"/>
        <v>0</v>
      </c>
      <c r="J718" s="154">
        <f t="shared" si="18"/>
        <v>-9394.2</v>
      </c>
    </row>
    <row r="719" spans="1:10" ht="94.5">
      <c r="A719" s="55" t="s">
        <v>246</v>
      </c>
      <c r="B719" s="53" t="s">
        <v>252</v>
      </c>
      <c r="C719" s="53"/>
      <c r="D719" s="53"/>
      <c r="E719" s="53"/>
      <c r="F719" s="54">
        <f>SUM(F723+F728+F725+F720)</f>
        <v>404.5</v>
      </c>
      <c r="I719" s="154">
        <f t="shared" si="19"/>
        <v>-404.5</v>
      </c>
      <c r="J719" s="154">
        <f t="shared" si="18"/>
        <v>-404.5</v>
      </c>
    </row>
    <row r="720" spans="1:10" ht="47.25">
      <c r="A720" s="51" t="s">
        <v>253</v>
      </c>
      <c r="B720" s="53" t="s">
        <v>254</v>
      </c>
      <c r="C720" s="52"/>
      <c r="D720" s="53"/>
      <c r="E720" s="53"/>
      <c r="F720" s="54">
        <f>SUM(F721:F722)</f>
        <v>93.8</v>
      </c>
      <c r="I720" s="154">
        <f t="shared" si="19"/>
        <v>-93.8</v>
      </c>
      <c r="J720" s="154">
        <f t="shared" si="18"/>
        <v>-93.8</v>
      </c>
    </row>
    <row r="721" spans="1:10" ht="63">
      <c r="A721" s="51" t="s">
        <v>55</v>
      </c>
      <c r="B721" s="53" t="s">
        <v>254</v>
      </c>
      <c r="C721" s="53" t="s">
        <v>99</v>
      </c>
      <c r="D721" s="53" t="s">
        <v>38</v>
      </c>
      <c r="E721" s="53" t="s">
        <v>17</v>
      </c>
      <c r="F721" s="54">
        <v>72.3</v>
      </c>
      <c r="G721" s="153">
        <f>SUM(Ведомственная!G80)</f>
        <v>72.3</v>
      </c>
      <c r="I721" s="154">
        <f t="shared" si="19"/>
        <v>0</v>
      </c>
      <c r="J721" s="154">
        <f t="shared" si="18"/>
        <v>-72.3</v>
      </c>
    </row>
    <row r="722" spans="1:10" ht="31.5">
      <c r="A722" s="51" t="s">
        <v>56</v>
      </c>
      <c r="B722" s="53" t="s">
        <v>254</v>
      </c>
      <c r="C722" s="53" t="s">
        <v>101</v>
      </c>
      <c r="D722" s="53" t="s">
        <v>38</v>
      </c>
      <c r="E722" s="53" t="s">
        <v>17</v>
      </c>
      <c r="F722" s="54">
        <v>21.5</v>
      </c>
      <c r="G722" s="153">
        <f>SUM(Ведомственная!G81)</f>
        <v>21.5</v>
      </c>
      <c r="I722" s="154">
        <f t="shared" si="19"/>
        <v>0</v>
      </c>
      <c r="J722" s="154">
        <f t="shared" si="18"/>
        <v>-21.5</v>
      </c>
    </row>
    <row r="723" spans="1:10" ht="47.25" hidden="1">
      <c r="A723" s="51" t="s">
        <v>256</v>
      </c>
      <c r="B723" s="53" t="s">
        <v>257</v>
      </c>
      <c r="C723" s="53"/>
      <c r="D723" s="53"/>
      <c r="E723" s="53"/>
      <c r="F723" s="54">
        <f>SUM(F724)</f>
        <v>0</v>
      </c>
      <c r="I723" s="154">
        <f t="shared" si="19"/>
        <v>0</v>
      </c>
      <c r="J723" s="154">
        <f t="shared" si="18"/>
        <v>0</v>
      </c>
    </row>
    <row r="724" spans="1:10" ht="15.75" hidden="1">
      <c r="A724" s="51" t="s">
        <v>100</v>
      </c>
      <c r="B724" s="53" t="s">
        <v>257</v>
      </c>
      <c r="C724" s="53" t="s">
        <v>101</v>
      </c>
      <c r="D724" s="53"/>
      <c r="E724" s="53"/>
      <c r="F724" s="54"/>
      <c r="G724" s="153">
        <f>SUM(Ведомственная!G89)</f>
        <v>0</v>
      </c>
      <c r="I724" s="154">
        <f t="shared" si="19"/>
        <v>0</v>
      </c>
      <c r="J724" s="154">
        <f t="shared" si="18"/>
        <v>0</v>
      </c>
    </row>
    <row r="725" spans="1:10" ht="47.25">
      <c r="A725" s="51" t="s">
        <v>532</v>
      </c>
      <c r="B725" s="53" t="s">
        <v>533</v>
      </c>
      <c r="C725" s="52"/>
      <c r="D725" s="53"/>
      <c r="E725" s="53"/>
      <c r="F725" s="58">
        <f>SUM(F726:F727)</f>
        <v>112.3</v>
      </c>
      <c r="I725" s="154">
        <f t="shared" si="19"/>
        <v>-112.3</v>
      </c>
      <c r="J725" s="154">
        <f aca="true" t="shared" si="20" ref="J725:J732">SUM(H725-F725)</f>
        <v>-112.3</v>
      </c>
    </row>
    <row r="726" spans="1:10" ht="63">
      <c r="A726" s="51" t="s">
        <v>55</v>
      </c>
      <c r="B726" s="53" t="s">
        <v>533</v>
      </c>
      <c r="C726" s="53" t="s">
        <v>99</v>
      </c>
      <c r="D726" s="53" t="s">
        <v>38</v>
      </c>
      <c r="E726" s="53" t="s">
        <v>17</v>
      </c>
      <c r="F726" s="54">
        <v>103.5</v>
      </c>
      <c r="G726" s="153">
        <f>SUM(Ведомственная!G83)</f>
        <v>103.5</v>
      </c>
      <c r="I726" s="154">
        <f t="shared" si="19"/>
        <v>0</v>
      </c>
      <c r="J726" s="154">
        <f t="shared" si="20"/>
        <v>-103.5</v>
      </c>
    </row>
    <row r="727" spans="1:10" ht="31.5">
      <c r="A727" s="51" t="s">
        <v>56</v>
      </c>
      <c r="B727" s="53" t="s">
        <v>533</v>
      </c>
      <c r="C727" s="53" t="s">
        <v>101</v>
      </c>
      <c r="D727" s="53" t="s">
        <v>38</v>
      </c>
      <c r="E727" s="53" t="s">
        <v>17</v>
      </c>
      <c r="F727" s="54">
        <v>8.8</v>
      </c>
      <c r="G727" s="153">
        <f>SUM(Ведомственная!G84)</f>
        <v>8.8</v>
      </c>
      <c r="I727" s="154">
        <f t="shared" si="19"/>
        <v>0</v>
      </c>
      <c r="J727" s="154">
        <f t="shared" si="20"/>
        <v>-8.8</v>
      </c>
    </row>
    <row r="728" spans="1:10" ht="78.75">
      <c r="A728" s="104" t="s">
        <v>649</v>
      </c>
      <c r="B728" s="80" t="s">
        <v>419</v>
      </c>
      <c r="C728" s="80"/>
      <c r="D728" s="80"/>
      <c r="E728" s="80"/>
      <c r="F728" s="64">
        <f>SUM(F729)</f>
        <v>198.4</v>
      </c>
      <c r="I728" s="154">
        <f t="shared" si="19"/>
        <v>-198.4</v>
      </c>
      <c r="J728" s="154">
        <f t="shared" si="20"/>
        <v>-198.4</v>
      </c>
    </row>
    <row r="729" spans="1:10" ht="31.5">
      <c r="A729" s="70" t="s">
        <v>56</v>
      </c>
      <c r="B729" s="80" t="s">
        <v>419</v>
      </c>
      <c r="C729" s="80" t="s">
        <v>101</v>
      </c>
      <c r="D729" s="80" t="s">
        <v>188</v>
      </c>
      <c r="E729" s="80" t="s">
        <v>58</v>
      </c>
      <c r="F729" s="64">
        <v>198.4</v>
      </c>
      <c r="G729" s="153">
        <f>SUM(Ведомственная!G283)</f>
        <v>198.4</v>
      </c>
      <c r="I729" s="154">
        <f t="shared" si="19"/>
        <v>0</v>
      </c>
      <c r="J729" s="154">
        <f t="shared" si="20"/>
        <v>-198.4</v>
      </c>
    </row>
    <row r="730" spans="1:10" ht="31.5">
      <c r="A730" s="70" t="s">
        <v>49</v>
      </c>
      <c r="B730" s="52" t="s">
        <v>1176</v>
      </c>
      <c r="C730" s="80"/>
      <c r="D730" s="80"/>
      <c r="E730" s="80"/>
      <c r="F730" s="64">
        <f>SUM(F731)</f>
        <v>73.6</v>
      </c>
      <c r="I730" s="154">
        <f t="shared" si="19"/>
        <v>-73.6</v>
      </c>
      <c r="J730" s="154"/>
    </row>
    <row r="731" spans="1:10" ht="15" customHeight="1">
      <c r="A731" s="70" t="s">
        <v>26</v>
      </c>
      <c r="B731" s="52" t="s">
        <v>1176</v>
      </c>
      <c r="C731" s="80" t="s">
        <v>106</v>
      </c>
      <c r="D731" s="80" t="s">
        <v>17</v>
      </c>
      <c r="E731" s="80" t="s">
        <v>28</v>
      </c>
      <c r="F731" s="64">
        <v>73.6</v>
      </c>
      <c r="G731" s="153">
        <f>SUM(Ведомственная!G215)</f>
        <v>73.6</v>
      </c>
      <c r="I731" s="154">
        <f t="shared" si="19"/>
        <v>0</v>
      </c>
      <c r="J731" s="154"/>
    </row>
    <row r="732" spans="1:10" s="98" customFormat="1" ht="24.75" customHeight="1">
      <c r="A732" s="94" t="s">
        <v>215</v>
      </c>
      <c r="B732" s="95"/>
      <c r="C732" s="96"/>
      <c r="D732" s="96"/>
      <c r="E732" s="96"/>
      <c r="F732" s="97">
        <f>SUM(F11+F94+F190+F196+F207+F212+F215+F231+F244+F249+F255+F267+F271+F289+F299+F308+F319+F337+F350+F354+F358+F429+F541+F588+F635+F646+F650+F654+F669+F671+F689+F45+F77+F685)+F58+F680</f>
        <v>4059883.5</v>
      </c>
      <c r="G732" s="153"/>
      <c r="H732" s="156"/>
      <c r="I732" s="154">
        <f>G732-F732</f>
        <v>-4059883.5</v>
      </c>
      <c r="J732" s="157">
        <f t="shared" si="20"/>
        <v>-4059883.5</v>
      </c>
    </row>
    <row r="733" spans="7:9" ht="30.75" customHeight="1">
      <c r="G733" s="153">
        <f>SUM(G11:G732)</f>
        <v>4059883.5</v>
      </c>
      <c r="H733" s="153">
        <f>SUM(H11:H732)</f>
        <v>4059883.500000001</v>
      </c>
      <c r="I733" s="154">
        <f>I732+H733</f>
        <v>0</v>
      </c>
    </row>
    <row r="734" spans="7:8" ht="15">
      <c r="G734" s="158">
        <f>SUM(G733-Ведомственная!G1011)</f>
        <v>-9.313225746154785E-10</v>
      </c>
      <c r="H734" s="153">
        <f>SUM(H733-Ведомственная!G1011)</f>
        <v>0</v>
      </c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23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32">
      <selection activeCell="G7" sqref="G7"/>
    </sheetView>
  </sheetViews>
  <sheetFormatPr defaultColWidth="9.140625" defaultRowHeight="15"/>
  <cols>
    <col min="1" max="1" width="55.57421875" style="30" customWidth="1"/>
    <col min="2" max="2" width="14.421875" style="31" customWidth="1"/>
    <col min="3" max="3" width="17.00390625" style="31" customWidth="1"/>
    <col min="4" max="4" width="16.7109375" style="31" customWidth="1"/>
    <col min="5" max="5" width="0.13671875" style="31" hidden="1" customWidth="1"/>
    <col min="6" max="6" width="14.57421875" style="31" hidden="1" customWidth="1"/>
    <col min="7" max="16384" width="9.140625" style="31" customWidth="1"/>
  </cols>
  <sheetData>
    <row r="1" spans="3:4" ht="15.75">
      <c r="C1" s="32"/>
      <c r="D1" s="46" t="s">
        <v>780</v>
      </c>
    </row>
    <row r="2" spans="3:4" ht="15.75">
      <c r="C2" s="33"/>
      <c r="D2" s="47" t="s">
        <v>0</v>
      </c>
    </row>
    <row r="3" spans="3:4" ht="15.75">
      <c r="C3" s="33"/>
      <c r="D3" s="47" t="s">
        <v>1</v>
      </c>
    </row>
    <row r="4" spans="3:4" ht="15.75">
      <c r="C4" s="33"/>
      <c r="D4" s="47" t="s">
        <v>2</v>
      </c>
    </row>
    <row r="5" spans="3:4" ht="15.75">
      <c r="C5" s="34"/>
      <c r="D5" s="48" t="s">
        <v>1200</v>
      </c>
    </row>
    <row r="7" spans="1:5" ht="40.5" customHeight="1">
      <c r="A7" s="273" t="s">
        <v>180</v>
      </c>
      <c r="B7" s="273"/>
      <c r="C7" s="273"/>
      <c r="D7" s="273"/>
      <c r="E7" s="273"/>
    </row>
    <row r="9" spans="1:5" ht="46.5" customHeight="1">
      <c r="A9" s="35" t="s">
        <v>176</v>
      </c>
      <c r="B9" s="35" t="s">
        <v>181</v>
      </c>
      <c r="C9" s="35" t="s">
        <v>182</v>
      </c>
      <c r="D9" s="35" t="s">
        <v>183</v>
      </c>
      <c r="E9" s="35" t="s">
        <v>183</v>
      </c>
    </row>
    <row r="10" spans="1:6" ht="15.75">
      <c r="A10" s="36" t="s">
        <v>97</v>
      </c>
      <c r="B10" s="37" t="s">
        <v>38</v>
      </c>
      <c r="C10" s="37" t="s">
        <v>36</v>
      </c>
      <c r="D10" s="38">
        <f>SUM(D11:D17)</f>
        <v>213110.80000000002</v>
      </c>
      <c r="E10" s="39">
        <f>SUM(E11:E17)</f>
        <v>213110.80000000002</v>
      </c>
      <c r="F10" s="40">
        <f>SUM(D10-E10)</f>
        <v>0</v>
      </c>
    </row>
    <row r="11" spans="1:6" ht="47.25">
      <c r="A11" s="41" t="s">
        <v>184</v>
      </c>
      <c r="B11" s="42" t="s">
        <v>38</v>
      </c>
      <c r="C11" s="42" t="s">
        <v>48</v>
      </c>
      <c r="D11" s="39">
        <v>1618.2</v>
      </c>
      <c r="E11" s="39">
        <f>SUM(Ведомственная!G58)</f>
        <v>1618.2</v>
      </c>
      <c r="F11" s="40">
        <f aca="true" t="shared" si="0" ref="F11:F60">SUM(D11-E11)</f>
        <v>0</v>
      </c>
    </row>
    <row r="12" spans="1:6" ht="63">
      <c r="A12" s="41" t="s">
        <v>185</v>
      </c>
      <c r="B12" s="42" t="s">
        <v>38</v>
      </c>
      <c r="C12" s="42" t="s">
        <v>58</v>
      </c>
      <c r="D12" s="39">
        <v>16347.1</v>
      </c>
      <c r="E12" s="39">
        <f>SUM(Ведомственная!G13)</f>
        <v>16347.1</v>
      </c>
      <c r="F12" s="40">
        <f t="shared" si="0"/>
        <v>0</v>
      </c>
    </row>
    <row r="13" spans="1:6" ht="63">
      <c r="A13" s="41" t="s">
        <v>186</v>
      </c>
      <c r="B13" s="42" t="s">
        <v>38</v>
      </c>
      <c r="C13" s="42" t="s">
        <v>17</v>
      </c>
      <c r="D13" s="39">
        <v>99863.1</v>
      </c>
      <c r="E13" s="39">
        <f>SUM(Ведомственная!G59)</f>
        <v>99863.1</v>
      </c>
      <c r="F13" s="40">
        <f t="shared" si="0"/>
        <v>0</v>
      </c>
    </row>
    <row r="14" spans="1:6" ht="15.75" hidden="1">
      <c r="A14" s="41" t="s">
        <v>187</v>
      </c>
      <c r="B14" s="42" t="s">
        <v>38</v>
      </c>
      <c r="C14" s="42" t="s">
        <v>188</v>
      </c>
      <c r="D14" s="39">
        <f>SUM(Ведомственная!F85)</f>
        <v>0</v>
      </c>
      <c r="E14" s="39">
        <f>SUM(Ведомственная!G85)</f>
        <v>0</v>
      </c>
      <c r="F14" s="40">
        <f t="shared" si="0"/>
        <v>0</v>
      </c>
    </row>
    <row r="15" spans="1:6" ht="47.25">
      <c r="A15" s="41" t="s">
        <v>112</v>
      </c>
      <c r="B15" s="42" t="s">
        <v>38</v>
      </c>
      <c r="C15" s="42" t="s">
        <v>82</v>
      </c>
      <c r="D15" s="39">
        <v>30281.7</v>
      </c>
      <c r="E15" s="39">
        <f>SUM(Ведомственная!G34+Ведомственная!G396)</f>
        <v>30281.7</v>
      </c>
      <c r="F15" s="40">
        <f t="shared" si="0"/>
        <v>0</v>
      </c>
    </row>
    <row r="16" spans="1:6" ht="15.75">
      <c r="A16" s="41" t="s">
        <v>157</v>
      </c>
      <c r="B16" s="42" t="s">
        <v>38</v>
      </c>
      <c r="C16" s="42" t="s">
        <v>189</v>
      </c>
      <c r="D16" s="39">
        <v>19.6</v>
      </c>
      <c r="E16" s="39">
        <f>SUM(Ведомственная!G402)</f>
        <v>19.600000000000023</v>
      </c>
      <c r="F16" s="40">
        <f t="shared" si="0"/>
        <v>-2.1316282072803006E-14</v>
      </c>
    </row>
    <row r="17" spans="1:6" ht="15.75">
      <c r="A17" s="41" t="s">
        <v>103</v>
      </c>
      <c r="B17" s="42" t="s">
        <v>38</v>
      </c>
      <c r="C17" s="42" t="s">
        <v>104</v>
      </c>
      <c r="D17" s="39">
        <v>64981.1</v>
      </c>
      <c r="E17" s="39">
        <f>SUM(Ведомственная!G21+Ведомственная!G42+Ведомственная!G90+Ведомственная!G406)</f>
        <v>64981.1</v>
      </c>
      <c r="F17" s="40">
        <f t="shared" si="0"/>
        <v>0</v>
      </c>
    </row>
    <row r="18" spans="1:6" ht="31.5">
      <c r="A18" s="36" t="s">
        <v>284</v>
      </c>
      <c r="B18" s="37" t="s">
        <v>58</v>
      </c>
      <c r="C18" s="37" t="s">
        <v>36</v>
      </c>
      <c r="D18" s="38">
        <f>SUM(D19:D20)</f>
        <v>24966.2</v>
      </c>
      <c r="E18" s="39">
        <f>SUM(E19:E20)</f>
        <v>24966.200000000004</v>
      </c>
      <c r="F18" s="40">
        <f t="shared" si="0"/>
        <v>-3.637978807091713E-12</v>
      </c>
    </row>
    <row r="19" spans="1:6" ht="15.75">
      <c r="A19" s="41" t="s">
        <v>190</v>
      </c>
      <c r="B19" s="42" t="s">
        <v>58</v>
      </c>
      <c r="C19" s="42" t="s">
        <v>17</v>
      </c>
      <c r="D19" s="39">
        <v>5937.7</v>
      </c>
      <c r="E19" s="39">
        <f>SUM(Ведомственная!G138)</f>
        <v>5937.7</v>
      </c>
      <c r="F19" s="40">
        <f t="shared" si="0"/>
        <v>0</v>
      </c>
    </row>
    <row r="20" spans="1:6" ht="47.25">
      <c r="A20" s="41" t="s">
        <v>191</v>
      </c>
      <c r="B20" s="42" t="s">
        <v>58</v>
      </c>
      <c r="C20" s="42" t="s">
        <v>192</v>
      </c>
      <c r="D20" s="39">
        <v>19028.5</v>
      </c>
      <c r="E20" s="39">
        <f>SUM(Ведомственная!G145)</f>
        <v>19028.500000000004</v>
      </c>
      <c r="F20" s="40">
        <f t="shared" si="0"/>
        <v>-3.637978807091713E-12</v>
      </c>
    </row>
    <row r="21" spans="1:6" ht="15.75">
      <c r="A21" s="36" t="s">
        <v>16</v>
      </c>
      <c r="B21" s="37" t="s">
        <v>17</v>
      </c>
      <c r="C21" s="37" t="s">
        <v>36</v>
      </c>
      <c r="D21" s="38">
        <f>SUM(D23:D25)</f>
        <v>212403.9</v>
      </c>
      <c r="E21" s="39">
        <f>SUM(E22:E25)</f>
        <v>212403.9</v>
      </c>
      <c r="F21" s="40">
        <f t="shared" si="0"/>
        <v>0</v>
      </c>
    </row>
    <row r="22" spans="1:6" ht="15.75" hidden="1">
      <c r="A22" s="41" t="s">
        <v>193</v>
      </c>
      <c r="B22" s="42" t="s">
        <v>17</v>
      </c>
      <c r="C22" s="42" t="s">
        <v>38</v>
      </c>
      <c r="D22" s="39"/>
      <c r="E22" s="39"/>
      <c r="F22" s="40">
        <f t="shared" si="0"/>
        <v>0</v>
      </c>
    </row>
    <row r="23" spans="1:6" ht="15.75">
      <c r="A23" s="41" t="s">
        <v>18</v>
      </c>
      <c r="B23" s="42" t="s">
        <v>17</v>
      </c>
      <c r="C23" s="42" t="s">
        <v>19</v>
      </c>
      <c r="D23" s="39">
        <v>93243</v>
      </c>
      <c r="E23" s="39">
        <f>SUM(Ведомственная!G169+Ведомственная!G432)</f>
        <v>93243</v>
      </c>
      <c r="F23" s="40">
        <f t="shared" si="0"/>
        <v>0</v>
      </c>
    </row>
    <row r="24" spans="1:6" ht="15.75">
      <c r="A24" s="41" t="s">
        <v>194</v>
      </c>
      <c r="B24" s="42" t="s">
        <v>17</v>
      </c>
      <c r="C24" s="42" t="s">
        <v>192</v>
      </c>
      <c r="D24" s="39">
        <v>110476.1</v>
      </c>
      <c r="E24" s="39">
        <f>SUM(Ведомственная!G177)</f>
        <v>110476.1</v>
      </c>
      <c r="F24" s="40">
        <f t="shared" si="0"/>
        <v>0</v>
      </c>
    </row>
    <row r="25" spans="1:6" ht="15.75">
      <c r="A25" s="41" t="s">
        <v>27</v>
      </c>
      <c r="B25" s="42" t="s">
        <v>17</v>
      </c>
      <c r="C25" s="42" t="s">
        <v>28</v>
      </c>
      <c r="D25" s="39">
        <v>8684.8</v>
      </c>
      <c r="E25" s="39">
        <f>SUM(Ведомственная!G192+Ведомственная!G438)</f>
        <v>8684.800000000001</v>
      </c>
      <c r="F25" s="40">
        <f t="shared" si="0"/>
        <v>-1.8189894035458565E-12</v>
      </c>
    </row>
    <row r="26" spans="1:6" ht="15" customHeight="1">
      <c r="A26" s="36" t="s">
        <v>294</v>
      </c>
      <c r="B26" s="37" t="s">
        <v>188</v>
      </c>
      <c r="C26" s="37" t="s">
        <v>36</v>
      </c>
      <c r="D26" s="38">
        <f>SUM(D27:D30)</f>
        <v>289787</v>
      </c>
      <c r="E26" s="39">
        <f>SUM(E27:E30)</f>
        <v>289787</v>
      </c>
      <c r="F26" s="40">
        <f t="shared" si="0"/>
        <v>0</v>
      </c>
    </row>
    <row r="27" spans="1:6" ht="15.75" customHeight="1">
      <c r="A27" s="41" t="s">
        <v>195</v>
      </c>
      <c r="B27" s="42" t="s">
        <v>188</v>
      </c>
      <c r="C27" s="42" t="s">
        <v>38</v>
      </c>
      <c r="D27" s="39">
        <v>64394.8</v>
      </c>
      <c r="E27" s="39">
        <f>SUM(Ведомственная!G217)</f>
        <v>64394.8</v>
      </c>
      <c r="F27" s="40">
        <f t="shared" si="0"/>
        <v>0</v>
      </c>
    </row>
    <row r="28" spans="1:6" ht="15.75">
      <c r="A28" s="41" t="s">
        <v>196</v>
      </c>
      <c r="B28" s="42" t="s">
        <v>188</v>
      </c>
      <c r="C28" s="42" t="s">
        <v>48</v>
      </c>
      <c r="D28" s="39">
        <v>59679.1</v>
      </c>
      <c r="E28" s="39">
        <f>SUM(Ведомственная!G230)</f>
        <v>59679.1</v>
      </c>
      <c r="F28" s="40">
        <f t="shared" si="0"/>
        <v>0</v>
      </c>
    </row>
    <row r="29" spans="1:6" ht="15.75">
      <c r="A29" s="41" t="s">
        <v>197</v>
      </c>
      <c r="B29" s="42" t="s">
        <v>188</v>
      </c>
      <c r="C29" s="42" t="s">
        <v>58</v>
      </c>
      <c r="D29" s="39">
        <v>149587.4</v>
      </c>
      <c r="E29" s="39">
        <f>SUM(Ведомственная!G257)</f>
        <v>149587.4</v>
      </c>
      <c r="F29" s="40">
        <f t="shared" si="0"/>
        <v>0</v>
      </c>
    </row>
    <row r="30" spans="1:6" ht="31.5">
      <c r="A30" s="41" t="s">
        <v>198</v>
      </c>
      <c r="B30" s="42" t="s">
        <v>188</v>
      </c>
      <c r="C30" s="42" t="s">
        <v>188</v>
      </c>
      <c r="D30" s="39">
        <v>16125.7</v>
      </c>
      <c r="E30" s="39">
        <f>SUM(Ведомственная!G284)</f>
        <v>16125.7</v>
      </c>
      <c r="F30" s="40">
        <f t="shared" si="0"/>
        <v>0</v>
      </c>
    </row>
    <row r="31" spans="1:6" ht="15.75">
      <c r="A31" s="36" t="s">
        <v>522</v>
      </c>
      <c r="B31" s="37" t="s">
        <v>82</v>
      </c>
      <c r="C31" s="37" t="s">
        <v>36</v>
      </c>
      <c r="D31" s="38">
        <f>SUM(D32:D33)</f>
        <v>5708.8</v>
      </c>
      <c r="E31" s="39">
        <f>SUM(E32:E33)</f>
        <v>5708.799999999999</v>
      </c>
      <c r="F31" s="40">
        <f t="shared" si="0"/>
        <v>9.094947017729282E-13</v>
      </c>
    </row>
    <row r="32" spans="1:6" ht="32.25" customHeight="1">
      <c r="A32" s="41" t="s">
        <v>301</v>
      </c>
      <c r="B32" s="42" t="s">
        <v>82</v>
      </c>
      <c r="C32" s="42" t="s">
        <v>58</v>
      </c>
      <c r="D32" s="39">
        <v>4761.7</v>
      </c>
      <c r="E32" s="39">
        <f>SUM(Ведомственная!G298)</f>
        <v>4761.699999999999</v>
      </c>
      <c r="F32" s="40">
        <f t="shared" si="0"/>
        <v>9.094947017729282E-13</v>
      </c>
    </row>
    <row r="33" spans="1:6" ht="15.75">
      <c r="A33" s="41" t="s">
        <v>199</v>
      </c>
      <c r="B33" s="42" t="s">
        <v>82</v>
      </c>
      <c r="C33" s="42" t="s">
        <v>188</v>
      </c>
      <c r="D33" s="39">
        <v>947.1</v>
      </c>
      <c r="E33" s="39">
        <f>SUM(Ведомственная!G304)</f>
        <v>947.1</v>
      </c>
      <c r="F33" s="40">
        <f t="shared" si="0"/>
        <v>0</v>
      </c>
    </row>
    <row r="34" spans="1:6" ht="15.75">
      <c r="A34" s="36" t="s">
        <v>124</v>
      </c>
      <c r="B34" s="37" t="s">
        <v>125</v>
      </c>
      <c r="C34" s="37" t="s">
        <v>36</v>
      </c>
      <c r="D34" s="38">
        <f>SUM(D35:D39)</f>
        <v>1903452.3</v>
      </c>
      <c r="E34" s="39">
        <f>SUM(E35:E39)</f>
        <v>1903452.3</v>
      </c>
      <c r="F34" s="40">
        <f t="shared" si="0"/>
        <v>0</v>
      </c>
    </row>
    <row r="35" spans="1:6" ht="15.75">
      <c r="A35" s="41" t="s">
        <v>200</v>
      </c>
      <c r="B35" s="42" t="s">
        <v>125</v>
      </c>
      <c r="C35" s="42" t="s">
        <v>38</v>
      </c>
      <c r="D35" s="39">
        <v>717735.6</v>
      </c>
      <c r="E35" s="39">
        <f>SUM(Ведомственная!G702)</f>
        <v>717735.6</v>
      </c>
      <c r="F35" s="40">
        <f t="shared" si="0"/>
        <v>0</v>
      </c>
    </row>
    <row r="36" spans="1:6" ht="15.75">
      <c r="A36" s="41" t="s">
        <v>201</v>
      </c>
      <c r="B36" s="42" t="s">
        <v>125</v>
      </c>
      <c r="C36" s="42" t="s">
        <v>48</v>
      </c>
      <c r="D36" s="39">
        <v>991637.9</v>
      </c>
      <c r="E36" s="39">
        <f>SUM(Ведомственная!G743)</f>
        <v>991637.9000000001</v>
      </c>
      <c r="F36" s="40">
        <f t="shared" si="0"/>
        <v>-1.1641532182693481E-10</v>
      </c>
    </row>
    <row r="37" spans="1:6" ht="15.75">
      <c r="A37" s="41" t="s">
        <v>126</v>
      </c>
      <c r="B37" s="42" t="s">
        <v>125</v>
      </c>
      <c r="C37" s="42" t="s">
        <v>58</v>
      </c>
      <c r="D37" s="39">
        <v>119672.7</v>
      </c>
      <c r="E37" s="39">
        <f>SUM(Ведомственная!G914+Ведомственная!G811)</f>
        <v>119672.7</v>
      </c>
      <c r="F37" s="40">
        <f t="shared" si="0"/>
        <v>0</v>
      </c>
    </row>
    <row r="38" spans="1:6" ht="15.75">
      <c r="A38" s="41" t="s">
        <v>202</v>
      </c>
      <c r="B38" s="42" t="s">
        <v>125</v>
      </c>
      <c r="C38" s="42" t="s">
        <v>125</v>
      </c>
      <c r="D38" s="39">
        <v>25909</v>
      </c>
      <c r="E38" s="39">
        <f>SUM(Ведомственная!G444+Ведомственная!G619+Ведомственная!G822+Ведомственная!G920)</f>
        <v>25909</v>
      </c>
      <c r="F38" s="40">
        <f t="shared" si="0"/>
        <v>0</v>
      </c>
    </row>
    <row r="39" spans="1:6" ht="15.75">
      <c r="A39" s="41" t="s">
        <v>203</v>
      </c>
      <c r="B39" s="42" t="s">
        <v>125</v>
      </c>
      <c r="C39" s="42" t="s">
        <v>192</v>
      </c>
      <c r="D39" s="39">
        <v>48497.1</v>
      </c>
      <c r="E39" s="39">
        <f>SUM(Ведомственная!G856+Ведомственная!G317)</f>
        <v>48497.1</v>
      </c>
      <c r="F39" s="40">
        <f t="shared" si="0"/>
        <v>0</v>
      </c>
    </row>
    <row r="40" spans="1:6" ht="15.75">
      <c r="A40" s="36" t="s">
        <v>523</v>
      </c>
      <c r="B40" s="37" t="s">
        <v>19</v>
      </c>
      <c r="C40" s="37" t="s">
        <v>36</v>
      </c>
      <c r="D40" s="38">
        <f>SUM(D41:D42)</f>
        <v>123208.6</v>
      </c>
      <c r="E40" s="39">
        <f>SUM(E41:E42)</f>
        <v>123208.59999999999</v>
      </c>
      <c r="F40" s="40">
        <f t="shared" si="0"/>
        <v>1.4551915228366852E-11</v>
      </c>
    </row>
    <row r="41" spans="1:6" ht="15.75">
      <c r="A41" s="41" t="s">
        <v>204</v>
      </c>
      <c r="B41" s="42" t="s">
        <v>19</v>
      </c>
      <c r="C41" s="42" t="s">
        <v>38</v>
      </c>
      <c r="D41" s="39">
        <v>109312.6</v>
      </c>
      <c r="E41" s="39">
        <f>SUM(Ведомственная!G928)</f>
        <v>109312.59999999999</v>
      </c>
      <c r="F41" s="40">
        <f t="shared" si="0"/>
        <v>1.4551915228366852E-11</v>
      </c>
    </row>
    <row r="42" spans="1:6" ht="29.25" customHeight="1">
      <c r="A42" s="41" t="s">
        <v>205</v>
      </c>
      <c r="B42" s="42" t="s">
        <v>19</v>
      </c>
      <c r="C42" s="42" t="s">
        <v>17</v>
      </c>
      <c r="D42" s="39">
        <v>13896</v>
      </c>
      <c r="E42" s="39">
        <f>SUM(Ведомственная!G949)</f>
        <v>13896</v>
      </c>
      <c r="F42" s="40">
        <f t="shared" si="0"/>
        <v>0</v>
      </c>
    </row>
    <row r="43" spans="1:6" ht="15.75" hidden="1">
      <c r="A43" s="41" t="s">
        <v>524</v>
      </c>
      <c r="B43" s="42" t="s">
        <v>192</v>
      </c>
      <c r="C43" s="42" t="s">
        <v>36</v>
      </c>
      <c r="D43" s="39">
        <f>SUM(D45:D46)</f>
        <v>0</v>
      </c>
      <c r="E43" s="39">
        <f>SUM(E45:E46)</f>
        <v>0</v>
      </c>
      <c r="F43" s="40">
        <f t="shared" si="0"/>
        <v>0</v>
      </c>
    </row>
    <row r="44" spans="1:6" ht="15.75" hidden="1">
      <c r="A44" s="41" t="s">
        <v>206</v>
      </c>
      <c r="B44" s="42" t="s">
        <v>192</v>
      </c>
      <c r="C44" s="42" t="s">
        <v>38</v>
      </c>
      <c r="D44" s="39"/>
      <c r="E44" s="39"/>
      <c r="F44" s="40">
        <f t="shared" si="0"/>
        <v>0</v>
      </c>
    </row>
    <row r="45" spans="1:6" ht="15.75" hidden="1">
      <c r="A45" s="41" t="s">
        <v>207</v>
      </c>
      <c r="B45" s="42" t="s">
        <v>192</v>
      </c>
      <c r="C45" s="42" t="s">
        <v>48</v>
      </c>
      <c r="D45" s="39"/>
      <c r="E45" s="39"/>
      <c r="F45" s="40">
        <f t="shared" si="0"/>
        <v>0</v>
      </c>
    </row>
    <row r="46" spans="1:6" ht="15.75" hidden="1">
      <c r="A46" s="41" t="s">
        <v>208</v>
      </c>
      <c r="B46" s="42" t="s">
        <v>192</v>
      </c>
      <c r="C46" s="42" t="s">
        <v>192</v>
      </c>
      <c r="D46" s="39"/>
      <c r="E46" s="39"/>
      <c r="F46" s="40">
        <f t="shared" si="0"/>
        <v>0</v>
      </c>
    </row>
    <row r="47" spans="1:6" ht="15.75">
      <c r="A47" s="36" t="s">
        <v>34</v>
      </c>
      <c r="B47" s="37" t="s">
        <v>35</v>
      </c>
      <c r="C47" s="37" t="s">
        <v>36</v>
      </c>
      <c r="D47" s="38">
        <f>SUM(D48:D52)</f>
        <v>1148295.3</v>
      </c>
      <c r="E47" s="39">
        <f>SUM(E48:E52)</f>
        <v>1148295.3</v>
      </c>
      <c r="F47" s="40">
        <f t="shared" si="0"/>
        <v>0</v>
      </c>
    </row>
    <row r="48" spans="1:6" ht="15.75">
      <c r="A48" s="41" t="s">
        <v>37</v>
      </c>
      <c r="B48" s="42" t="s">
        <v>35</v>
      </c>
      <c r="C48" s="42" t="s">
        <v>38</v>
      </c>
      <c r="D48" s="39">
        <v>8760.7</v>
      </c>
      <c r="E48" s="39">
        <f>SUM(Ведомственная!G451)</f>
        <v>8760.7</v>
      </c>
      <c r="F48" s="40">
        <f t="shared" si="0"/>
        <v>0</v>
      </c>
    </row>
    <row r="49" spans="1:6" ht="15.75">
      <c r="A49" s="41" t="s">
        <v>47</v>
      </c>
      <c r="B49" s="42" t="s">
        <v>35</v>
      </c>
      <c r="C49" s="42" t="s">
        <v>48</v>
      </c>
      <c r="D49" s="39">
        <v>57856.3</v>
      </c>
      <c r="E49" s="39">
        <f>SUM(Ведомственная!G458)</f>
        <v>57856.3</v>
      </c>
      <c r="F49" s="40">
        <f t="shared" si="0"/>
        <v>0</v>
      </c>
    </row>
    <row r="50" spans="1:6" ht="15.75">
      <c r="A50" s="41" t="s">
        <v>57</v>
      </c>
      <c r="B50" s="42" t="s">
        <v>35</v>
      </c>
      <c r="C50" s="42" t="s">
        <v>58</v>
      </c>
      <c r="D50" s="39">
        <v>721222.9</v>
      </c>
      <c r="E50" s="39">
        <f>SUM(Ведомственная!G335+Ведомственная!G473+Ведомственная!G881+Ведомственная!G999)</f>
        <v>721222.9</v>
      </c>
      <c r="F50" s="40">
        <f t="shared" si="0"/>
        <v>0</v>
      </c>
    </row>
    <row r="51" spans="1:6" ht="15.75">
      <c r="A51" s="41" t="s">
        <v>209</v>
      </c>
      <c r="B51" s="42" t="s">
        <v>35</v>
      </c>
      <c r="C51" s="42" t="s">
        <v>17</v>
      </c>
      <c r="D51" s="39">
        <v>303064.2</v>
      </c>
      <c r="E51" s="39">
        <f>SUM(Ведомственная!G564+Ведомственная!G347+Ведомственная!G888)</f>
        <v>303064.2</v>
      </c>
      <c r="F51" s="40">
        <f t="shared" si="0"/>
        <v>0</v>
      </c>
    </row>
    <row r="52" spans="1:6" ht="15.75">
      <c r="A52" s="41" t="s">
        <v>81</v>
      </c>
      <c r="B52" s="42" t="s">
        <v>35</v>
      </c>
      <c r="C52" s="42" t="s">
        <v>82</v>
      </c>
      <c r="D52" s="39">
        <v>57391.2</v>
      </c>
      <c r="E52" s="39">
        <f>SUM(Ведомственная!G360+Ведомственная!G421+Ведомственная!G594+Ведомственная!G626+Ведомственная!G906+Ведомственная!G1005)</f>
        <v>57391.2</v>
      </c>
      <c r="F52" s="40">
        <f t="shared" si="0"/>
        <v>0</v>
      </c>
    </row>
    <row r="53" spans="1:6" ht="15.75">
      <c r="A53" s="36" t="s">
        <v>322</v>
      </c>
      <c r="B53" s="37" t="s">
        <v>189</v>
      </c>
      <c r="C53" s="37" t="s">
        <v>36</v>
      </c>
      <c r="D53" s="38">
        <f>SUM(D54:D57)</f>
        <v>130215.4</v>
      </c>
      <c r="E53" s="39">
        <f>SUM(E54:E57)</f>
        <v>130215.4</v>
      </c>
      <c r="F53" s="40">
        <f t="shared" si="0"/>
        <v>0</v>
      </c>
    </row>
    <row r="54" spans="1:6" ht="14.25" customHeight="1">
      <c r="A54" s="41" t="s">
        <v>210</v>
      </c>
      <c r="B54" s="42" t="s">
        <v>189</v>
      </c>
      <c r="C54" s="42" t="s">
        <v>38</v>
      </c>
      <c r="D54" s="39">
        <v>94690.4</v>
      </c>
      <c r="E54" s="39">
        <f>SUM(Ведомственная!G380+Ведомственная!G633)</f>
        <v>94690.40000000001</v>
      </c>
      <c r="F54" s="40">
        <f t="shared" si="0"/>
        <v>-1.4551915228366852E-11</v>
      </c>
    </row>
    <row r="55" spans="1:6" ht="15.75">
      <c r="A55" s="41" t="s">
        <v>211</v>
      </c>
      <c r="B55" s="42" t="s">
        <v>189</v>
      </c>
      <c r="C55" s="42" t="s">
        <v>48</v>
      </c>
      <c r="D55" s="39">
        <v>22167.6</v>
      </c>
      <c r="E55" s="39">
        <f>SUM(Ведомственная!G680)</f>
        <v>22167.6</v>
      </c>
      <c r="F55" s="40">
        <f t="shared" si="0"/>
        <v>0</v>
      </c>
    </row>
    <row r="56" spans="1:6" ht="22.5" customHeight="1">
      <c r="A56" s="41" t="s">
        <v>212</v>
      </c>
      <c r="B56" s="42" t="s">
        <v>189</v>
      </c>
      <c r="C56" s="42" t="s">
        <v>58</v>
      </c>
      <c r="D56" s="39">
        <v>1972.2</v>
      </c>
      <c r="E56" s="39">
        <f>SUM(Ведомственная!G692)</f>
        <v>1972.2</v>
      </c>
      <c r="F56" s="40">
        <f t="shared" si="0"/>
        <v>0</v>
      </c>
    </row>
    <row r="57" spans="1:6" ht="35.25" customHeight="1">
      <c r="A57" s="41" t="s">
        <v>213</v>
      </c>
      <c r="B57" s="42" t="s">
        <v>189</v>
      </c>
      <c r="C57" s="42" t="s">
        <v>188</v>
      </c>
      <c r="D57" s="39">
        <v>11385.2</v>
      </c>
      <c r="E57" s="39">
        <f>Ведомственная!G390</f>
        <v>11385.2</v>
      </c>
      <c r="F57" s="40">
        <f t="shared" si="0"/>
        <v>0</v>
      </c>
    </row>
    <row r="58" spans="1:6" ht="31.5">
      <c r="A58" s="36" t="s">
        <v>231</v>
      </c>
      <c r="B58" s="37" t="s">
        <v>104</v>
      </c>
      <c r="C58" s="37" t="s">
        <v>36</v>
      </c>
      <c r="D58" s="38">
        <f>SUM(D59)</f>
        <v>8735.2</v>
      </c>
      <c r="E58" s="39">
        <f>SUM(E59)</f>
        <v>8735.2</v>
      </c>
      <c r="F58" s="40">
        <f t="shared" si="0"/>
        <v>0</v>
      </c>
    </row>
    <row r="59" spans="1:6" ht="31.5">
      <c r="A59" s="41" t="s">
        <v>214</v>
      </c>
      <c r="B59" s="42" t="s">
        <v>104</v>
      </c>
      <c r="C59" s="42" t="s">
        <v>38</v>
      </c>
      <c r="D59" s="39">
        <v>8735.2</v>
      </c>
      <c r="E59" s="39">
        <f>SUM(Ведомственная!G425)</f>
        <v>8735.2</v>
      </c>
      <c r="F59" s="40">
        <f t="shared" si="0"/>
        <v>0</v>
      </c>
    </row>
    <row r="60" spans="1:6" ht="21.75" customHeight="1">
      <c r="A60" s="36" t="s">
        <v>215</v>
      </c>
      <c r="B60" s="43"/>
      <c r="C60" s="43"/>
      <c r="D60" s="44">
        <f>SUM(D10+D18+D21+D26+D31+D34+D40+D43+D47+D53+D58)</f>
        <v>4059883.5000000005</v>
      </c>
      <c r="E60" s="45">
        <f>SUM(E10+E18+E21+E26+E31+E34+E40+E43+E47+E53+E58)</f>
        <v>4059883.5000000005</v>
      </c>
      <c r="F60" s="40">
        <f t="shared" si="0"/>
        <v>0</v>
      </c>
    </row>
    <row r="61" ht="15">
      <c r="E61" s="40"/>
    </row>
    <row r="62" ht="15">
      <c r="E62" s="40"/>
    </row>
    <row r="63" ht="15">
      <c r="E63" s="40"/>
    </row>
  </sheetData>
  <sheetProtection/>
  <mergeCells count="1">
    <mergeCell ref="A7:E7"/>
  </mergeCells>
  <conditionalFormatting sqref="E10:E59">
    <cfRule type="cellIs" priority="14" dxfId="14" operator="lessThan">
      <formula>0</formula>
    </cfRule>
  </conditionalFormatting>
  <conditionalFormatting sqref="D10">
    <cfRule type="cellIs" priority="13" dxfId="14" operator="lessThan">
      <formula>0</formula>
    </cfRule>
  </conditionalFormatting>
  <conditionalFormatting sqref="D18">
    <cfRule type="cellIs" priority="12" dxfId="14" operator="lessThan">
      <formula>0</formula>
    </cfRule>
  </conditionalFormatting>
  <conditionalFormatting sqref="D21">
    <cfRule type="cellIs" priority="11" dxfId="14" operator="lessThan">
      <formula>0</formula>
    </cfRule>
  </conditionalFormatting>
  <conditionalFormatting sqref="D26">
    <cfRule type="cellIs" priority="10" dxfId="14" operator="lessThan">
      <formula>0</formula>
    </cfRule>
  </conditionalFormatting>
  <conditionalFormatting sqref="D31">
    <cfRule type="cellIs" priority="9" dxfId="14" operator="lessThan">
      <formula>0</formula>
    </cfRule>
  </conditionalFormatting>
  <conditionalFormatting sqref="D34">
    <cfRule type="cellIs" priority="8" dxfId="14" operator="lessThan">
      <formula>0</formula>
    </cfRule>
  </conditionalFormatting>
  <conditionalFormatting sqref="D40">
    <cfRule type="cellIs" priority="7" dxfId="14" operator="lessThan">
      <formula>0</formula>
    </cfRule>
  </conditionalFormatting>
  <conditionalFormatting sqref="D43">
    <cfRule type="cellIs" priority="6" dxfId="14" operator="lessThan">
      <formula>0</formula>
    </cfRule>
  </conditionalFormatting>
  <conditionalFormatting sqref="D47">
    <cfRule type="cellIs" priority="5" dxfId="14" operator="lessThan">
      <formula>0</formula>
    </cfRule>
  </conditionalFormatting>
  <conditionalFormatting sqref="D53">
    <cfRule type="cellIs" priority="4" dxfId="14" operator="lessThan">
      <formula>0</formula>
    </cfRule>
  </conditionalFormatting>
  <conditionalFormatting sqref="D58">
    <cfRule type="cellIs" priority="3" dxfId="14" operator="lessThan">
      <formula>0</formula>
    </cfRule>
  </conditionalFormatting>
  <conditionalFormatting sqref="D10">
    <cfRule type="cellIs" priority="2" dxfId="14" operator="lessThan">
      <formula>0</formula>
    </cfRule>
  </conditionalFormatting>
  <conditionalFormatting sqref="D10:D59">
    <cfRule type="cellIs" priority="1" dxfId="14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25">
      <selection activeCell="A45" sqref="A45"/>
    </sheetView>
  </sheetViews>
  <sheetFormatPr defaultColWidth="9.140625" defaultRowHeight="15"/>
  <cols>
    <col min="1" max="1" width="72.421875" style="4" customWidth="1"/>
    <col min="2" max="2" width="19.7109375" style="4" customWidth="1"/>
    <col min="3" max="3" width="15.7109375" style="4" customWidth="1"/>
    <col min="4" max="4" width="15.28125" style="4" customWidth="1"/>
    <col min="5" max="16384" width="9.140625" style="4" customWidth="1"/>
  </cols>
  <sheetData>
    <row r="1" ht="15.75">
      <c r="C1" s="149" t="s">
        <v>781</v>
      </c>
    </row>
    <row r="2" ht="15.75">
      <c r="C2" s="150" t="s">
        <v>0</v>
      </c>
    </row>
    <row r="3" ht="15.75">
      <c r="C3" s="150" t="s">
        <v>1</v>
      </c>
    </row>
    <row r="4" ht="15.75">
      <c r="C4" s="150" t="s">
        <v>2</v>
      </c>
    </row>
    <row r="5" ht="12.75">
      <c r="C5" s="34" t="s">
        <v>1204</v>
      </c>
    </row>
    <row r="6" spans="1:4" ht="47.25" customHeight="1">
      <c r="A6" s="272" t="s">
        <v>723</v>
      </c>
      <c r="B6" s="272"/>
      <c r="C6" s="274"/>
      <c r="D6" s="274"/>
    </row>
    <row r="7" ht="15">
      <c r="B7" s="9" t="s">
        <v>724</v>
      </c>
    </row>
    <row r="8" spans="1:4" ht="39.75" customHeight="1">
      <c r="A8" s="151" t="s">
        <v>725</v>
      </c>
      <c r="B8" s="152" t="s">
        <v>726</v>
      </c>
      <c r="C8" s="152" t="s">
        <v>727</v>
      </c>
      <c r="D8" s="152" t="s">
        <v>728</v>
      </c>
    </row>
    <row r="9" spans="1:4" ht="47.25">
      <c r="A9" s="10" t="s">
        <v>752</v>
      </c>
      <c r="B9" s="6">
        <f>SUM(B10)</f>
        <v>11500</v>
      </c>
      <c r="C9" s="5"/>
      <c r="D9" s="5"/>
    </row>
    <row r="10" spans="1:4" ht="31.5">
      <c r="A10" s="11" t="s">
        <v>360</v>
      </c>
      <c r="B10" s="7">
        <f>SUM(B11:B12)</f>
        <v>11500</v>
      </c>
      <c r="C10" s="5"/>
      <c r="D10" s="5"/>
    </row>
    <row r="11" spans="1:4" ht="47.25">
      <c r="A11" s="12" t="s">
        <v>753</v>
      </c>
      <c r="B11" s="8">
        <v>6500</v>
      </c>
      <c r="C11" s="5"/>
      <c r="D11" s="5"/>
    </row>
    <row r="12" spans="1:4" ht="47.25">
      <c r="A12" s="12" t="s">
        <v>754</v>
      </c>
      <c r="B12" s="8">
        <v>5000</v>
      </c>
      <c r="C12" s="5"/>
      <c r="D12" s="5"/>
    </row>
    <row r="13" spans="1:4" ht="31.5">
      <c r="A13" s="13" t="s">
        <v>295</v>
      </c>
      <c r="B13" s="14">
        <f>B14</f>
        <v>3648</v>
      </c>
      <c r="C13" s="14"/>
      <c r="D13" s="14"/>
    </row>
    <row r="14" spans="1:4" ht="31.5">
      <c r="A14" s="15" t="s">
        <v>729</v>
      </c>
      <c r="B14" s="16">
        <v>3648</v>
      </c>
      <c r="C14" s="16"/>
      <c r="D14" s="16"/>
    </row>
    <row r="15" spans="1:4" ht="15.75">
      <c r="A15" s="17" t="s">
        <v>730</v>
      </c>
      <c r="B15" s="18">
        <v>1148</v>
      </c>
      <c r="C15" s="18"/>
      <c r="D15" s="18"/>
    </row>
    <row r="16" spans="1:4" ht="47.25">
      <c r="A16" s="19" t="s">
        <v>731</v>
      </c>
      <c r="B16" s="14">
        <f>SUM(B17,B21)</f>
        <v>2656</v>
      </c>
      <c r="C16" s="14"/>
      <c r="D16" s="18"/>
    </row>
    <row r="17" spans="1:4" ht="31.5">
      <c r="A17" s="15" t="s">
        <v>732</v>
      </c>
      <c r="B17" s="16">
        <f>SUM(B18:B20)</f>
        <v>2260.5</v>
      </c>
      <c r="C17" s="16"/>
      <c r="D17" s="16"/>
    </row>
    <row r="18" spans="1:4" ht="47.25">
      <c r="A18" s="20" t="s">
        <v>733</v>
      </c>
      <c r="B18" s="18">
        <v>100</v>
      </c>
      <c r="C18" s="18"/>
      <c r="D18" s="18"/>
    </row>
    <row r="19" spans="1:4" ht="15.75">
      <c r="A19" s="20" t="s">
        <v>734</v>
      </c>
      <c r="B19" s="18">
        <v>2060.5</v>
      </c>
      <c r="C19" s="18"/>
      <c r="D19" s="18"/>
    </row>
    <row r="20" spans="1:4" ht="31.5">
      <c r="A20" s="20" t="s">
        <v>735</v>
      </c>
      <c r="B20" s="18">
        <v>100</v>
      </c>
      <c r="C20" s="18"/>
      <c r="D20" s="18"/>
    </row>
    <row r="21" spans="1:4" ht="31.5">
      <c r="A21" s="21" t="s">
        <v>736</v>
      </c>
      <c r="B21" s="16">
        <f>B22+B23+B24</f>
        <v>395.5</v>
      </c>
      <c r="C21" s="16"/>
      <c r="D21" s="16"/>
    </row>
    <row r="22" spans="1:4" ht="44.25" customHeight="1">
      <c r="A22" s="20" t="s">
        <v>737</v>
      </c>
      <c r="B22" s="18">
        <v>236.9</v>
      </c>
      <c r="C22" s="18"/>
      <c r="D22" s="18"/>
    </row>
    <row r="23" spans="1:4" ht="31.5" hidden="1">
      <c r="A23" s="20" t="s">
        <v>738</v>
      </c>
      <c r="B23" s="18"/>
      <c r="C23" s="18"/>
      <c r="D23" s="18"/>
    </row>
    <row r="24" spans="1:4" ht="47.25">
      <c r="A24" s="20" t="s">
        <v>739</v>
      </c>
      <c r="B24" s="18">
        <v>158.6</v>
      </c>
      <c r="C24" s="18"/>
      <c r="D24" s="18"/>
    </row>
    <row r="25" spans="1:4" ht="42" customHeight="1">
      <c r="A25" s="22" t="s">
        <v>352</v>
      </c>
      <c r="B25" s="14">
        <f>SUM(B26:B28)</f>
        <v>12362.900000000001</v>
      </c>
      <c r="C25" s="14"/>
      <c r="D25" s="14"/>
    </row>
    <row r="26" spans="1:4" ht="22.5" customHeight="1">
      <c r="A26" s="20" t="s">
        <v>740</v>
      </c>
      <c r="B26" s="18">
        <v>500</v>
      </c>
      <c r="C26" s="18"/>
      <c r="D26" s="18"/>
    </row>
    <row r="27" spans="1:4" ht="22.5" customHeight="1">
      <c r="A27" s="20" t="s">
        <v>741</v>
      </c>
      <c r="B27" s="18">
        <v>477.7</v>
      </c>
      <c r="C27" s="18"/>
      <c r="D27" s="18"/>
    </row>
    <row r="28" spans="1:4" ht="33.75" customHeight="1">
      <c r="A28" s="20" t="s">
        <v>742</v>
      </c>
      <c r="B28" s="18">
        <v>11385.2</v>
      </c>
      <c r="C28" s="18"/>
      <c r="D28" s="18"/>
    </row>
    <row r="29" spans="1:4" ht="31.5">
      <c r="A29" s="22" t="s">
        <v>324</v>
      </c>
      <c r="B29" s="14">
        <f>B30</f>
        <v>10122</v>
      </c>
      <c r="C29" s="14"/>
      <c r="D29" s="14"/>
    </row>
    <row r="30" spans="1:4" ht="47.25">
      <c r="A30" s="21" t="s">
        <v>743</v>
      </c>
      <c r="B30" s="16">
        <f>SUM(B31:B32)</f>
        <v>10122</v>
      </c>
      <c r="C30" s="16"/>
      <c r="D30" s="16"/>
    </row>
    <row r="31" spans="1:4" ht="47.25">
      <c r="A31" s="20" t="s">
        <v>749</v>
      </c>
      <c r="B31" s="18">
        <v>800</v>
      </c>
      <c r="C31" s="16"/>
      <c r="D31" s="16"/>
    </row>
    <row r="32" spans="1:4" ht="47.25">
      <c r="A32" s="20" t="s">
        <v>744</v>
      </c>
      <c r="B32" s="18">
        <v>9322</v>
      </c>
      <c r="C32" s="18"/>
      <c r="D32" s="18"/>
    </row>
    <row r="33" spans="1:4" ht="47.25">
      <c r="A33" s="23" t="s">
        <v>346</v>
      </c>
      <c r="B33" s="24">
        <f>SUM(B34)</f>
        <v>233.1</v>
      </c>
      <c r="C33" s="14"/>
      <c r="D33" s="14"/>
    </row>
    <row r="34" spans="1:4" ht="30.75" customHeight="1">
      <c r="A34" s="25" t="s">
        <v>350</v>
      </c>
      <c r="B34" s="26">
        <f>SUM(B35:B37)</f>
        <v>233.1</v>
      </c>
      <c r="C34" s="18"/>
      <c r="D34" s="18"/>
    </row>
    <row r="35" spans="1:4" ht="15.75" hidden="1">
      <c r="A35" s="27" t="s">
        <v>745</v>
      </c>
      <c r="B35" s="28"/>
      <c r="C35" s="18"/>
      <c r="D35" s="18"/>
    </row>
    <row r="36" spans="1:4" ht="15.75">
      <c r="A36" s="27" t="s">
        <v>746</v>
      </c>
      <c r="B36" s="28">
        <v>33.1</v>
      </c>
      <c r="C36" s="18"/>
      <c r="D36" s="18"/>
    </row>
    <row r="37" spans="1:4" ht="15.75">
      <c r="A37" s="27" t="s">
        <v>747</v>
      </c>
      <c r="B37" s="28">
        <v>200</v>
      </c>
      <c r="C37" s="18"/>
      <c r="D37" s="18"/>
    </row>
    <row r="38" spans="1:4" ht="19.5" customHeight="1">
      <c r="A38" s="13" t="s">
        <v>748</v>
      </c>
      <c r="B38" s="29">
        <f>SUM(B13,B16,B25,B29,B33,B9)</f>
        <v>40522</v>
      </c>
      <c r="C38" s="29">
        <f>SUM(C13,C16,C25,C29)</f>
        <v>0</v>
      </c>
      <c r="D38" s="29">
        <f>SUM(D13,D16,D25,D29)</f>
        <v>0</v>
      </c>
    </row>
  </sheetData>
  <sheetProtection/>
  <mergeCells count="1">
    <mergeCell ref="A6:D6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2">
      <selection activeCell="J16" sqref="J16"/>
    </sheetView>
  </sheetViews>
  <sheetFormatPr defaultColWidth="9.140625" defaultRowHeight="15"/>
  <cols>
    <col min="1" max="1" width="30.57421875" style="170" customWidth="1"/>
    <col min="2" max="2" width="57.7109375" style="171" customWidth="1"/>
    <col min="3" max="3" width="18.8515625" style="172" hidden="1" customWidth="1"/>
    <col min="4" max="4" width="12.28125" style="173" hidden="1" customWidth="1"/>
    <col min="5" max="5" width="21.28125" style="172" customWidth="1"/>
    <col min="6" max="6" width="17.57421875" style="173" hidden="1" customWidth="1"/>
    <col min="7" max="7" width="10.140625" style="173" hidden="1" customWidth="1"/>
    <col min="8" max="16384" width="9.140625" style="173" customWidth="1"/>
  </cols>
  <sheetData>
    <row r="1" ht="15" hidden="1">
      <c r="E1" s="174" t="s">
        <v>780</v>
      </c>
    </row>
    <row r="2" spans="2:5" ht="16.5" customHeight="1">
      <c r="B2" s="175"/>
      <c r="C2" s="175" t="s">
        <v>1118</v>
      </c>
      <c r="D2" s="175"/>
      <c r="E2" s="176" t="s">
        <v>1205</v>
      </c>
    </row>
    <row r="3" spans="2:5" ht="12" customHeight="1">
      <c r="B3" s="177"/>
      <c r="C3" s="177" t="s">
        <v>0</v>
      </c>
      <c r="D3" s="175"/>
      <c r="E3" s="177" t="s">
        <v>0</v>
      </c>
    </row>
    <row r="4" spans="1:5" ht="15.75" customHeight="1">
      <c r="A4" s="178"/>
      <c r="B4" s="177"/>
      <c r="C4" s="177" t="s">
        <v>1</v>
      </c>
      <c r="D4" s="175"/>
      <c r="E4" s="177" t="s">
        <v>1</v>
      </c>
    </row>
    <row r="5" spans="3:5" ht="15.75">
      <c r="C5" s="177" t="s">
        <v>2</v>
      </c>
      <c r="D5" s="175"/>
      <c r="E5" s="177" t="s">
        <v>2</v>
      </c>
    </row>
    <row r="6" spans="3:6" ht="19.5" customHeight="1">
      <c r="C6" s="275" t="s">
        <v>1119</v>
      </c>
      <c r="D6" s="275"/>
      <c r="E6" s="276" t="s">
        <v>1162</v>
      </c>
      <c r="F6" s="276"/>
    </row>
    <row r="7" spans="1:5" ht="54.75" customHeight="1">
      <c r="A7" s="277" t="s">
        <v>1120</v>
      </c>
      <c r="B7" s="277"/>
      <c r="C7" s="277"/>
      <c r="D7" s="277"/>
      <c r="E7" s="277"/>
    </row>
    <row r="8" spans="1:2" s="172" customFormat="1" ht="15">
      <c r="A8" s="170"/>
      <c r="B8" s="171"/>
    </row>
    <row r="9" spans="1:5" s="172" customFormat="1" ht="12.75" customHeight="1">
      <c r="A9" s="278" t="s">
        <v>1121</v>
      </c>
      <c r="B9" s="281" t="s">
        <v>1122</v>
      </c>
      <c r="C9" s="282" t="s">
        <v>1123</v>
      </c>
      <c r="D9" s="282" t="s">
        <v>1123</v>
      </c>
      <c r="E9" s="282" t="s">
        <v>1123</v>
      </c>
    </row>
    <row r="10" spans="1:5" s="172" customFormat="1" ht="11.25" customHeight="1">
      <c r="A10" s="279"/>
      <c r="B10" s="281"/>
      <c r="C10" s="282"/>
      <c r="D10" s="282"/>
      <c r="E10" s="282"/>
    </row>
    <row r="11" spans="1:5" s="179" customFormat="1" ht="37.5" customHeight="1">
      <c r="A11" s="280"/>
      <c r="B11" s="281"/>
      <c r="C11" s="282"/>
      <c r="D11" s="282"/>
      <c r="E11" s="282"/>
    </row>
    <row r="12" spans="1:6" s="184" customFormat="1" ht="30" customHeight="1">
      <c r="A12" s="180" t="s">
        <v>1124</v>
      </c>
      <c r="B12" s="181" t="s">
        <v>1125</v>
      </c>
      <c r="C12" s="182" t="e">
        <f>C13+C19+C24+C29</f>
        <v>#REF!</v>
      </c>
      <c r="D12" s="183" t="e">
        <f>D13+D19+D24+D29</f>
        <v>#REF!</v>
      </c>
      <c r="E12" s="182">
        <f>SUM(E13+E18+E24+E29)</f>
        <v>-71567.1</v>
      </c>
      <c r="F12" s="184">
        <v>73995.6</v>
      </c>
    </row>
    <row r="13" spans="1:5" s="184" customFormat="1" ht="30" customHeight="1">
      <c r="A13" s="180" t="s">
        <v>1126</v>
      </c>
      <c r="B13" s="185" t="s">
        <v>1127</v>
      </c>
      <c r="C13" s="182">
        <f>SUM(C14-C16)</f>
        <v>73995.59999999998</v>
      </c>
      <c r="D13" s="183">
        <f>SUM(D14-D16)</f>
        <v>148939.8</v>
      </c>
      <c r="E13" s="182">
        <f>SUM(E14-E16)</f>
        <v>-70000</v>
      </c>
    </row>
    <row r="14" spans="1:7" s="184" customFormat="1" ht="33" customHeight="1" hidden="1">
      <c r="A14" s="180" t="s">
        <v>1128</v>
      </c>
      <c r="B14" s="186" t="s">
        <v>1129</v>
      </c>
      <c r="C14" s="182">
        <f>SUM(C15)</f>
        <v>291614.1</v>
      </c>
      <c r="D14" s="183">
        <f>259071.6+50000</f>
        <v>309071.6</v>
      </c>
      <c r="E14" s="182">
        <f>SUM(E15)</f>
        <v>0</v>
      </c>
      <c r="G14" s="187">
        <f>SUM(C14+C20)</f>
        <v>291614.1</v>
      </c>
    </row>
    <row r="15" spans="1:5" s="184" customFormat="1" ht="45.75" customHeight="1" hidden="1">
      <c r="A15" s="180" t="s">
        <v>1130</v>
      </c>
      <c r="B15" s="181" t="s">
        <v>1131</v>
      </c>
      <c r="C15" s="182">
        <f>223995.6-15000+82618.5</f>
        <v>291614.1</v>
      </c>
      <c r="D15" s="183">
        <v>100580.5</v>
      </c>
      <c r="E15" s="182"/>
    </row>
    <row r="16" spans="1:5" s="184" customFormat="1" ht="49.5" customHeight="1">
      <c r="A16" s="180" t="s">
        <v>1132</v>
      </c>
      <c r="B16" s="188" t="s">
        <v>1133</v>
      </c>
      <c r="C16" s="182">
        <f>SUM(C17)</f>
        <v>217618.5</v>
      </c>
      <c r="D16" s="183">
        <v>160131.8</v>
      </c>
      <c r="E16" s="182">
        <f>SUM(E17)</f>
        <v>70000</v>
      </c>
    </row>
    <row r="17" spans="1:5" s="184" customFormat="1" ht="46.5" customHeight="1">
      <c r="A17" s="180" t="s">
        <v>1134</v>
      </c>
      <c r="B17" s="181" t="s">
        <v>1135</v>
      </c>
      <c r="C17" s="182">
        <v>217618.5</v>
      </c>
      <c r="D17" s="183">
        <v>60000</v>
      </c>
      <c r="E17" s="182">
        <v>70000</v>
      </c>
    </row>
    <row r="18" spans="1:5" s="184" customFormat="1" ht="46.5" customHeight="1">
      <c r="A18" s="189" t="s">
        <v>1136</v>
      </c>
      <c r="B18" s="188" t="s">
        <v>1137</v>
      </c>
      <c r="C18" s="190"/>
      <c r="D18" s="191"/>
      <c r="E18" s="190">
        <f>SUM(E19)</f>
        <v>-27000</v>
      </c>
    </row>
    <row r="19" spans="1:5" s="184" customFormat="1" ht="48" customHeight="1">
      <c r="A19" s="189" t="s">
        <v>1138</v>
      </c>
      <c r="B19" s="192" t="s">
        <v>1139</v>
      </c>
      <c r="C19" s="190">
        <f>SUM(C20)-C22</f>
        <v>-15000</v>
      </c>
      <c r="D19" s="191">
        <f>SUM(D20)-D22</f>
        <v>-50000</v>
      </c>
      <c r="E19" s="190">
        <f>SUM(E20)-E22</f>
        <v>-27000</v>
      </c>
    </row>
    <row r="20" spans="1:5" s="184" customFormat="1" ht="45" customHeight="1" hidden="1">
      <c r="A20" s="180" t="s">
        <v>1140</v>
      </c>
      <c r="B20" s="193" t="s">
        <v>1141</v>
      </c>
      <c r="C20" s="182"/>
      <c r="D20" s="183"/>
      <c r="E20" s="182"/>
    </row>
    <row r="21" spans="1:5" s="184" customFormat="1" ht="20.25" customHeight="1" hidden="1">
      <c r="A21" s="180" t="s">
        <v>1142</v>
      </c>
      <c r="B21" s="192" t="s">
        <v>1143</v>
      </c>
      <c r="C21" s="182"/>
      <c r="D21" s="183"/>
      <c r="E21" s="182"/>
    </row>
    <row r="22" spans="1:5" s="184" customFormat="1" ht="49.5" customHeight="1">
      <c r="A22" s="180" t="s">
        <v>1144</v>
      </c>
      <c r="B22" s="194" t="s">
        <v>1145</v>
      </c>
      <c r="C22" s="182">
        <v>15000</v>
      </c>
      <c r="D22" s="183">
        <v>50000</v>
      </c>
      <c r="E22" s="182">
        <f>SUM(E23)</f>
        <v>27000</v>
      </c>
    </row>
    <row r="23" spans="1:5" s="184" customFormat="1" ht="66.75" customHeight="1">
      <c r="A23" s="180" t="s">
        <v>1146</v>
      </c>
      <c r="B23" s="181" t="s">
        <v>1147</v>
      </c>
      <c r="C23" s="182">
        <v>15000</v>
      </c>
      <c r="D23" s="183"/>
      <c r="E23" s="182">
        <v>27000</v>
      </c>
    </row>
    <row r="24" spans="1:5" s="184" customFormat="1" ht="31.5" customHeight="1">
      <c r="A24" s="180" t="s">
        <v>1148</v>
      </c>
      <c r="B24" s="181" t="s">
        <v>1149</v>
      </c>
      <c r="C24" s="182">
        <f aca="true" t="shared" si="0" ref="C24:E27">SUM(C25)</f>
        <v>15000</v>
      </c>
      <c r="D24" s="183">
        <f t="shared" si="0"/>
        <v>0</v>
      </c>
      <c r="E24" s="182">
        <f>SUM(E25)</f>
        <v>25432.9</v>
      </c>
    </row>
    <row r="25" spans="1:5" s="184" customFormat="1" ht="32.25" customHeight="1">
      <c r="A25" s="180" t="s">
        <v>1150</v>
      </c>
      <c r="B25" s="181" t="s">
        <v>1151</v>
      </c>
      <c r="C25" s="182">
        <f>SUM(C26)</f>
        <v>15000</v>
      </c>
      <c r="D25" s="183">
        <f t="shared" si="0"/>
        <v>0</v>
      </c>
      <c r="E25" s="182">
        <f>SUM(E26)</f>
        <v>25432.9</v>
      </c>
    </row>
    <row r="26" spans="1:5" s="184" customFormat="1" ht="31.5" customHeight="1">
      <c r="A26" s="180" t="s">
        <v>1152</v>
      </c>
      <c r="B26" s="181" t="s">
        <v>1153</v>
      </c>
      <c r="C26" s="182">
        <f>SUM(C27)</f>
        <v>15000</v>
      </c>
      <c r="D26" s="183">
        <f t="shared" si="0"/>
        <v>0</v>
      </c>
      <c r="E26" s="182">
        <f>SUM(E27)</f>
        <v>25432.9</v>
      </c>
    </row>
    <row r="27" spans="1:5" s="184" customFormat="1" ht="32.25" customHeight="1">
      <c r="A27" s="180" t="s">
        <v>1154</v>
      </c>
      <c r="B27" s="181" t="s">
        <v>1155</v>
      </c>
      <c r="C27" s="182">
        <f t="shared" si="0"/>
        <v>15000</v>
      </c>
      <c r="D27" s="183">
        <f t="shared" si="0"/>
        <v>0</v>
      </c>
      <c r="E27" s="182">
        <f t="shared" si="0"/>
        <v>25432.9</v>
      </c>
    </row>
    <row r="28" spans="1:5" s="184" customFormat="1" ht="38.25" customHeight="1">
      <c r="A28" s="180" t="s">
        <v>1156</v>
      </c>
      <c r="B28" s="181" t="s">
        <v>1157</v>
      </c>
      <c r="C28" s="182">
        <v>15000</v>
      </c>
      <c r="D28" s="183"/>
      <c r="E28" s="182">
        <f>4563+20550+319.9</f>
        <v>25432.9</v>
      </c>
    </row>
    <row r="29" spans="1:7" ht="35.25" customHeight="1">
      <c r="A29" s="195" t="s">
        <v>1158</v>
      </c>
      <c r="B29" s="196" t="s">
        <v>1159</v>
      </c>
      <c r="C29" s="197" t="e">
        <f>#REF!+#REF!</f>
        <v>#REF!</v>
      </c>
      <c r="D29" s="197" t="e">
        <f>#REF!+#REF!</f>
        <v>#REF!</v>
      </c>
      <c r="E29" s="198">
        <f>SUM(E30)</f>
        <v>0</v>
      </c>
      <c r="F29" s="184"/>
      <c r="G29" s="184"/>
    </row>
    <row r="30" spans="1:5" ht="30">
      <c r="A30" s="195" t="s">
        <v>1160</v>
      </c>
      <c r="B30" s="199" t="s">
        <v>1161</v>
      </c>
      <c r="C30" s="200"/>
      <c r="D30" s="201">
        <v>0</v>
      </c>
      <c r="E30" s="202"/>
    </row>
  </sheetData>
  <sheetProtection/>
  <mergeCells count="8">
    <mergeCell ref="C6:D6"/>
    <mergeCell ref="E6:F6"/>
    <mergeCell ref="A7:E7"/>
    <mergeCell ref="A9:A11"/>
    <mergeCell ref="B9:B11"/>
    <mergeCell ref="C9:C11"/>
    <mergeCell ref="D9:D11"/>
    <mergeCell ref="E9:E11"/>
  </mergeCells>
  <printOptions/>
  <pageMargins left="1.1023622047244095" right="0.5118110236220472" top="0.7480314960629921" bottom="0.35433070866141736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2017-06-21T05:03:24Z</cp:lastPrinted>
  <dcterms:created xsi:type="dcterms:W3CDTF">2016-11-10T06:54:02Z</dcterms:created>
  <dcterms:modified xsi:type="dcterms:W3CDTF">2017-06-21T06:20:06Z</dcterms:modified>
  <cp:category/>
  <cp:version/>
  <cp:contentType/>
  <cp:contentStatus/>
</cp:coreProperties>
</file>