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85" windowWidth="24675" windowHeight="11310" activeTab="3"/>
  </bookViews>
  <sheets>
    <sheet name="Ведомственная" sheetId="1" r:id="rId1"/>
    <sheet name="Программы" sheetId="2" r:id="rId2"/>
    <sheet name="Раздел, подраздел" sheetId="3" r:id="rId3"/>
    <sheet name="Кап.строительство" sheetId="4" r:id="rId4"/>
  </sheets>
  <definedNames>
    <definedName name="_xlnm.Print_Titles" localSheetId="0">'Ведомственная'!$9:$10</definedName>
    <definedName name="_xlnm.Print_Titles" localSheetId="1">'Программы'!$10:$10</definedName>
  </definedNames>
  <calcPr fullCalcOnLoad="1"/>
</workbook>
</file>

<file path=xl/sharedStrings.xml><?xml version="1.0" encoding="utf-8"?>
<sst xmlns="http://schemas.openxmlformats.org/spreadsheetml/2006/main" count="6090" uniqueCount="788">
  <si>
    <t xml:space="preserve">депутатов Миасского </t>
  </si>
  <si>
    <t>городского округа</t>
  </si>
  <si>
    <t>ВЕДОМСТВЕННАЯ СТРУКТУРА</t>
  </si>
  <si>
    <t xml:space="preserve">РАСХОДОВ  БЮДЖЕТА  МИАССКОГО ГОРОДСКОГО ОКРУГА </t>
  </si>
  <si>
    <t>НА 2017 ГОД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</si>
  <si>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</si>
  <si>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</si>
  <si>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</si>
  <si>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</si>
  <si>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</si>
  <si>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</si>
  <si>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</si>
  <si>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на 2017 год                 (тыс. руб.)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</si>
  <si>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</si>
  <si>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</si>
  <si>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</si>
  <si>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</si>
  <si>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</si>
  <si>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</si>
  <si>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</si>
  <si>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</si>
  <si>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</si>
  <si>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</si>
  <si>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</si>
  <si>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</si>
  <si>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</si>
  <si>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</si>
  <si>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</si>
  <si>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</si>
  <si>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</si>
  <si>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</si>
  <si>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</si>
  <si>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</si>
  <si>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</si>
  <si>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</si>
  <si>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</si>
  <si>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</si>
  <si>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</si>
  <si>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</si>
  <si>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</si>
  <si>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</si>
  <si>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</si>
  <si>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</si>
  <si>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</si>
  <si>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</si>
  <si>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</si>
  <si>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</si>
  <si>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</si>
  <si>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</si>
  <si>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</si>
  <si>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</si>
  <si>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</si>
  <si>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</si>
  <si>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</si>
  <si>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</si>
  <si>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</si>
  <si>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</si>
  <si>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</si>
  <si>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</si>
  <si>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</si>
  <si>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</si>
  <si>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</si>
  <si>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</si>
  <si>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</si>
  <si>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</si>
  <si>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</si>
  <si>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</si>
  <si>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</si>
  <si>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</si>
  <si>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</si>
  <si>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</si>
  <si>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</si>
  <si>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</si>
  <si>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</si>
  <si>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</si>
  <si>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</si>
  <si>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</si>
  <si>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</si>
  <si>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</si>
  <si>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</si>
  <si>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</si>
  <si>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</si>
  <si>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</si>
  <si>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</si>
  <si>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</si>
  <si>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</si>
  <si>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</si>
  <si>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Муниципальная программа "Социальная защита населения Миасского городского округа на 2017-2019 годы"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</si>
  <si>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</si>
  <si>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2017-2019 годы"</t>
  </si>
  <si>
    <t xml:space="preserve">Подпрограмма "Крепкая семья" </t>
  </si>
  <si>
    <t>Подпрограмма "Доступная среда"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</si>
  <si>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2017-2019 годы"</t>
  </si>
  <si>
    <t>Подпрограмма "Организация исполнения муниципальной программы «Социальная защита населения Миасского городского округа на 2017-2019 годы»"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</si>
  <si>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</si>
  <si>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</si>
  <si>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</si>
  <si>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</si>
  <si>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</si>
  <si>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</si>
  <si>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</si>
  <si>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</si>
  <si>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</si>
  <si>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</si>
  <si>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</si>
  <si>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</si>
  <si>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</si>
  <si>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</si>
  <si>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</si>
  <si>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</si>
  <si>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</si>
  <si>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</si>
  <si>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</si>
  <si>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</si>
  <si>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</si>
  <si>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</si>
  <si>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</si>
  <si>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</si>
  <si>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</si>
  <si>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</si>
  <si>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</si>
  <si>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МКУ "Управление культуры" МГО</t>
  </si>
  <si>
    <t>289</t>
  </si>
  <si>
    <t>Образование</t>
  </si>
  <si>
    <t>07</t>
  </si>
  <si>
    <t>Дополнительное образование детей</t>
  </si>
  <si>
    <t>Муниципальная программа "Развитие культуры в МГО на 2017-2019 годы"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</si>
  <si>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</si>
  <si>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</si>
  <si>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</si>
  <si>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</si>
  <si>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</si>
  <si>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</si>
  <si>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</si>
  <si>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</si>
  <si>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</si>
  <si>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</si>
  <si>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</si>
  <si>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</si>
  <si>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</si>
  <si>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</si>
  <si>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</si>
  <si>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</si>
  <si>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</si>
  <si>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</si>
  <si>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</si>
  <si>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</si>
  <si>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</si>
  <si>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</si>
  <si>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</si>
  <si>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</si>
  <si>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</si>
  <si>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</si>
  <si>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</si>
  <si>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</si>
  <si>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</si>
  <si>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</si>
  <si>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</si>
  <si>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Подпрограмма "Организация  и осуществление деятельности МКУ "Управление культуры"</t>
  </si>
  <si>
    <t>69 8 00 00000</t>
  </si>
  <si>
    <t>69 8 99 00000</t>
  </si>
  <si>
    <t>Обеспечение деятельности МКУ "Управление культуры" МГО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</si>
  <si>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</si>
  <si>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</si>
  <si>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</si>
  <si>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</si>
  <si>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</si>
  <si>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</si>
  <si>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</si>
  <si>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</si>
  <si>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</si>
  <si>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</si>
  <si>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</si>
  <si>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Субсидии бюджетным и автономным учреждениям на капитальный ремонт зданий и сооружений</t>
  </si>
  <si>
    <t>69 7 21 00000</t>
  </si>
  <si>
    <t>Наименование</t>
  </si>
  <si>
    <t>Целевая статья</t>
  </si>
  <si>
    <t>Группа вида расходов</t>
  </si>
  <si>
    <t>группа вида расходов</t>
  </si>
  <si>
    <t>Распределение бюджетных ассигнований по разделам и подразделам классификации расходов бюджета на 2017 год</t>
  </si>
  <si>
    <t>Раздел</t>
  </si>
  <si>
    <t>Подраздел</t>
  </si>
  <si>
    <t>Сумма,                 тыс. рублей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</si>
  <si>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</si>
  <si>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</si>
  <si>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</si>
  <si>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</si>
  <si>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</si>
  <si>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</si>
  <si>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</si>
  <si>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</si>
  <si>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</si>
  <si>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Общеэкономические вопросы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</si>
  <si>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</si>
  <si>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</si>
  <si>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</si>
  <si>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</si>
  <si>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</si>
  <si>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</si>
  <si>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</si>
  <si>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</si>
  <si>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</si>
  <si>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</si>
  <si>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</si>
  <si>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</si>
  <si>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Стационарная медицинская помощь</t>
  </si>
  <si>
    <t>Амбулаторная помощь</t>
  </si>
  <si>
    <t>Другие вопросы в области здравоохранения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</si>
  <si>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</si>
  <si>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</si>
  <si>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</si>
  <si>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</si>
  <si>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</si>
  <si>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</si>
  <si>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</si>
  <si>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</si>
  <si>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</si>
  <si>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</si>
  <si>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Муниципальная программа "Управление муниципальными финансами и муниципальным долгом в МГО на 2017-2019  годы"</t>
  </si>
  <si>
    <t>85 0 00 00000</t>
  </si>
  <si>
    <t>85 0 00 20000</t>
  </si>
  <si>
    <t>85 0 00 20401</t>
  </si>
  <si>
    <t>Непрограмное направление расходов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</si>
  <si>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</si>
  <si>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</si>
  <si>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</si>
  <si>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</si>
  <si>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</si>
  <si>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</si>
  <si>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</si>
  <si>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</si>
  <si>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</si>
  <si>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</si>
  <si>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</si>
  <si>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</si>
  <si>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</si>
  <si>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</si>
  <si>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</si>
  <si>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Муниципальная программа "Обеспечение деятельности Администрации МГО на 2017-2019  годы"</t>
  </si>
  <si>
    <t>50 0 00 00000</t>
  </si>
  <si>
    <t>50 0 00 20000</t>
  </si>
  <si>
    <t>Глава муниципального образования</t>
  </si>
  <si>
    <t>50 0 00 20300</t>
  </si>
  <si>
    <t>Государственная программа Челябинской области «Развитие образования в Челябинской области на 2014–2017 годы»</t>
  </si>
  <si>
    <t>03 0 00 00000</t>
  </si>
  <si>
    <t>Субвенции местным бюджетам 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</si>
  <si>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</si>
  <si>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>03 0 02 20000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</si>
  <si>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</si>
  <si>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03 0 02 25800</t>
  </si>
  <si>
    <t>50 0 00 20401</t>
  </si>
  <si>
    <t>99 0 02 00000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</si>
  <si>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</si>
  <si>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</si>
  <si>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</si>
  <si>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</si>
  <si>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99 0 02 51200</t>
  </si>
  <si>
    <t>48 0 00 00000</t>
  </si>
  <si>
    <t>Муниципальная программа "Развитие муниципальной службы в Администрации Миасского городского округа на 2015-2017 годы"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</si>
  <si>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</si>
  <si>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</si>
  <si>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</si>
  <si>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</si>
  <si>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</si>
  <si>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</si>
  <si>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</si>
  <si>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</si>
  <si>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</si>
  <si>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</si>
  <si>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</si>
  <si>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</si>
  <si>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</si>
  <si>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</si>
  <si>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</si>
  <si>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</si>
  <si>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Муниципальная программа "Профилактика  преступлений  и иных правонарушений на территории МГО на 2017-2019 годы"</t>
  </si>
  <si>
    <t>84 0 00 00000</t>
  </si>
  <si>
    <t>Муниципальная программа "Профилактика терроризма в МГО на 2017-2019  годы"</t>
  </si>
  <si>
    <t>86 0 00 00000</t>
  </si>
  <si>
    <t>Муниципальная программа "Обеспечение деятельности муниципального бюджетного учреждения «Миасский окружной архив на 2017-2019 годы"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</si>
  <si>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</si>
  <si>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</si>
  <si>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</si>
  <si>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</si>
  <si>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</si>
  <si>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</si>
  <si>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</si>
  <si>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</si>
  <si>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</si>
  <si>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</si>
  <si>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Субсидия в виде имущественного взноса автономной некоммерческой организации «Агентство инвестиционного развития МГО»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</si>
  <si>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</si>
  <si>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</si>
  <si>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</si>
  <si>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</si>
  <si>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</si>
  <si>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</si>
  <si>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</si>
  <si>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</si>
  <si>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</si>
  <si>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</si>
  <si>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Муниципальная программа "Охрана окружающей среды на территории МГО на 2017-2019 годы"</t>
  </si>
  <si>
    <t>63 0 00 00000</t>
  </si>
  <si>
    <t>63 0 99 00000</t>
  </si>
  <si>
    <t>Муниципальная программа "Обеспечение доступным и комфортным жильем граждан РФ на территории МГО на 2014-2020 годы"</t>
  </si>
  <si>
    <t>60 0 00 00000</t>
  </si>
  <si>
    <t>60 3 00 00000</t>
  </si>
  <si>
    <t>Муниципальная программа "Формирование и использование муниципального жилищного фонда  МГО на 2017-2019 годы"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</si>
  <si>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</si>
  <si>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</si>
  <si>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</si>
  <si>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</si>
  <si>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</si>
  <si>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</si>
  <si>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</si>
  <si>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Муниципальная программа "Повышение эффективности использования муниципального имущества в МГО на 2017-2019 годы"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</si>
  <si>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</si>
  <si>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</si>
  <si>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Муниципальная программа "Экономическое развитие МГО на 2017-2019  годы"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</si>
  <si>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</si>
  <si>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</si>
  <si>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</si>
  <si>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</si>
  <si>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</si>
  <si>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</si>
  <si>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</si>
  <si>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80 1 99 00000</t>
  </si>
  <si>
    <t>Мероприятия в области спорта</t>
  </si>
  <si>
    <t>80 1 99 90000</t>
  </si>
  <si>
    <t>80 2 00 00000</t>
  </si>
  <si>
    <t>Финансовое обеспечение муниципального задания на оказание муниципальных услуг (выполнение работ)</t>
  </si>
  <si>
    <t>Школы спортивной подготовки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</si>
  <si>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</si>
  <si>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</si>
  <si>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</si>
  <si>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</si>
  <si>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</si>
  <si>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Софинансирование расходов на реализацию мероприятий по поэтапному внедрению ВФСК «Готов к труду и обороне»</t>
  </si>
  <si>
    <t>Софинансирование расходов на оказание адресной финансовой поддержки спортивных организаций, осуществляющих подготовку спортивного резерва для сборных команд РФ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</si>
  <si>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</si>
  <si>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</si>
  <si>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</si>
  <si>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</si>
  <si>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</si>
  <si>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</si>
  <si>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Муниципальная программа "Комплексное развитие транспортной и дорожной инфраструктуры Миасского городского округа на 2017-2019 годы"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</si>
  <si>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</si>
  <si>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</si>
  <si>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</si>
  <si>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</si>
  <si>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</si>
  <si>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"Капитальное строительство на территории Миасского городского округа на 2014-2019 годы"</t>
  </si>
  <si>
    <t>Подпрограмма "Организация и осуществление деятельности МКУ "Комитет по строительству" на 2017-2019 годы"</t>
  </si>
  <si>
    <t>Муниципальная программа "Организация функционирования объектов коммунальной инфраструктуры Миасского городского округа на 2017-2019 годы"</t>
  </si>
  <si>
    <t>Мероприятия в области коммунального хозяйства</t>
  </si>
  <si>
    <t>Муниципальная программа "Организация ритуальных услуг и содержание мест захоронений на территории Миасского городского округа на 2017-2019 годы"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</si>
  <si>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</si>
  <si>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</si>
  <si>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</si>
  <si>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</si>
  <si>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Муниципальная программа "Благоустройство Миасского городского округа на 2017-2019 годы"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</si>
  <si>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</si>
  <si>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</si>
  <si>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</si>
  <si>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</si>
  <si>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</si>
  <si>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</si>
  <si>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</si>
  <si>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</si>
  <si>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"Обеспечение безопасности жизнедеятельности населения Миасского городского округа на 2017-2019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</si>
  <si>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2017-2019 годы"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</si>
  <si>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</si>
  <si>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</si>
  <si>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</si>
  <si>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Подпрограмма "Создание комплексной системы экстренного оповещения населения Миасского городского округа на 2017-2019 годы"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</si>
  <si>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</si>
  <si>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</si>
  <si>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</si>
  <si>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</si>
  <si>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</si>
  <si>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</si>
  <si>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</si>
  <si>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</si>
  <si>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</si>
  <si>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</si>
  <si>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</si>
  <si>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</si>
  <si>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</si>
  <si>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</si>
  <si>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</si>
  <si>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</si>
  <si>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</si>
  <si>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</si>
  <si>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</si>
  <si>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</si>
  <si>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</si>
  <si>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</si>
  <si>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</si>
  <si>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</si>
  <si>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</si>
  <si>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</si>
  <si>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</si>
  <si>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</si>
  <si>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</si>
  <si>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</si>
  <si>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</si>
  <si>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</si>
  <si>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</si>
  <si>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</si>
  <si>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</si>
  <si>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</si>
  <si>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</si>
  <si>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</si>
  <si>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</si>
  <si>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</si>
  <si>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</si>
  <si>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</si>
  <si>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</si>
  <si>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</si>
  <si>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</si>
  <si>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</si>
  <si>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</si>
  <si>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</si>
  <si>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</si>
  <si>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</si>
  <si>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</si>
  <si>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</si>
  <si>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</si>
  <si>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2 07 S1270</t>
  </si>
  <si>
    <t>80 2 07 S0810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</si>
  <si>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</si>
  <si>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</si>
  <si>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</si>
  <si>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</si>
  <si>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</si>
  <si>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</si>
  <si>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</si>
  <si>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</si>
  <si>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</si>
  <si>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Муниципальная программа "Повышение безопасности дорожного движения на территории Миасского городского округа на 2017-2019 годы"</t>
  </si>
  <si>
    <t>Муниципальная программа "Организация ритуальных услуг и содержание мест захоронения на территории Миасского городского округа на 2017-2019 годы"</t>
  </si>
  <si>
    <t>МКУ МГО "Образование"</t>
  </si>
  <si>
    <t>288</t>
  </si>
  <si>
    <t>Муниципальная  программа «Развитие системы образования в Миасском городском округе на 2017-2019 годы»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</si>
  <si>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</si>
  <si>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</si>
  <si>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</si>
  <si>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</si>
  <si>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</si>
  <si>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S1100</t>
  </si>
  <si>
    <t>79 0 10 00000</t>
  </si>
  <si>
    <t>79 0 10 40000</t>
  </si>
  <si>
    <t>Детские дошкольные учреждения</t>
  </si>
  <si>
    <t>79 0 10 42000</t>
  </si>
  <si>
    <t>790 20 42000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</si>
  <si>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</si>
  <si>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</si>
  <si>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</si>
  <si>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</si>
  <si>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</si>
  <si>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</si>
  <si>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</si>
  <si>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</si>
  <si>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Подпрограмма «Сопровождение функционирования и безопасности образовательных учреждений»</t>
  </si>
  <si>
    <t>79 6 00 00000</t>
  </si>
  <si>
    <t>79 6 07 00000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</si>
  <si>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</si>
  <si>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79 0 07 42155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</si>
  <si>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в рамках государственной программы "Развитие образования в Челябинской области" на 2014-2017 годы (софинансирование)</t>
  </si>
  <si>
    <t>79 0 07 S5500</t>
  </si>
  <si>
    <t>Создание в общеобразовательных организациях, расположенных в сельской местности, условий для занятий физической культурой и спортом (софинасирование)</t>
  </si>
  <si>
    <t>79 0 07 L0970</t>
  </si>
  <si>
    <t>Приобретение транспортных средств для организации перевозки обучающихся в рамках государственной программы «Развитие образования в Челябинской области» на 2014-2017 годы (софинансирование)</t>
  </si>
  <si>
    <t>79 0 07 S8800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</si>
  <si>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 в рамках государственной программы «Развитие образования в Челябинской области» на 2014-2017 годы (софинансирование)</t>
  </si>
  <si>
    <t>79 0 07 L0270</t>
  </si>
  <si>
    <t>Общеобразовательные учреждения</t>
  </si>
  <si>
    <t>79 0 10 42100</t>
  </si>
  <si>
    <t>79 0 20 42100</t>
  </si>
  <si>
    <t>79 0 22 42100</t>
  </si>
  <si>
    <t>79 0 23 42100</t>
  </si>
  <si>
    <t>79 0 24 42100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</si>
  <si>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</si>
  <si>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</si>
  <si>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</si>
  <si>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</si>
  <si>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</si>
  <si>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</si>
  <si>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Муниципальная  программа «Профилактика и противодействие проявлениям экстремизма в МГО на 2017-2019 годы»</t>
  </si>
  <si>
    <t>66 0 07 00000</t>
  </si>
  <si>
    <t>66 0 07 40000</t>
  </si>
  <si>
    <t>Муниципальная  программа «Противодействие злоупотреблению наркотическими средствами и их незаконному обороту в Миасском городском округе на 2017-2019 годы»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</si>
  <si>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</si>
  <si>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</si>
  <si>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</si>
  <si>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</si>
  <si>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</si>
  <si>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>Организация отдыха детей в каникулярное время в рамках государственной программы "Развитие образования в Челябинской области" на 2014-2017 годы (софинансирование)</t>
  </si>
  <si>
    <t xml:space="preserve">07 </t>
  </si>
  <si>
    <t>79 0 07 S4400</t>
  </si>
  <si>
    <t>Подпрограмма «Повышение эффективности реализации молодежной политики в Миасском городском округе»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</si>
  <si>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</si>
  <si>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</si>
  <si>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</si>
  <si>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</si>
  <si>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Организация и проведение мероприятий с детьми и молодежью в рамках государственной программы "Повышение эффективности реализации молодежной политики в Челябинской области" на 2015-2017 годы (софинансирование)</t>
  </si>
  <si>
    <t>79 5 07 S3300</t>
  </si>
  <si>
    <t>79 5 99 00000</t>
  </si>
  <si>
    <t>Организации, реализующие проведение мероприятий для детей и молодежи</t>
  </si>
  <si>
    <t>79 5 99 43100</t>
  </si>
  <si>
    <t>Подпрограмма «Организация и осуществление деятельности МКУ МГО Образование»</t>
  </si>
  <si>
    <t>79 7 00 00000</t>
  </si>
  <si>
    <t>79 7 99 00000</t>
  </si>
  <si>
    <t>79 7 99 45200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</si>
  <si>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</si>
  <si>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S9900</t>
  </si>
  <si>
    <t>790 20 00000</t>
  </si>
  <si>
    <t>Муниципальная программа "Улучшение условий  и охраны труда  в Миасском городском округе на 2017-2019 годы"</t>
  </si>
  <si>
    <t>Муниципальная программа "Улучшение условий и охраны труда  в Миасском городском округе на 2017-2019 годы"</t>
  </si>
  <si>
    <t>79 0 20 00000</t>
  </si>
  <si>
    <t>Обеспечение деятельности МКУ МГО «Образование»</t>
  </si>
  <si>
    <t>Охрана окружающей среды</t>
  </si>
  <si>
    <t>Культура и кинематография</t>
  </si>
  <si>
    <t>Здравоохранение</t>
  </si>
  <si>
    <t>Сумма на 2017 год,                 тыс. рублей</t>
  </si>
  <si>
    <t>47 1 55 00000</t>
  </si>
  <si>
    <t>Субсидии бюджетным и автономным учреждениям на капитальный ремонт зданий, сооружений</t>
  </si>
  <si>
    <t>80 4 21 00000</t>
  </si>
  <si>
    <t>80 4 21 90000</t>
  </si>
  <si>
    <t>48 0 02 00000</t>
  </si>
  <si>
    <t>48 0 02 29900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</si>
  <si>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</si>
  <si>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</si>
  <si>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</si>
  <si>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87 0 02 00000</t>
  </si>
  <si>
    <t>87 0 02 28600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</si>
  <si>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
установленном порядке</t>
  </si>
  <si>
    <t xml:space="preserve">Обеспечение предоставления жилых помещений приемным семьям по договорам безвозмездного пользования жилыми помещениями 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</si>
  <si>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</si>
  <si>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</si>
  <si>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</si>
  <si>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28 1 02 00000</t>
  </si>
  <si>
    <t>28 1 02 23600</t>
  </si>
  <si>
    <t>65 4 00 00000</t>
  </si>
  <si>
    <t>65 4 02 00000</t>
  </si>
  <si>
    <t>65 4 02 22200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</si>
  <si>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</si>
  <si>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</si>
  <si>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</si>
  <si>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Государственная программа Челябинской области «Реализация на территории Челябинской области государственной политики в сфере государственной регистрации актов гражданского состояния» на 2017-2019 годы</t>
  </si>
  <si>
    <t>42 0 00 00000</t>
  </si>
  <si>
    <t>42 0 02 00000</t>
  </si>
  <si>
    <t>42 0 02 59300</t>
  </si>
  <si>
    <t>Государственная программа Челябинской области "Развитие социальной защиты населения в Челябинской области" на  2017 - 2019 годы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</si>
  <si>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</si>
  <si>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</si>
  <si>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28 4 02 00000</t>
  </si>
  <si>
    <t xml:space="preserve">Реализация переданных государственных полномочий по социальному обслуживанию граждан </t>
  </si>
  <si>
    <t>28 4 02 48000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</si>
  <si>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</si>
  <si>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</si>
  <si>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28 1 02 53800</t>
  </si>
  <si>
    <t>Подпрограмма "Повышение качества жизни граждан пожилого возраста и иных категорий граждан"</t>
  </si>
  <si>
    <t>28 2 00 00000</t>
  </si>
  <si>
    <t>28 2 02 00000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</si>
  <si>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</si>
  <si>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28 2 02 21100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</si>
  <si>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</si>
  <si>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28 2 02 21200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</si>
  <si>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</si>
  <si>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28 2 02 21300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</si>
  <si>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</si>
  <si>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28 2 02 21400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</si>
  <si>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</si>
  <si>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</si>
  <si>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</si>
  <si>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28 2 02 21900</t>
  </si>
  <si>
    <t>Предоставление гражданам субсидий на оплату жилого помещения и коммунальных услуг</t>
  </si>
  <si>
    <t>28 2 02 49000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</si>
  <si>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</si>
  <si>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</si>
  <si>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</si>
  <si>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28 2 02 52200</t>
  </si>
  <si>
    <t>Реализация полномочий Российской Федерации на оплату жилищно-коммунальных услуг отдельным категориям граждан</t>
  </si>
  <si>
    <t>28 2 02 52500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</si>
  <si>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</si>
  <si>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28 2 02 52800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</si>
  <si>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</si>
  <si>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28 2 02 75600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</si>
  <si>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</si>
  <si>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28 2 02 75800</t>
  </si>
  <si>
    <t>Адресная субсидия гражданам в связи с ростом платы за коммунальные услуги</t>
  </si>
  <si>
    <t>28 2 02 75900</t>
  </si>
  <si>
    <t>Ежемесячная денежная выплата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</si>
  <si>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>28 2 02 76000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</si>
  <si>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</si>
  <si>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28 1 02 22100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</si>
  <si>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</si>
  <si>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28 1 02 22300</t>
  </si>
  <si>
    <t>Пособие на ребенка в соответствии с Законом Челябинской области "О пособии на ребенка"</t>
  </si>
  <si>
    <t>28 1 02 22400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</si>
  <si>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</si>
  <si>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28 1 02 22500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</si>
  <si>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</si>
  <si>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28 1 02 22600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</si>
  <si>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</si>
  <si>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28 1 02 22700</t>
  </si>
  <si>
    <t>Организация и осуществление деятельности по опеке и попечительству</t>
  </si>
  <si>
    <t>28 1 02 22900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</si>
  <si>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</si>
  <si>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28 2 00 49000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</si>
  <si>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</si>
  <si>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28 4 01 00000</t>
  </si>
  <si>
    <t>Организация работы органов управления социальной защиты населения муниципальных образований</t>
  </si>
  <si>
    <t>28 4 01 14600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</si>
  <si>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</si>
  <si>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04 0 00 00000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</si>
  <si>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</si>
  <si>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04 0 02 00000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</si>
  <si>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</si>
  <si>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04 0 02 01900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</si>
  <si>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</si>
  <si>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</si>
  <si>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03 0 02 73900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</si>
  <si>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</si>
  <si>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</si>
  <si>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</si>
  <si>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03 0 02 88900</t>
  </si>
  <si>
    <t>79 0 07 42100</t>
  </si>
  <si>
    <t>79 0 07 43300</t>
  </si>
  <si>
    <t>79 0 07  42300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</si>
  <si>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</si>
  <si>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</si>
  <si>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03 0 02 48900</t>
  </si>
  <si>
    <t>79 7 07 00000</t>
  </si>
  <si>
    <t xml:space="preserve">Обеспечение деятельности МКУ МГО Образование </t>
  </si>
  <si>
    <t>79 7 07 45200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</si>
  <si>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</si>
  <si>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</si>
  <si>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03 0 02 03900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</si>
  <si>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</si>
  <si>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04 0 02 04900</t>
  </si>
  <si>
    <t>79 0 07 45200</t>
  </si>
  <si>
    <t>Реализация мероприятий по обеспечению своевременной и полной выплаты заработной платы, резервирование средств на исполнение судебных решений по искам, удовлетворяемых за счет бюджета Округа</t>
  </si>
  <si>
    <t>47 2 14 00000</t>
  </si>
  <si>
    <t>Государственная программа Челябинской области "Развитие социальной защиты населения в Челябинской области" на 2017-2019 годы</t>
  </si>
  <si>
    <t>Подпрограмма "Дети Южного Урала"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</si>
  <si>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2017 год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</si>
  <si>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защитенаселения от болезней, общих для человека и животных</t>
  </si>
  <si>
    <t>81 3 00 80000</t>
  </si>
  <si>
    <t>65 4 02 R0820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</si>
  <si>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</si>
  <si>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</si>
  <si>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</si>
  <si>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47 2 14 73122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</si>
  <si>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(софинасирование)</t>
  </si>
  <si>
    <t>79 0 07 SAA00</t>
  </si>
  <si>
    <t>69 5 20 44100</t>
  </si>
  <si>
    <t>69 5 24 44100</t>
  </si>
  <si>
    <t>69 5 07 00000</t>
  </si>
  <si>
    <t>69 5 07 44000</t>
  </si>
  <si>
    <t>69 6 07 00000</t>
  </si>
  <si>
    <t>69 6 07 40000</t>
  </si>
  <si>
    <t>69 7 07 00000</t>
  </si>
  <si>
    <t>69 7 07 40000</t>
  </si>
  <si>
    <t>69 7 07 44000</t>
  </si>
  <si>
    <t>69 7 07 44200</t>
  </si>
  <si>
    <t>69 7 07 45300</t>
  </si>
  <si>
    <t>69 7 21 44000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</si>
  <si>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</si>
  <si>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</si>
  <si>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</si>
  <si>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</si>
  <si>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</si>
  <si>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69 7 24 44100</t>
  </si>
  <si>
    <t>Муниципальное казенное учреждение "Управление по физической культуре и спорту" Миасского городского округа</t>
  </si>
  <si>
    <t>Субсидия в виде имущественного взноса Межмуниципальной автономной некоммерческой организации "Культурно-туристический центр "Солнечный берег""</t>
  </si>
  <si>
    <t>81 3 07 00000</t>
  </si>
  <si>
    <t>81 3 07 80000</t>
  </si>
  <si>
    <t>82 0 20 73400</t>
  </si>
  <si>
    <t>82 0 23 73400</t>
  </si>
  <si>
    <t>82 0 24 73400</t>
  </si>
  <si>
    <t>Мероприятия в рамках государственной программы "Развитие физической культуры и спорта в Челябинской области на 2015-2019 годы" (софинансирование)</t>
  </si>
  <si>
    <t>80 2 07 S1000</t>
  </si>
  <si>
    <t>Развитие базовых олимпийских видов спорта для подготовки резерва спортивных команд Челябинской области и России" в рамках государственной программы "Развитие физической культуры и спорта в Челябинской области на 2015-2019 годы" (софинансирование)</t>
  </si>
  <si>
    <t>80 2 07 L0810</t>
  </si>
  <si>
    <t>80 4 21 S1000</t>
  </si>
  <si>
    <t>80 4 24 S1000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</si>
  <si>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</si>
  <si>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</si>
  <si>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</si>
  <si>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</si>
  <si>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</si>
  <si>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</si>
  <si>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</si>
  <si>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>Подпрограмма "Развитие адаптивной физической культуры и спорта"</t>
  </si>
  <si>
    <t>20 2 00 00000</t>
  </si>
  <si>
    <t>20 2 01 00000</t>
  </si>
  <si>
    <t>20 2 01 71000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</si>
  <si>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</si>
  <si>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</si>
  <si>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</si>
  <si>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</si>
  <si>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</si>
  <si>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Компенсация отдельным категорям граждан оплаты взноса на капитальный ремонт общего имущества в многоквартирном доме</t>
  </si>
  <si>
    <t>28 2 02 R4620</t>
  </si>
  <si>
    <t>Муниципальная программа "Предоставление дополнительных мер социальной поддержки в сфере здравоохранения Миасского городского округа на 2017-2019 годы"</t>
  </si>
  <si>
    <t>Выплата материальной помощи законным представителям несовершеннолетних детей, в целях возмещения расходов, связанных с приобретением вакцины против клещевого энцефалита и противоклещевого иммуноглобулина для вакцинации и ревакцинации детей, учащихся в средних общеобразовательных учреждениях</t>
  </si>
  <si>
    <t>88 0 00 00000</t>
  </si>
  <si>
    <t>88 0 07 00000</t>
  </si>
  <si>
    <t>88 0 07 85050</t>
  </si>
  <si>
    <t>88 0 07 85053</t>
  </si>
  <si>
    <t>79 0 20 40000</t>
  </si>
  <si>
    <t>79 0 20 42000</t>
  </si>
  <si>
    <t>Центры помощи детям, оставшимся без попечения родителей</t>
  </si>
  <si>
    <t>81 1 99 85090</t>
  </si>
  <si>
    <t>81 1 99 85091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</si>
  <si>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мстного значения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</si>
  <si>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</si>
  <si>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98 0 00 00000</t>
  </si>
  <si>
    <t>98 0 01 00000</t>
  </si>
  <si>
    <t>98 0 01 09602</t>
  </si>
  <si>
    <t>Областная адресная программа "Переселение в 2013-2017 годах граждан из аварийного жилищного фондав городах и районах Челябинской области"</t>
  </si>
  <si>
    <t>Распределение бюджетных ассигнований на капитальные вложения в объекты муниципальной собственности Миасского городского округа на 2017 год и плановый период 2018-2019гг.</t>
  </si>
  <si>
    <t>(тыс.руб.)</t>
  </si>
  <si>
    <t>Наименование объектов</t>
  </si>
  <si>
    <t>Сумма              на 2017 год</t>
  </si>
  <si>
    <t>Сумма              на 2018 год</t>
  </si>
  <si>
    <t>Сумма              на 2019 год</t>
  </si>
  <si>
    <t>Подпрограмма: переселение граждан из аварийного жилищного фонда МГО на 2017-2019 годы</t>
  </si>
  <si>
    <t>Снос аварийного жилищного фонда</t>
  </si>
  <si>
    <t>Муниципальная программа "Обеспечение доступным и комфортным жильем граждан РФ территории МГО на 2014-2022 годы"</t>
  </si>
  <si>
    <t>Подпрограмма:Модернизация объектов коммунальной инфраструктуры</t>
  </si>
  <si>
    <t>Реконструкция ЛЭП-10 кВ фидера Курортный от ПС Тургояк 110/10 кВ (подключение части существующего фидера от ПС Ильменская 110/10кВ)</t>
  </si>
  <si>
    <t>Очистные сооружения п.Хребет</t>
  </si>
  <si>
    <t>Строительство подводящих сетей к котельной п.Хребет (Электроснабжение котельной п.Хребет)</t>
  </si>
  <si>
    <t>Подпрограмма: Подготовка земельных участков для освоения в целях жилищного строительства</t>
  </si>
  <si>
    <t>Подъездная автодорога от областной автодороги «Миасс-Сыростан-железнодорожная станция Хребет» к объектам горнолыжного центра «Солнечная долина»</t>
  </si>
  <si>
    <t>Очистные сооружения с канализационным коллектором горнолыжного центра «Солнечная долина»</t>
  </si>
  <si>
    <t>Автодорога от ул.Ленина пос.Тургояк до ДОЛ им.Зои Космодемьянской Миасского городского округа "Национальный парк спорта и туризма" (клуб-отель "Золотой пляж")</t>
  </si>
  <si>
    <t>Реконструкция ГТС Миасского городского пруда</t>
  </si>
  <si>
    <t>Электроснабжение п.Тыелга</t>
  </si>
  <si>
    <t>Реконструкция трибун стадиона "Труд" в г. Миассе Челябинской области</t>
  </si>
  <si>
    <t>Подпрограмма:  Развитие инфраструктуры в области физической культуры и спорта, ремонт, реконструкция  спортивных сооружений</t>
  </si>
  <si>
    <t>Реконструкция нижнего поля спортивного комплекса, расположенного в центральном районе г.Миасса на правом берегу р.Миасс</t>
  </si>
  <si>
    <t>Автодорога в мкр.№3 от перекрестка ул. 8 Июля-бульвар Мира</t>
  </si>
  <si>
    <t>Дорога к ГБ№2</t>
  </si>
  <si>
    <t>Ливневка в районе ул. Попова</t>
  </si>
  <si>
    <t>Итого</t>
  </si>
  <si>
    <t>Челябинская обл., г. Миасс, проспект Октября, 25территория МБОУ "СОШ №18". Устройство спортивной площадки с искусственным покрытием</t>
  </si>
  <si>
    <t>Мероприятия в рамках государственной программы "Развитие физической культуры и спорта в Челябинской области на 2015-2019 годы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</si>
  <si>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</si>
  <si>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</si>
  <si>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Газоснабжение ж/д по ул. Центральной, Солнечной, Березовой, Садовой, Гранитной, переулкам Лесному, Сосновому в п. Михеевка Миасского городского округа Челябинской области</t>
  </si>
  <si>
    <t>Газоснабжение индивидуальных жилых домов по ул. Луговая, Болотная. Моховая, Зеленая, Пензенская, Сыростанская, Мотовозная, пер. Новый в г. Миасс Челябинской области</t>
  </si>
  <si>
    <t>87 0 20 00000</t>
  </si>
  <si>
    <t>87 0 22 00000</t>
  </si>
  <si>
    <t>14 0 00 00000</t>
  </si>
  <si>
    <t>14 2 00 00000</t>
  </si>
  <si>
    <t>14 2 01 00000</t>
  </si>
  <si>
    <t>14 2 01 00040</t>
  </si>
  <si>
    <t>Строительство газопроводов и газовых сетей</t>
  </si>
  <si>
    <t>20 4 00 00000</t>
  </si>
  <si>
    <t>20 4 01 00000</t>
  </si>
  <si>
    <t>20 4 01 71000</t>
  </si>
  <si>
    <t>Подпрограмма "Развитие системы подготовки спортивного резерва"</t>
  </si>
  <si>
    <t>14 2 01 00050</t>
  </si>
  <si>
    <t>Модернизация, реконструкция, капитальный ремонт и строительство котельных, систем водоснабжения 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</si>
  <si>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</si>
  <si>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</si>
  <si>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</si>
  <si>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</si>
  <si>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Реализация приоритетного проекта "Формирование комфортной городсокй среды"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</si>
  <si>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</si>
  <si>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</si>
  <si>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</si>
  <si>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03 0 01 00000</t>
  </si>
  <si>
    <t>03 0 01 05500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</si>
  <si>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</si>
  <si>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Предоставление субсидий бюджетным,автономным учреждениям и иным некоммерческим организациям</t>
  </si>
  <si>
    <t>Приложение 2</t>
  </si>
  <si>
    <t>Приложение  3</t>
  </si>
  <si>
    <t>Приложение 4</t>
  </si>
  <si>
    <t>Приложение   5</t>
  </si>
  <si>
    <t>Подпрограмма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</si>
  <si>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к Решению Собрания</t>
  </si>
  <si>
    <t>от 28.04.2017 г. №2</t>
  </si>
  <si>
    <t>от  28.04.2017 г. №2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</si>
</sst>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00"/>
    <numFmt numFmtId="175" formatCode="#,##0.000"/>
    <numFmt numFmtId="176" formatCode="0.0"/>
    <numFmt numFmtId="177" formatCode="[$-FC19]d\ mmmm\ yyyy\ &quot;г.&quot;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172" fontId="4" fillId="33" borderId="0" xfId="0" applyNumberFormat="1" applyFont="1" applyFill="1" applyBorder="1" applyAlignment="1">
      <alignment horizontal="center"/>
    </xf>
    <xf numFmtId="172" fontId="3" fillId="33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176" fontId="48" fillId="0" borderId="11" xfId="0" applyNumberFormat="1" applyFont="1" applyFill="1" applyBorder="1" applyAlignment="1">
      <alignment horizontal="center" vertical="center" wrapText="1"/>
    </xf>
    <xf numFmtId="176" fontId="49" fillId="0" borderId="11" xfId="0" applyNumberFormat="1" applyFont="1" applyFill="1" applyBorder="1" applyAlignment="1">
      <alignment horizontal="center" vertical="center" wrapText="1"/>
    </xf>
    <xf numFmtId="176" fontId="50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7" fillId="0" borderId="11" xfId="0" applyNumberFormat="1" applyFont="1" applyBorder="1" applyAlignment="1" applyProtection="1">
      <alignment horizontal="justify" vertical="center" wrapText="1"/>
      <protection/>
    </xf>
    <xf numFmtId="49" fontId="8" fillId="0" borderId="11" xfId="0" applyNumberFormat="1" applyFont="1" applyFill="1" applyBorder="1" applyAlignment="1" applyProtection="1">
      <alignment horizontal="justify" vertical="center" wrapText="1"/>
      <protection/>
    </xf>
    <xf numFmtId="49" fontId="5" fillId="0" borderId="11" xfId="0" applyNumberFormat="1" applyFont="1" applyFill="1" applyBorder="1" applyAlignment="1" applyProtection="1">
      <alignment horizontal="justify" vertical="center" wrapText="1"/>
      <protection/>
    </xf>
    <xf numFmtId="49" fontId="48" fillId="0" borderId="11" xfId="0" applyNumberFormat="1" applyFont="1" applyBorder="1" applyAlignment="1">
      <alignment horizontal="justify" vertical="center" wrapText="1"/>
    </xf>
    <xf numFmtId="172" fontId="48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justify" vertical="center" wrapText="1"/>
    </xf>
    <xf numFmtId="172" fontId="49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justify" vertical="center" wrapText="1"/>
    </xf>
    <xf numFmtId="172" fontId="50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justify" vertical="center" wrapText="1"/>
    </xf>
    <xf numFmtId="49" fontId="5" fillId="0" borderId="11" xfId="0" applyNumberFormat="1" applyFont="1" applyFill="1" applyBorder="1" applyAlignment="1">
      <alignment horizontal="justify" vertical="center" wrapText="1"/>
    </xf>
    <xf numFmtId="49" fontId="8" fillId="0" borderId="11" xfId="0" applyNumberFormat="1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justify" vertical="center" wrapText="1"/>
    </xf>
    <xf numFmtId="49" fontId="7" fillId="33" borderId="11" xfId="0" applyNumberFormat="1" applyFont="1" applyFill="1" applyBorder="1" applyAlignment="1">
      <alignment horizontal="justify" vertical="center" wrapText="1"/>
    </xf>
    <xf numFmtId="172" fontId="48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justify" vertical="center" wrapText="1"/>
    </xf>
    <xf numFmtId="172" fontId="50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justify" vertical="center" wrapText="1"/>
    </xf>
    <xf numFmtId="172" fontId="51" fillId="33" borderId="11" xfId="0" applyNumberFormat="1" applyFont="1" applyFill="1" applyBorder="1" applyAlignment="1">
      <alignment horizontal="center" vertical="center" wrapText="1"/>
    </xf>
    <xf numFmtId="172" fontId="48" fillId="0" borderId="11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5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50" fillId="0" borderId="11" xfId="0" applyFont="1" applyBorder="1" applyAlignment="1">
      <alignment horizontal="center" vertical="center" wrapText="1"/>
    </xf>
    <xf numFmtId="49" fontId="52" fillId="0" borderId="11" xfId="52" applyNumberFormat="1" applyFont="1" applyBorder="1" applyAlignment="1">
      <alignment horizontal="justify" vertical="center" wrapText="1"/>
      <protection/>
    </xf>
    <xf numFmtId="49" fontId="52" fillId="0" borderId="11" xfId="52" applyNumberFormat="1" applyFont="1" applyBorder="1" applyAlignment="1">
      <alignment horizontal="center" vertical="center" wrapText="1"/>
      <protection/>
    </xf>
    <xf numFmtId="172" fontId="52" fillId="0" borderId="11" xfId="52" applyNumberFormat="1" applyFont="1" applyBorder="1" applyAlignment="1">
      <alignment horizontal="center" vertical="center"/>
      <protection/>
    </xf>
    <xf numFmtId="172" fontId="53" fillId="0" borderId="11" xfId="52" applyNumberFormat="1" applyFont="1" applyBorder="1" applyAlignment="1">
      <alignment horizontal="center" vertical="center"/>
      <protection/>
    </xf>
    <xf numFmtId="172" fontId="51" fillId="0" borderId="0" xfId="0" applyNumberFormat="1" applyFont="1" applyAlignment="1">
      <alignment/>
    </xf>
    <xf numFmtId="49" fontId="53" fillId="0" borderId="11" xfId="52" applyNumberFormat="1" applyFont="1" applyBorder="1" applyAlignment="1">
      <alignment horizontal="justify" vertical="center" wrapText="1"/>
      <protection/>
    </xf>
    <xf numFmtId="49" fontId="53" fillId="0" borderId="11" xfId="52" applyNumberFormat="1" applyFont="1" applyBorder="1" applyAlignment="1">
      <alignment horizontal="center" vertical="center" wrapText="1"/>
      <protection/>
    </xf>
    <xf numFmtId="0" fontId="48" fillId="0" borderId="11" xfId="0" applyFont="1" applyBorder="1" applyAlignment="1">
      <alignment vertical="center"/>
    </xf>
    <xf numFmtId="172" fontId="54" fillId="0" borderId="11" xfId="0" applyNumberFormat="1" applyFont="1" applyBorder="1" applyAlignment="1">
      <alignment horizontal="center" vertical="center"/>
    </xf>
    <xf numFmtId="172" fontId="51" fillId="0" borderId="11" xfId="0" applyNumberFormat="1" applyFont="1" applyBorder="1" applyAlignment="1">
      <alignment horizontal="center" vertical="center"/>
    </xf>
    <xf numFmtId="0" fontId="50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vertical="center"/>
    </xf>
    <xf numFmtId="0" fontId="50" fillId="0" borderId="11" xfId="0" applyFont="1" applyBorder="1" applyAlignment="1">
      <alignment horizontal="justify" vertical="center" wrapText="1"/>
    </xf>
    <xf numFmtId="0" fontId="50" fillId="0" borderId="0" xfId="0" applyFont="1" applyAlignment="1">
      <alignment vertical="center"/>
    </xf>
    <xf numFmtId="0" fontId="5" fillId="33" borderId="11" xfId="0" applyFont="1" applyFill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172" fontId="5" fillId="33" borderId="11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justify" vertical="center" wrapText="1"/>
    </xf>
    <xf numFmtId="0" fontId="50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172" fontId="5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justify" vertical="center" wrapText="1"/>
    </xf>
    <xf numFmtId="0" fontId="51" fillId="0" borderId="11" xfId="0" applyFont="1" applyBorder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justify" vertical="center" wrapText="1"/>
    </xf>
    <xf numFmtId="49" fontId="50" fillId="0" borderId="11" xfId="0" applyNumberFormat="1" applyFont="1" applyBorder="1" applyAlignment="1">
      <alignment horizontal="center" vertical="center"/>
    </xf>
    <xf numFmtId="172" fontId="50" fillId="0" borderId="11" xfId="0" applyNumberFormat="1" applyFont="1" applyBorder="1" applyAlignment="1">
      <alignment horizontal="center" vertical="center"/>
    </xf>
    <xf numFmtId="49" fontId="50" fillId="33" borderId="11" xfId="0" applyNumberFormat="1" applyFont="1" applyFill="1" applyBorder="1" applyAlignment="1">
      <alignment horizontal="center" vertical="center"/>
    </xf>
    <xf numFmtId="172" fontId="50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justify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justify" vertical="center" wrapText="1"/>
    </xf>
    <xf numFmtId="0" fontId="50" fillId="0" borderId="11" xfId="0" applyFont="1" applyFill="1" applyBorder="1" applyAlignment="1">
      <alignment horizontal="justify" vertical="center" wrapText="1"/>
    </xf>
    <xf numFmtId="176" fontId="5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" fillId="0" borderId="11" xfId="0" applyNumberFormat="1" applyFont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/>
    </xf>
    <xf numFmtId="0" fontId="9" fillId="0" borderId="11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5" fillId="33" borderId="11" xfId="0" applyNumberFormat="1" applyFont="1" applyFill="1" applyBorder="1" applyAlignment="1">
      <alignment horizontal="justify" vertical="center" wrapText="1"/>
    </xf>
    <xf numFmtId="0" fontId="5" fillId="33" borderId="0" xfId="0" applyFont="1" applyFill="1" applyAlignment="1">
      <alignment horizontal="justify" wrapText="1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justify"/>
    </xf>
    <xf numFmtId="0" fontId="51" fillId="33" borderId="0" xfId="0" applyFont="1" applyFill="1" applyAlignment="1">
      <alignment horizontal="justify" vertical="center" wrapText="1"/>
    </xf>
    <xf numFmtId="0" fontId="3" fillId="33" borderId="0" xfId="0" applyFont="1" applyFill="1" applyAlignment="1">
      <alignment/>
    </xf>
    <xf numFmtId="0" fontId="50" fillId="33" borderId="0" xfId="0" applyFont="1" applyFill="1" applyAlignment="1">
      <alignment horizontal="justify" vertical="center" wrapText="1"/>
    </xf>
    <xf numFmtId="0" fontId="5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49" fontId="5" fillId="33" borderId="0" xfId="0" applyNumberFormat="1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justify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vertical="center" wrapText="1"/>
    </xf>
    <xf numFmtId="0" fontId="7" fillId="33" borderId="11" xfId="0" applyFont="1" applyFill="1" applyBorder="1" applyAlignment="1">
      <alignment horizontal="center" vertical="center" wrapText="1"/>
    </xf>
    <xf numFmtId="172" fontId="7" fillId="33" borderId="11" xfId="0" applyNumberFormat="1" applyFont="1" applyFill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0" fontId="9" fillId="33" borderId="11" xfId="0" applyFont="1" applyFill="1" applyBorder="1" applyAlignment="1">
      <alignment horizontal="justify" vertical="center" wrapText="1"/>
    </xf>
    <xf numFmtId="0" fontId="7" fillId="33" borderId="11" xfId="0" applyFont="1" applyFill="1" applyBorder="1" applyAlignment="1">
      <alignment horizontal="center" vertical="center"/>
    </xf>
    <xf numFmtId="172" fontId="7" fillId="33" borderId="11" xfId="59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172" fontId="51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 horizontal="justify" vertical="center"/>
    </xf>
    <xf numFmtId="0" fontId="53" fillId="33" borderId="11" xfId="0" applyFont="1" applyFill="1" applyBorder="1" applyAlignment="1">
      <alignment horizontal="center" vertical="center" wrapText="1"/>
    </xf>
    <xf numFmtId="176" fontId="51" fillId="33" borderId="0" xfId="0" applyNumberFormat="1" applyFont="1" applyFill="1" applyAlignment="1">
      <alignment/>
    </xf>
    <xf numFmtId="172" fontId="7" fillId="33" borderId="11" xfId="0" applyNumberFormat="1" applyFont="1" applyFill="1" applyBorder="1" applyAlignment="1">
      <alignment horizontal="center" vertical="center"/>
    </xf>
    <xf numFmtId="0" fontId="50" fillId="33" borderId="11" xfId="0" applyNumberFormat="1" applyFont="1" applyFill="1" applyBorder="1" applyAlignment="1">
      <alignment horizontal="center" vertical="center" wrapText="1"/>
    </xf>
    <xf numFmtId="0" fontId="50" fillId="33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48" fillId="33" borderId="11" xfId="0" applyFont="1" applyFill="1" applyBorder="1" applyAlignment="1">
      <alignment horizontal="justify" vertical="center" wrapText="1"/>
    </xf>
    <xf numFmtId="49" fontId="48" fillId="33" borderId="11" xfId="0" applyNumberFormat="1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172" fontId="48" fillId="33" borderId="11" xfId="0" applyNumberFormat="1" applyFont="1" applyFill="1" applyBorder="1" applyAlignment="1">
      <alignment horizontal="center" vertical="center"/>
    </xf>
    <xf numFmtId="172" fontId="51" fillId="33" borderId="0" xfId="0" applyNumberFormat="1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0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172" fontId="51" fillId="0" borderId="0" xfId="0" applyNumberFormat="1" applyFont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172" fontId="54" fillId="0" borderId="0" xfId="0" applyNumberFormat="1" applyFont="1" applyAlignment="1">
      <alignment horizontal="center" vertical="center"/>
    </xf>
    <xf numFmtId="2" fontId="51" fillId="0" borderId="0" xfId="0" applyNumberFormat="1" applyFont="1" applyAlignment="1">
      <alignment horizontal="center" vertical="center"/>
    </xf>
    <xf numFmtId="172" fontId="51" fillId="34" borderId="0" xfId="0" applyNumberFormat="1" applyFont="1" applyFill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49" fontId="5" fillId="0" borderId="11" xfId="0" applyNumberFormat="1" applyFont="1" applyBorder="1" applyAlignment="1" applyProtection="1">
      <alignment horizontal="justify" vertical="center" wrapText="1"/>
      <protection/>
    </xf>
    <xf numFmtId="0" fontId="5" fillId="33" borderId="11" xfId="0" applyFont="1" applyFill="1" applyBorder="1" applyAlignment="1">
      <alignment horizontal="justify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justify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81.7109375" style="109" customWidth="1"/>
    <col min="2" max="2" width="9.140625" style="106" customWidth="1"/>
    <col min="3" max="3" width="9.00390625" style="107" customWidth="1"/>
    <col min="4" max="4" width="8.421875" style="107" customWidth="1"/>
    <col min="5" max="5" width="19.140625" style="107" customWidth="1"/>
    <col min="6" max="6" width="12.00390625" style="107" customWidth="1"/>
    <col min="7" max="7" width="20.7109375" style="147" customWidth="1"/>
    <col min="8" max="8" width="28.140625" style="107" customWidth="1"/>
    <col min="9" max="13" width="9.140625" style="107" customWidth="1"/>
    <col min="14" max="14" width="14.421875" style="107" customWidth="1"/>
    <col min="15" max="15" width="6.421875" style="107" customWidth="1"/>
    <col min="16" max="16" width="5.421875" style="107" customWidth="1"/>
    <col min="17" max="17" width="5.8515625" style="107" customWidth="1"/>
    <col min="18" max="18" width="6.140625" style="107" customWidth="1"/>
    <col min="19" max="16384" width="9.140625" style="107" customWidth="1"/>
  </cols>
  <sheetData>
    <row r="1" spans="1:7" ht="15.75">
      <c r="A1" s="105"/>
      <c r="G1" s="46" t="s">
        <v>780</v>
      </c>
    </row>
    <row r="2" spans="1:7" ht="15.75">
      <c r="A2" s="108"/>
      <c r="G2" s="47" t="s">
        <v>785</v>
      </c>
    </row>
    <row r="3" ht="15.75">
      <c r="G3" s="47" t="s">
        <v>0</v>
      </c>
    </row>
    <row r="4" spans="6:7" ht="15.75">
      <c r="F4" s="110"/>
      <c r="G4" s="47" t="s">
        <v>1</v>
      </c>
    </row>
    <row r="5" spans="1:7" ht="15.75">
      <c r="A5" s="111"/>
      <c r="B5" s="112" t="s">
        <v>2</v>
      </c>
      <c r="C5" s="113"/>
      <c r="D5" s="113"/>
      <c r="E5" s="113"/>
      <c r="F5" s="114"/>
      <c r="G5" s="148" t="s">
        <v>786</v>
      </c>
    </row>
    <row r="6" spans="1:7" ht="15.75">
      <c r="A6" s="111"/>
      <c r="B6" s="112" t="s">
        <v>3</v>
      </c>
      <c r="C6" s="113"/>
      <c r="D6" s="113"/>
      <c r="E6" s="113"/>
      <c r="F6" s="113"/>
      <c r="G6" s="113"/>
    </row>
    <row r="7" spans="1:7" ht="15.75">
      <c r="A7" s="111"/>
      <c r="B7" s="112" t="s">
        <v>4</v>
      </c>
      <c r="C7" s="113"/>
      <c r="D7" s="113"/>
      <c r="E7" s="113"/>
      <c r="F7" s="113"/>
      <c r="G7" s="113"/>
    </row>
    <row r="8" spans="1:7" ht="15.75">
      <c r="A8" s="111"/>
      <c r="B8" s="115"/>
      <c r="C8" s="116"/>
      <c r="D8" s="116"/>
      <c r="E8" s="116"/>
      <c r="F8" s="116"/>
      <c r="G8" s="113"/>
    </row>
    <row r="9" spans="1:7" ht="15.75">
      <c r="A9" s="166" t="s">
        <v>5</v>
      </c>
      <c r="B9" s="167" t="s">
        <v>6</v>
      </c>
      <c r="C9" s="167"/>
      <c r="D9" s="167"/>
      <c r="E9" s="167"/>
      <c r="F9" s="167"/>
      <c r="G9" s="52" t="s">
        <v>7</v>
      </c>
    </row>
    <row r="10" spans="1:7" ht="47.25">
      <c r="A10" s="166"/>
      <c r="B10" s="80" t="s">
        <v>8</v>
      </c>
      <c r="C10" s="86" t="s">
        <v>9</v>
      </c>
      <c r="D10" s="86" t="s">
        <v>10</v>
      </c>
      <c r="E10" s="86" t="s">
        <v>11</v>
      </c>
      <c r="F10" s="86" t="s">
        <v>178</v>
      </c>
      <c r="G10" s="86" t="s">
        <v>12</v>
      </c>
    </row>
    <row r="11" spans="1:7" s="122" customFormat="1" ht="15.75">
      <c r="A11" s="119" t="s">
        <v>94</v>
      </c>
      <c r="B11" s="96" t="s">
        <v>95</v>
      </c>
      <c r="C11" s="120"/>
      <c r="D11" s="120"/>
      <c r="E11" s="120"/>
      <c r="F11" s="120"/>
      <c r="G11" s="121">
        <f>SUM(G12)</f>
        <v>22416.7</v>
      </c>
    </row>
    <row r="12" spans="1:7" ht="15.75">
      <c r="A12" s="51" t="s">
        <v>96</v>
      </c>
      <c r="B12" s="80"/>
      <c r="C12" s="80" t="s">
        <v>37</v>
      </c>
      <c r="D12" s="80"/>
      <c r="E12" s="80"/>
      <c r="F12" s="80"/>
      <c r="G12" s="64">
        <f>SUM(G13+G21)</f>
        <v>22416.7</v>
      </c>
    </row>
    <row r="13" spans="1:7" ht="31.5">
      <c r="A13" s="51" t="s">
        <v>97</v>
      </c>
      <c r="B13" s="80"/>
      <c r="C13" s="80" t="s">
        <v>37</v>
      </c>
      <c r="D13" s="80" t="s">
        <v>57</v>
      </c>
      <c r="E13" s="80"/>
      <c r="F13" s="80"/>
      <c r="G13" s="64">
        <f>SUM(G15)</f>
        <v>16347.1</v>
      </c>
    </row>
    <row r="14" spans="1:7" ht="15.75">
      <c r="A14" s="123" t="s">
        <v>215</v>
      </c>
      <c r="B14" s="80"/>
      <c r="C14" s="80" t="s">
        <v>37</v>
      </c>
      <c r="D14" s="80" t="s">
        <v>57</v>
      </c>
      <c r="E14" s="80" t="s">
        <v>216</v>
      </c>
      <c r="F14" s="80"/>
      <c r="G14" s="64">
        <f>SUM(G15)</f>
        <v>16347.1</v>
      </c>
    </row>
    <row r="15" spans="1:7" ht="31.5">
      <c r="A15" s="51" t="s">
        <v>83</v>
      </c>
      <c r="B15" s="80"/>
      <c r="C15" s="80" t="s">
        <v>37</v>
      </c>
      <c r="D15" s="80" t="s">
        <v>57</v>
      </c>
      <c r="E15" s="80" t="s">
        <v>113</v>
      </c>
      <c r="F15" s="80"/>
      <c r="G15" s="64">
        <f>SUM(G16+G19)</f>
        <v>16347.1</v>
      </c>
    </row>
    <row r="16" spans="1:7" ht="15.75">
      <c r="A16" s="51" t="s">
        <v>85</v>
      </c>
      <c r="B16" s="80"/>
      <c r="C16" s="80" t="s">
        <v>37</v>
      </c>
      <c r="D16" s="80" t="s">
        <v>57</v>
      </c>
      <c r="E16" s="80" t="s">
        <v>114</v>
      </c>
      <c r="F16" s="80"/>
      <c r="G16" s="64">
        <f>SUM(G17+G18)</f>
        <v>14775.2</v>
      </c>
    </row>
    <row r="17" spans="1:7" ht="47.25">
      <c r="A17" s="70" t="s">
        <v>54</v>
      </c>
      <c r="B17" s="80"/>
      <c r="C17" s="80" t="s">
        <v>37</v>
      </c>
      <c r="D17" s="80" t="s">
        <v>57</v>
      </c>
      <c r="E17" s="80" t="s">
        <v>114</v>
      </c>
      <c r="F17" s="80" t="s">
        <v>98</v>
      </c>
      <c r="G17" s="64">
        <f>12301+1560+904.2</f>
        <v>14765.2</v>
      </c>
    </row>
    <row r="18" spans="1:7" ht="31.5">
      <c r="A18" s="51" t="s">
        <v>55</v>
      </c>
      <c r="B18" s="80"/>
      <c r="C18" s="80" t="s">
        <v>37</v>
      </c>
      <c r="D18" s="80" t="s">
        <v>57</v>
      </c>
      <c r="E18" s="80" t="s">
        <v>114</v>
      </c>
      <c r="F18" s="80" t="s">
        <v>100</v>
      </c>
      <c r="G18" s="54">
        <v>10</v>
      </c>
    </row>
    <row r="19" spans="1:7" ht="15.75">
      <c r="A19" s="51" t="s">
        <v>101</v>
      </c>
      <c r="B19" s="80"/>
      <c r="C19" s="80" t="s">
        <v>37</v>
      </c>
      <c r="D19" s="80" t="s">
        <v>57</v>
      </c>
      <c r="E19" s="80" t="s">
        <v>115</v>
      </c>
      <c r="F19" s="80"/>
      <c r="G19" s="64">
        <f>SUM(G20)</f>
        <v>1571.9</v>
      </c>
    </row>
    <row r="20" spans="1:7" ht="47.25">
      <c r="A20" s="70" t="s">
        <v>54</v>
      </c>
      <c r="B20" s="80"/>
      <c r="C20" s="80" t="s">
        <v>37</v>
      </c>
      <c r="D20" s="80" t="s">
        <v>57</v>
      </c>
      <c r="E20" s="80" t="s">
        <v>115</v>
      </c>
      <c r="F20" s="80" t="s">
        <v>98</v>
      </c>
      <c r="G20" s="64">
        <f>1429+142.9</f>
        <v>1571.9</v>
      </c>
    </row>
    <row r="21" spans="1:7" ht="15.75">
      <c r="A21" s="51" t="s">
        <v>102</v>
      </c>
      <c r="B21" s="80"/>
      <c r="C21" s="80" t="s">
        <v>37</v>
      </c>
      <c r="D21" s="80" t="s">
        <v>103</v>
      </c>
      <c r="E21" s="80"/>
      <c r="F21" s="80"/>
      <c r="G21" s="64">
        <f>SUM(G22)</f>
        <v>6069.6</v>
      </c>
    </row>
    <row r="22" spans="1:7" ht="31.5">
      <c r="A22" s="51" t="s">
        <v>83</v>
      </c>
      <c r="B22" s="80"/>
      <c r="C22" s="80" t="s">
        <v>37</v>
      </c>
      <c r="D22" s="80" t="s">
        <v>103</v>
      </c>
      <c r="E22" s="80" t="s">
        <v>113</v>
      </c>
      <c r="F22" s="80"/>
      <c r="G22" s="64">
        <f>SUM(G23+G26+G28)</f>
        <v>6069.6</v>
      </c>
    </row>
    <row r="23" spans="1:7" ht="15.75">
      <c r="A23" s="51" t="s">
        <v>104</v>
      </c>
      <c r="B23" s="80"/>
      <c r="C23" s="80" t="s">
        <v>37</v>
      </c>
      <c r="D23" s="80" t="s">
        <v>103</v>
      </c>
      <c r="E23" s="80" t="s">
        <v>116</v>
      </c>
      <c r="F23" s="80"/>
      <c r="G23" s="54">
        <f>SUM(G24:G25)</f>
        <v>565.4</v>
      </c>
    </row>
    <row r="24" spans="1:7" ht="31.5">
      <c r="A24" s="51" t="s">
        <v>55</v>
      </c>
      <c r="B24" s="80"/>
      <c r="C24" s="80" t="s">
        <v>37</v>
      </c>
      <c r="D24" s="80" t="s">
        <v>103</v>
      </c>
      <c r="E24" s="80" t="s">
        <v>116</v>
      </c>
      <c r="F24" s="80" t="s">
        <v>100</v>
      </c>
      <c r="G24" s="54">
        <f>571.2-27.6-22.2</f>
        <v>521.4</v>
      </c>
    </row>
    <row r="25" spans="1:7" ht="15.75">
      <c r="A25" s="51" t="s">
        <v>25</v>
      </c>
      <c r="B25" s="80"/>
      <c r="C25" s="80" t="s">
        <v>37</v>
      </c>
      <c r="D25" s="80" t="s">
        <v>103</v>
      </c>
      <c r="E25" s="80" t="s">
        <v>116</v>
      </c>
      <c r="F25" s="80" t="s">
        <v>105</v>
      </c>
      <c r="G25" s="54">
        <v>44</v>
      </c>
    </row>
    <row r="26" spans="1:7" ht="31.5">
      <c r="A26" s="51" t="s">
        <v>106</v>
      </c>
      <c r="B26" s="80"/>
      <c r="C26" s="80" t="s">
        <v>37</v>
      </c>
      <c r="D26" s="80" t="s">
        <v>103</v>
      </c>
      <c r="E26" s="80" t="s">
        <v>117</v>
      </c>
      <c r="F26" s="80"/>
      <c r="G26" s="54">
        <f>SUM(G27)</f>
        <v>410</v>
      </c>
    </row>
    <row r="27" spans="1:7" ht="31.5">
      <c r="A27" s="51" t="s">
        <v>55</v>
      </c>
      <c r="B27" s="80"/>
      <c r="C27" s="80" t="s">
        <v>37</v>
      </c>
      <c r="D27" s="80" t="s">
        <v>103</v>
      </c>
      <c r="E27" s="80" t="s">
        <v>117</v>
      </c>
      <c r="F27" s="80" t="s">
        <v>100</v>
      </c>
      <c r="G27" s="54">
        <v>410</v>
      </c>
    </row>
    <row r="28" spans="1:7" ht="31.5">
      <c r="A28" s="123" t="s">
        <v>107</v>
      </c>
      <c r="B28" s="80"/>
      <c r="C28" s="80" t="s">
        <v>37</v>
      </c>
      <c r="D28" s="80" t="s">
        <v>103</v>
      </c>
      <c r="E28" s="80" t="s">
        <v>118</v>
      </c>
      <c r="F28" s="80"/>
      <c r="G28" s="64">
        <f>SUM(G29:G31)</f>
        <v>5094.200000000001</v>
      </c>
    </row>
    <row r="29" spans="1:7" ht="31.5">
      <c r="A29" s="51" t="s">
        <v>55</v>
      </c>
      <c r="B29" s="80"/>
      <c r="C29" s="80" t="s">
        <v>37</v>
      </c>
      <c r="D29" s="80" t="s">
        <v>103</v>
      </c>
      <c r="E29" s="80" t="s">
        <v>118</v>
      </c>
      <c r="F29" s="80" t="s">
        <v>100</v>
      </c>
      <c r="G29" s="64">
        <f>5935.8-1560+27.6+22.2</f>
        <v>4425.6</v>
      </c>
    </row>
    <row r="30" spans="1:7" ht="15.75">
      <c r="A30" s="51" t="s">
        <v>45</v>
      </c>
      <c r="B30" s="80"/>
      <c r="C30" s="80" t="s">
        <v>37</v>
      </c>
      <c r="D30" s="80" t="s">
        <v>103</v>
      </c>
      <c r="E30" s="80" t="s">
        <v>118</v>
      </c>
      <c r="F30" s="80" t="s">
        <v>108</v>
      </c>
      <c r="G30" s="64">
        <v>667</v>
      </c>
    </row>
    <row r="31" spans="1:7" ht="15.75">
      <c r="A31" s="51" t="s">
        <v>25</v>
      </c>
      <c r="B31" s="80"/>
      <c r="C31" s="80" t="s">
        <v>37</v>
      </c>
      <c r="D31" s="80" t="s">
        <v>103</v>
      </c>
      <c r="E31" s="80" t="s">
        <v>118</v>
      </c>
      <c r="F31" s="80" t="s">
        <v>105</v>
      </c>
      <c r="G31" s="64">
        <v>1.6</v>
      </c>
    </row>
    <row r="32" spans="1:7" s="122" customFormat="1" ht="15.75">
      <c r="A32" s="119" t="s">
        <v>109</v>
      </c>
      <c r="B32" s="96" t="s">
        <v>110</v>
      </c>
      <c r="C32" s="96"/>
      <c r="D32" s="96"/>
      <c r="E32" s="96"/>
      <c r="F32" s="96"/>
      <c r="G32" s="121">
        <f>SUM(G33)</f>
        <v>7972.2</v>
      </c>
    </row>
    <row r="33" spans="1:7" ht="15.75">
      <c r="A33" s="51" t="s">
        <v>96</v>
      </c>
      <c r="B33" s="80"/>
      <c r="C33" s="80" t="s">
        <v>37</v>
      </c>
      <c r="D33" s="80"/>
      <c r="E33" s="80"/>
      <c r="F33" s="80"/>
      <c r="G33" s="64">
        <f>SUM(G34)+G42</f>
        <v>7972.2</v>
      </c>
    </row>
    <row r="34" spans="1:7" ht="31.5">
      <c r="A34" s="123" t="s">
        <v>111</v>
      </c>
      <c r="B34" s="80"/>
      <c r="C34" s="80" t="s">
        <v>37</v>
      </c>
      <c r="D34" s="80" t="s">
        <v>81</v>
      </c>
      <c r="E34" s="80"/>
      <c r="F34" s="80"/>
      <c r="G34" s="64">
        <f>SUM(G36)</f>
        <v>6472.7</v>
      </c>
    </row>
    <row r="35" spans="1:7" ht="15.75">
      <c r="A35" s="123" t="s">
        <v>215</v>
      </c>
      <c r="B35" s="80"/>
      <c r="C35" s="80" t="s">
        <v>37</v>
      </c>
      <c r="D35" s="80" t="s">
        <v>81</v>
      </c>
      <c r="E35" s="80" t="s">
        <v>216</v>
      </c>
      <c r="F35" s="80"/>
      <c r="G35" s="64">
        <f>SUM(G36)</f>
        <v>6472.7</v>
      </c>
    </row>
    <row r="36" spans="1:7" ht="31.5">
      <c r="A36" s="51" t="s">
        <v>83</v>
      </c>
      <c r="B36" s="80"/>
      <c r="C36" s="80" t="s">
        <v>37</v>
      </c>
      <c r="D36" s="80" t="s">
        <v>81</v>
      </c>
      <c r="E36" s="80" t="s">
        <v>113</v>
      </c>
      <c r="F36" s="80"/>
      <c r="G36" s="64">
        <f>SUM(G37+G40)</f>
        <v>6472.7</v>
      </c>
    </row>
    <row r="37" spans="1:7" ht="31.5">
      <c r="A37" s="51" t="s">
        <v>217</v>
      </c>
      <c r="B37" s="80"/>
      <c r="C37" s="80" t="s">
        <v>37</v>
      </c>
      <c r="D37" s="80" t="s">
        <v>81</v>
      </c>
      <c r="E37" s="80" t="s">
        <v>119</v>
      </c>
      <c r="F37" s="80"/>
      <c r="G37" s="64">
        <f>SUM(G38:G39)</f>
        <v>4512.5</v>
      </c>
    </row>
    <row r="38" spans="1:7" ht="47.25">
      <c r="A38" s="70" t="s">
        <v>54</v>
      </c>
      <c r="B38" s="80"/>
      <c r="C38" s="80" t="s">
        <v>37</v>
      </c>
      <c r="D38" s="80" t="s">
        <v>81</v>
      </c>
      <c r="E38" s="80" t="s">
        <v>119</v>
      </c>
      <c r="F38" s="80" t="s">
        <v>98</v>
      </c>
      <c r="G38" s="64">
        <f>4131+376.5</f>
        <v>4507.5</v>
      </c>
    </row>
    <row r="39" spans="1:7" ht="31.5">
      <c r="A39" s="51" t="s">
        <v>55</v>
      </c>
      <c r="B39" s="80"/>
      <c r="C39" s="80" t="s">
        <v>37</v>
      </c>
      <c r="D39" s="80" t="s">
        <v>81</v>
      </c>
      <c r="E39" s="80" t="s">
        <v>119</v>
      </c>
      <c r="F39" s="80" t="s">
        <v>100</v>
      </c>
      <c r="G39" s="54">
        <v>5</v>
      </c>
    </row>
    <row r="40" spans="1:7" ht="31.5">
      <c r="A40" s="51" t="s">
        <v>112</v>
      </c>
      <c r="B40" s="80"/>
      <c r="C40" s="80" t="s">
        <v>37</v>
      </c>
      <c r="D40" s="80" t="s">
        <v>81</v>
      </c>
      <c r="E40" s="80" t="s">
        <v>120</v>
      </c>
      <c r="F40" s="80"/>
      <c r="G40" s="64">
        <f>SUM(G41)</f>
        <v>1960.2</v>
      </c>
    </row>
    <row r="41" spans="1:7" ht="47.25">
      <c r="A41" s="70" t="s">
        <v>54</v>
      </c>
      <c r="B41" s="80"/>
      <c r="C41" s="80" t="s">
        <v>37</v>
      </c>
      <c r="D41" s="80" t="s">
        <v>81</v>
      </c>
      <c r="E41" s="80" t="s">
        <v>120</v>
      </c>
      <c r="F41" s="80" t="s">
        <v>98</v>
      </c>
      <c r="G41" s="64">
        <f>1782+178.2</f>
        <v>1960.2</v>
      </c>
    </row>
    <row r="42" spans="1:7" ht="15.75">
      <c r="A42" s="51" t="s">
        <v>102</v>
      </c>
      <c r="B42" s="80"/>
      <c r="C42" s="80" t="s">
        <v>37</v>
      </c>
      <c r="D42" s="80" t="s">
        <v>103</v>
      </c>
      <c r="E42" s="80"/>
      <c r="F42" s="80"/>
      <c r="G42" s="64">
        <f>SUM(G43)</f>
        <v>1499.5</v>
      </c>
    </row>
    <row r="43" spans="1:7" ht="31.5">
      <c r="A43" s="51" t="s">
        <v>83</v>
      </c>
      <c r="B43" s="80"/>
      <c r="C43" s="80" t="s">
        <v>37</v>
      </c>
      <c r="D43" s="80" t="s">
        <v>103</v>
      </c>
      <c r="E43" s="80" t="s">
        <v>113</v>
      </c>
      <c r="F43" s="80"/>
      <c r="G43" s="54">
        <f>SUM(G44+G47+G49)</f>
        <v>1499.5</v>
      </c>
    </row>
    <row r="44" spans="1:7" ht="15.75">
      <c r="A44" s="51" t="s">
        <v>104</v>
      </c>
      <c r="B44" s="80"/>
      <c r="C44" s="80" t="s">
        <v>37</v>
      </c>
      <c r="D44" s="80" t="s">
        <v>103</v>
      </c>
      <c r="E44" s="80" t="s">
        <v>116</v>
      </c>
      <c r="F44" s="80"/>
      <c r="G44" s="54">
        <f>SUM(G45:G46)</f>
        <v>192.39999999999998</v>
      </c>
    </row>
    <row r="45" spans="1:7" ht="31.5">
      <c r="A45" s="51" t="s">
        <v>55</v>
      </c>
      <c r="B45" s="80"/>
      <c r="C45" s="80" t="s">
        <v>37</v>
      </c>
      <c r="D45" s="80" t="s">
        <v>103</v>
      </c>
      <c r="E45" s="80" t="s">
        <v>116</v>
      </c>
      <c r="F45" s="80" t="s">
        <v>100</v>
      </c>
      <c r="G45" s="54">
        <v>189.7</v>
      </c>
    </row>
    <row r="46" spans="1:7" ht="15.75">
      <c r="A46" s="51" t="s">
        <v>25</v>
      </c>
      <c r="B46" s="80"/>
      <c r="C46" s="80" t="s">
        <v>37</v>
      </c>
      <c r="D46" s="80" t="s">
        <v>103</v>
      </c>
      <c r="E46" s="80" t="s">
        <v>116</v>
      </c>
      <c r="F46" s="80" t="s">
        <v>105</v>
      </c>
      <c r="G46" s="54">
        <v>2.7</v>
      </c>
    </row>
    <row r="47" spans="1:7" ht="31.5">
      <c r="A47" s="51" t="s">
        <v>106</v>
      </c>
      <c r="B47" s="80"/>
      <c r="C47" s="80" t="s">
        <v>37</v>
      </c>
      <c r="D47" s="80" t="s">
        <v>103</v>
      </c>
      <c r="E47" s="80" t="s">
        <v>117</v>
      </c>
      <c r="F47" s="80"/>
      <c r="G47" s="54">
        <f>SUM(G48)</f>
        <v>379.9</v>
      </c>
    </row>
    <row r="48" spans="1:7" ht="31.5">
      <c r="A48" s="51" t="s">
        <v>55</v>
      </c>
      <c r="B48" s="80"/>
      <c r="C48" s="80" t="s">
        <v>37</v>
      </c>
      <c r="D48" s="80" t="s">
        <v>103</v>
      </c>
      <c r="E48" s="80" t="s">
        <v>117</v>
      </c>
      <c r="F48" s="80" t="s">
        <v>100</v>
      </c>
      <c r="G48" s="64">
        <v>379.9</v>
      </c>
    </row>
    <row r="49" spans="1:7" ht="31.5">
      <c r="A49" s="123" t="s">
        <v>107</v>
      </c>
      <c r="B49" s="80"/>
      <c r="C49" s="80" t="s">
        <v>37</v>
      </c>
      <c r="D49" s="80" t="s">
        <v>103</v>
      </c>
      <c r="E49" s="80" t="s">
        <v>118</v>
      </c>
      <c r="F49" s="80"/>
      <c r="G49" s="64">
        <f>SUM(G50:G51)</f>
        <v>927.2</v>
      </c>
    </row>
    <row r="50" spans="1:7" ht="31.5">
      <c r="A50" s="51" t="s">
        <v>55</v>
      </c>
      <c r="B50" s="80"/>
      <c r="C50" s="80" t="s">
        <v>37</v>
      </c>
      <c r="D50" s="80" t="s">
        <v>103</v>
      </c>
      <c r="E50" s="80" t="s">
        <v>118</v>
      </c>
      <c r="F50" s="80" t="s">
        <v>100</v>
      </c>
      <c r="G50" s="64">
        <f>914-19</f>
        <v>895</v>
      </c>
    </row>
    <row r="51" spans="1:7" ht="15.75">
      <c r="A51" s="51" t="s">
        <v>25</v>
      </c>
      <c r="B51" s="80"/>
      <c r="C51" s="80" t="s">
        <v>37</v>
      </c>
      <c r="D51" s="80" t="s">
        <v>103</v>
      </c>
      <c r="E51" s="80" t="s">
        <v>118</v>
      </c>
      <c r="F51" s="80" t="s">
        <v>105</v>
      </c>
      <c r="G51" s="64">
        <f>13.2+19</f>
        <v>32.2</v>
      </c>
    </row>
    <row r="52" spans="1:7" s="122" customFormat="1" ht="15.75">
      <c r="A52" s="119" t="s">
        <v>237</v>
      </c>
      <c r="B52" s="120">
        <v>283</v>
      </c>
      <c r="C52" s="124"/>
      <c r="D52" s="124"/>
      <c r="E52" s="124"/>
      <c r="F52" s="124"/>
      <c r="G52" s="125">
        <f>SUM(G53+G136+G167+G281+G306)+G212+G296+G343</f>
        <v>697284.2999999999</v>
      </c>
    </row>
    <row r="53" spans="1:7" ht="15.75">
      <c r="A53" s="51" t="s">
        <v>96</v>
      </c>
      <c r="B53" s="86"/>
      <c r="C53" s="53" t="s">
        <v>37</v>
      </c>
      <c r="D53" s="53"/>
      <c r="E53" s="53"/>
      <c r="F53" s="52"/>
      <c r="G53" s="54">
        <f>SUM(G54+G59)+G85+G90</f>
        <v>143089.8</v>
      </c>
    </row>
    <row r="54" spans="1:7" ht="31.5">
      <c r="A54" s="51" t="s">
        <v>183</v>
      </c>
      <c r="B54" s="86"/>
      <c r="C54" s="53" t="s">
        <v>37</v>
      </c>
      <c r="D54" s="53" t="s">
        <v>47</v>
      </c>
      <c r="E54" s="53"/>
      <c r="F54" s="52"/>
      <c r="G54" s="54">
        <f>SUM(G55)</f>
        <v>1618.2</v>
      </c>
    </row>
    <row r="55" spans="1:8" ht="31.5">
      <c r="A55" s="55" t="s">
        <v>238</v>
      </c>
      <c r="B55" s="126"/>
      <c r="C55" s="53" t="s">
        <v>37</v>
      </c>
      <c r="D55" s="53" t="s">
        <v>47</v>
      </c>
      <c r="E55" s="52" t="s">
        <v>239</v>
      </c>
      <c r="F55" s="52"/>
      <c r="G55" s="54">
        <f>SUM(G56)</f>
        <v>1618.2</v>
      </c>
      <c r="H55" s="127"/>
    </row>
    <row r="56" spans="1:7" ht="31.5">
      <c r="A56" s="51" t="s">
        <v>83</v>
      </c>
      <c r="B56" s="86"/>
      <c r="C56" s="53" t="s">
        <v>37</v>
      </c>
      <c r="D56" s="53" t="s">
        <v>47</v>
      </c>
      <c r="E56" s="53" t="s">
        <v>240</v>
      </c>
      <c r="F56" s="53"/>
      <c r="G56" s="54">
        <f>SUM(G57)</f>
        <v>1618.2</v>
      </c>
    </row>
    <row r="57" spans="1:7" ht="15.75">
      <c r="A57" s="51" t="s">
        <v>241</v>
      </c>
      <c r="B57" s="86"/>
      <c r="C57" s="53" t="s">
        <v>37</v>
      </c>
      <c r="D57" s="53" t="s">
        <v>47</v>
      </c>
      <c r="E57" s="53" t="s">
        <v>242</v>
      </c>
      <c r="F57" s="53"/>
      <c r="G57" s="54">
        <f>SUM(G58)</f>
        <v>1618.2</v>
      </c>
    </row>
    <row r="58" spans="1:7" ht="47.25">
      <c r="A58" s="70" t="s">
        <v>54</v>
      </c>
      <c r="B58" s="86"/>
      <c r="C58" s="53" t="s">
        <v>37</v>
      </c>
      <c r="D58" s="53" t="s">
        <v>47</v>
      </c>
      <c r="E58" s="53" t="s">
        <v>242</v>
      </c>
      <c r="F58" s="53" t="s">
        <v>98</v>
      </c>
      <c r="G58" s="54">
        <v>1618.2</v>
      </c>
    </row>
    <row r="59" spans="1:8" ht="31.5">
      <c r="A59" s="51" t="s">
        <v>317</v>
      </c>
      <c r="B59" s="86"/>
      <c r="C59" s="53" t="s">
        <v>37</v>
      </c>
      <c r="D59" s="53" t="s">
        <v>16</v>
      </c>
      <c r="E59" s="52"/>
      <c r="F59" s="52"/>
      <c r="G59" s="54">
        <f>SUM(G71)+G60+G66+G77</f>
        <v>99863.1</v>
      </c>
      <c r="H59" s="127"/>
    </row>
    <row r="60" spans="1:7" ht="31.5">
      <c r="A60" s="51" t="s">
        <v>243</v>
      </c>
      <c r="B60" s="86"/>
      <c r="C60" s="53" t="s">
        <v>37</v>
      </c>
      <c r="D60" s="53" t="s">
        <v>16</v>
      </c>
      <c r="E60" s="52" t="s">
        <v>244</v>
      </c>
      <c r="F60" s="52"/>
      <c r="G60" s="54">
        <f>SUM(G61)</f>
        <v>1358.3</v>
      </c>
    </row>
    <row r="61" spans="1:7" ht="78.75">
      <c r="A61" s="55" t="s">
        <v>245</v>
      </c>
      <c r="B61" s="126"/>
      <c r="C61" s="53" t="s">
        <v>37</v>
      </c>
      <c r="D61" s="53" t="s">
        <v>16</v>
      </c>
      <c r="E61" s="53" t="s">
        <v>246</v>
      </c>
      <c r="F61" s="52"/>
      <c r="G61" s="54">
        <f>SUM(G62)</f>
        <v>1358.3</v>
      </c>
    </row>
    <row r="62" spans="1:7" ht="31.5">
      <c r="A62" s="51" t="s">
        <v>83</v>
      </c>
      <c r="B62" s="86"/>
      <c r="C62" s="53" t="s">
        <v>37</v>
      </c>
      <c r="D62" s="53" t="s">
        <v>16</v>
      </c>
      <c r="E62" s="53" t="s">
        <v>247</v>
      </c>
      <c r="F62" s="52"/>
      <c r="G62" s="54">
        <f>SUM(G63)</f>
        <v>1358.3</v>
      </c>
    </row>
    <row r="63" spans="1:7" ht="31.5">
      <c r="A63" s="51" t="s">
        <v>248</v>
      </c>
      <c r="B63" s="86"/>
      <c r="C63" s="53" t="s">
        <v>37</v>
      </c>
      <c r="D63" s="53" t="s">
        <v>16</v>
      </c>
      <c r="E63" s="53" t="s">
        <v>249</v>
      </c>
      <c r="F63" s="52"/>
      <c r="G63" s="54">
        <f>SUM(G64:G65)</f>
        <v>1358.3</v>
      </c>
    </row>
    <row r="64" spans="1:7" ht="47.25">
      <c r="A64" s="70" t="s">
        <v>54</v>
      </c>
      <c r="B64" s="86"/>
      <c r="C64" s="53" t="s">
        <v>37</v>
      </c>
      <c r="D64" s="53" t="s">
        <v>16</v>
      </c>
      <c r="E64" s="53" t="s">
        <v>249</v>
      </c>
      <c r="F64" s="53" t="s">
        <v>98</v>
      </c>
      <c r="G64" s="54">
        <v>1334.7</v>
      </c>
    </row>
    <row r="65" spans="1:7" ht="31.5">
      <c r="A65" s="51" t="s">
        <v>55</v>
      </c>
      <c r="B65" s="86"/>
      <c r="C65" s="53" t="s">
        <v>37</v>
      </c>
      <c r="D65" s="53" t="s">
        <v>16</v>
      </c>
      <c r="E65" s="53" t="s">
        <v>249</v>
      </c>
      <c r="F65" s="53" t="s">
        <v>100</v>
      </c>
      <c r="G65" s="54">
        <v>23.6</v>
      </c>
    </row>
    <row r="66" spans="1:9" ht="31.5">
      <c r="A66" s="51" t="s">
        <v>517</v>
      </c>
      <c r="B66" s="89"/>
      <c r="C66" s="53" t="s">
        <v>37</v>
      </c>
      <c r="D66" s="53" t="s">
        <v>16</v>
      </c>
      <c r="E66" s="53" t="s">
        <v>257</v>
      </c>
      <c r="F66" s="52"/>
      <c r="G66" s="54">
        <f>SUM(G67)</f>
        <v>357.70000000000005</v>
      </c>
      <c r="H66" s="1"/>
      <c r="I66" s="1"/>
    </row>
    <row r="67" spans="1:9" ht="78.75">
      <c r="A67" s="55" t="s">
        <v>245</v>
      </c>
      <c r="B67" s="89"/>
      <c r="C67" s="53" t="s">
        <v>37</v>
      </c>
      <c r="D67" s="53" t="s">
        <v>16</v>
      </c>
      <c r="E67" s="52" t="s">
        <v>529</v>
      </c>
      <c r="F67" s="52"/>
      <c r="G67" s="54">
        <f>SUM(G68)</f>
        <v>357.70000000000005</v>
      </c>
      <c r="H67" s="2"/>
      <c r="I67" s="2"/>
    </row>
    <row r="68" spans="1:9" ht="15.75">
      <c r="A68" s="51" t="s">
        <v>254</v>
      </c>
      <c r="B68" s="89"/>
      <c r="C68" s="53" t="s">
        <v>37</v>
      </c>
      <c r="D68" s="53" t="s">
        <v>16</v>
      </c>
      <c r="E68" s="52" t="s">
        <v>530</v>
      </c>
      <c r="F68" s="52"/>
      <c r="G68" s="54">
        <f>SUM(G69:G70)</f>
        <v>357.70000000000005</v>
      </c>
      <c r="H68" s="2"/>
      <c r="I68" s="2"/>
    </row>
    <row r="69" spans="1:9" ht="47.25">
      <c r="A69" s="70" t="s">
        <v>54</v>
      </c>
      <c r="B69" s="89"/>
      <c r="C69" s="53" t="s">
        <v>37</v>
      </c>
      <c r="D69" s="53" t="s">
        <v>16</v>
      </c>
      <c r="E69" s="52" t="s">
        <v>530</v>
      </c>
      <c r="F69" s="52">
        <v>100</v>
      </c>
      <c r="G69" s="54">
        <v>288.8</v>
      </c>
      <c r="H69" s="2"/>
      <c r="I69" s="2"/>
    </row>
    <row r="70" spans="1:9" ht="31.5">
      <c r="A70" s="51" t="s">
        <v>55</v>
      </c>
      <c r="B70" s="89"/>
      <c r="C70" s="53" t="s">
        <v>37</v>
      </c>
      <c r="D70" s="53" t="s">
        <v>16</v>
      </c>
      <c r="E70" s="52" t="s">
        <v>530</v>
      </c>
      <c r="F70" s="53" t="s">
        <v>100</v>
      </c>
      <c r="G70" s="54">
        <v>68.9</v>
      </c>
      <c r="H70" s="2"/>
      <c r="I70" s="2"/>
    </row>
    <row r="71" spans="1:7" ht="31.5">
      <c r="A71" s="55" t="s">
        <v>238</v>
      </c>
      <c r="B71" s="126"/>
      <c r="C71" s="53" t="s">
        <v>37</v>
      </c>
      <c r="D71" s="53" t="s">
        <v>16</v>
      </c>
      <c r="E71" s="52" t="s">
        <v>239</v>
      </c>
      <c r="F71" s="52"/>
      <c r="G71" s="54">
        <f>SUM(G72)</f>
        <v>97941</v>
      </c>
    </row>
    <row r="72" spans="1:7" ht="31.5">
      <c r="A72" s="51" t="s">
        <v>83</v>
      </c>
      <c r="B72" s="86"/>
      <c r="C72" s="53" t="s">
        <v>37</v>
      </c>
      <c r="D72" s="53" t="s">
        <v>16</v>
      </c>
      <c r="E72" s="53" t="s">
        <v>240</v>
      </c>
      <c r="F72" s="53"/>
      <c r="G72" s="54">
        <f>SUM(G73)</f>
        <v>97941</v>
      </c>
    </row>
    <row r="73" spans="1:7" ht="15.75">
      <c r="A73" s="51" t="s">
        <v>85</v>
      </c>
      <c r="B73" s="86"/>
      <c r="C73" s="53" t="s">
        <v>37</v>
      </c>
      <c r="D73" s="53" t="s">
        <v>16</v>
      </c>
      <c r="E73" s="53" t="s">
        <v>250</v>
      </c>
      <c r="F73" s="53"/>
      <c r="G73" s="54">
        <f>SUM(G74:G76)</f>
        <v>97941</v>
      </c>
    </row>
    <row r="74" spans="1:7" ht="47.25">
      <c r="A74" s="70" t="s">
        <v>54</v>
      </c>
      <c r="B74" s="86"/>
      <c r="C74" s="53" t="s">
        <v>37</v>
      </c>
      <c r="D74" s="53" t="s">
        <v>16</v>
      </c>
      <c r="E74" s="53" t="s">
        <v>250</v>
      </c>
      <c r="F74" s="53" t="s">
        <v>98</v>
      </c>
      <c r="G74" s="54">
        <f>97846.9</f>
        <v>97846.9</v>
      </c>
    </row>
    <row r="75" spans="1:7" ht="29.25" customHeight="1">
      <c r="A75" s="51" t="s">
        <v>55</v>
      </c>
      <c r="B75" s="86"/>
      <c r="C75" s="53" t="s">
        <v>37</v>
      </c>
      <c r="D75" s="53" t="s">
        <v>16</v>
      </c>
      <c r="E75" s="53" t="s">
        <v>250</v>
      </c>
      <c r="F75" s="53" t="s">
        <v>100</v>
      </c>
      <c r="G75" s="54">
        <v>94.1</v>
      </c>
    </row>
    <row r="76" spans="1:7" ht="15.75" hidden="1">
      <c r="A76" s="51" t="s">
        <v>45</v>
      </c>
      <c r="B76" s="86"/>
      <c r="C76" s="53" t="s">
        <v>37</v>
      </c>
      <c r="D76" s="53" t="s">
        <v>16</v>
      </c>
      <c r="E76" s="53" t="s">
        <v>250</v>
      </c>
      <c r="F76" s="53" t="s">
        <v>108</v>
      </c>
      <c r="G76" s="54">
        <v>0</v>
      </c>
    </row>
    <row r="77" spans="1:7" ht="15.75">
      <c r="A77" s="51" t="s">
        <v>215</v>
      </c>
      <c r="B77" s="86"/>
      <c r="C77" s="53" t="s">
        <v>37</v>
      </c>
      <c r="D77" s="53" t="s">
        <v>16</v>
      </c>
      <c r="E77" s="53" t="s">
        <v>216</v>
      </c>
      <c r="F77" s="53"/>
      <c r="G77" s="54">
        <f>SUM(G78)</f>
        <v>206.1</v>
      </c>
    </row>
    <row r="78" spans="1:7" ht="78.75">
      <c r="A78" s="55" t="s">
        <v>245</v>
      </c>
      <c r="B78" s="126"/>
      <c r="C78" s="53" t="s">
        <v>37</v>
      </c>
      <c r="D78" s="53" t="s">
        <v>16</v>
      </c>
      <c r="E78" s="53" t="s">
        <v>251</v>
      </c>
      <c r="F78" s="53"/>
      <c r="G78" s="54">
        <f>SUM(G79+G82)</f>
        <v>206.1</v>
      </c>
    </row>
    <row r="79" spans="1:7" ht="47.25">
      <c r="A79" s="51" t="s">
        <v>252</v>
      </c>
      <c r="B79" s="86"/>
      <c r="C79" s="53" t="s">
        <v>37</v>
      </c>
      <c r="D79" s="53" t="s">
        <v>16</v>
      </c>
      <c r="E79" s="53" t="s">
        <v>253</v>
      </c>
      <c r="F79" s="52"/>
      <c r="G79" s="54">
        <f>SUM(G80:G81)</f>
        <v>93.8</v>
      </c>
    </row>
    <row r="80" spans="1:7" ht="47.25">
      <c r="A80" s="70" t="s">
        <v>54</v>
      </c>
      <c r="B80" s="86"/>
      <c r="C80" s="53" t="s">
        <v>37</v>
      </c>
      <c r="D80" s="53" t="s">
        <v>16</v>
      </c>
      <c r="E80" s="53" t="s">
        <v>253</v>
      </c>
      <c r="F80" s="53" t="s">
        <v>98</v>
      </c>
      <c r="G80" s="54">
        <v>72.3</v>
      </c>
    </row>
    <row r="81" spans="1:7" ht="31.5">
      <c r="A81" s="51" t="s">
        <v>55</v>
      </c>
      <c r="B81" s="86"/>
      <c r="C81" s="53" t="s">
        <v>37</v>
      </c>
      <c r="D81" s="53" t="s">
        <v>16</v>
      </c>
      <c r="E81" s="53" t="s">
        <v>253</v>
      </c>
      <c r="F81" s="53" t="s">
        <v>100</v>
      </c>
      <c r="G81" s="54">
        <v>21.5</v>
      </c>
    </row>
    <row r="82" spans="1:9" ht="47.25">
      <c r="A82" s="51" t="s">
        <v>531</v>
      </c>
      <c r="B82" s="73"/>
      <c r="C82" s="53" t="s">
        <v>37</v>
      </c>
      <c r="D82" s="53" t="s">
        <v>16</v>
      </c>
      <c r="E82" s="53" t="s">
        <v>532</v>
      </c>
      <c r="F82" s="52"/>
      <c r="G82" s="54">
        <f>SUM(G83:G84)</f>
        <v>112.3</v>
      </c>
      <c r="H82" s="2"/>
      <c r="I82" s="3"/>
    </row>
    <row r="83" spans="1:9" ht="47.25">
      <c r="A83" s="70" t="s">
        <v>54</v>
      </c>
      <c r="B83" s="73"/>
      <c r="C83" s="53" t="s">
        <v>37</v>
      </c>
      <c r="D83" s="53" t="s">
        <v>16</v>
      </c>
      <c r="E83" s="53" t="s">
        <v>532</v>
      </c>
      <c r="F83" s="53" t="s">
        <v>98</v>
      </c>
      <c r="G83" s="54">
        <v>103.5</v>
      </c>
      <c r="H83" s="2"/>
      <c r="I83" s="2"/>
    </row>
    <row r="84" spans="1:9" ht="31.5">
      <c r="A84" s="51" t="s">
        <v>55</v>
      </c>
      <c r="B84" s="73"/>
      <c r="C84" s="53" t="s">
        <v>37</v>
      </c>
      <c r="D84" s="53" t="s">
        <v>16</v>
      </c>
      <c r="E84" s="53" t="s">
        <v>532</v>
      </c>
      <c r="F84" s="53" t="s">
        <v>100</v>
      </c>
      <c r="G84" s="54">
        <v>8.8</v>
      </c>
      <c r="H84" s="2"/>
      <c r="I84" s="2"/>
    </row>
    <row r="85" spans="1:7" ht="15.75" hidden="1">
      <c r="A85" s="51" t="s">
        <v>186</v>
      </c>
      <c r="B85" s="86"/>
      <c r="C85" s="53" t="s">
        <v>37</v>
      </c>
      <c r="D85" s="53" t="s">
        <v>187</v>
      </c>
      <c r="E85" s="53"/>
      <c r="F85" s="53"/>
      <c r="G85" s="54">
        <f>SUM(G86)</f>
        <v>0</v>
      </c>
    </row>
    <row r="86" spans="1:7" ht="15.75" hidden="1">
      <c r="A86" s="51" t="s">
        <v>222</v>
      </c>
      <c r="B86" s="86"/>
      <c r="C86" s="53" t="s">
        <v>37</v>
      </c>
      <c r="D86" s="53" t="s">
        <v>187</v>
      </c>
      <c r="E86" s="53" t="s">
        <v>216</v>
      </c>
      <c r="F86" s="53"/>
      <c r="G86" s="54">
        <f>SUM(G87)</f>
        <v>0</v>
      </c>
    </row>
    <row r="87" spans="1:7" ht="78.75" hidden="1">
      <c r="A87" s="55" t="s">
        <v>245</v>
      </c>
      <c r="B87" s="126"/>
      <c r="C87" s="53" t="s">
        <v>37</v>
      </c>
      <c r="D87" s="53" t="s">
        <v>187</v>
      </c>
      <c r="E87" s="53" t="s">
        <v>251</v>
      </c>
      <c r="F87" s="53"/>
      <c r="G87" s="54">
        <f>SUM(G88)</f>
        <v>0</v>
      </c>
    </row>
    <row r="88" spans="1:7" ht="47.25" hidden="1">
      <c r="A88" s="51" t="s">
        <v>255</v>
      </c>
      <c r="B88" s="86"/>
      <c r="C88" s="53" t="s">
        <v>37</v>
      </c>
      <c r="D88" s="53" t="s">
        <v>187</v>
      </c>
      <c r="E88" s="53" t="s">
        <v>256</v>
      </c>
      <c r="F88" s="53"/>
      <c r="G88" s="54">
        <f>SUM(G89)</f>
        <v>0</v>
      </c>
    </row>
    <row r="89" spans="1:7" ht="15.75" hidden="1">
      <c r="A89" s="51" t="s">
        <v>99</v>
      </c>
      <c r="B89" s="86"/>
      <c r="C89" s="53" t="s">
        <v>37</v>
      </c>
      <c r="D89" s="53" t="s">
        <v>187</v>
      </c>
      <c r="E89" s="53" t="s">
        <v>256</v>
      </c>
      <c r="F89" s="53" t="s">
        <v>100</v>
      </c>
      <c r="G89" s="54"/>
    </row>
    <row r="90" spans="1:7" ht="15.75">
      <c r="A90" s="51" t="s">
        <v>102</v>
      </c>
      <c r="B90" s="86"/>
      <c r="C90" s="53" t="s">
        <v>37</v>
      </c>
      <c r="D90" s="53" t="s">
        <v>103</v>
      </c>
      <c r="E90" s="53"/>
      <c r="F90" s="52"/>
      <c r="G90" s="54">
        <f>SUM(G91+G93+G96+G106+G117+G119+G122+G124+G133)</f>
        <v>41608.49999999999</v>
      </c>
    </row>
    <row r="91" spans="1:7" ht="31.5" hidden="1">
      <c r="A91" s="51" t="s">
        <v>518</v>
      </c>
      <c r="B91" s="86"/>
      <c r="C91" s="53" t="s">
        <v>37</v>
      </c>
      <c r="D91" s="53" t="s">
        <v>103</v>
      </c>
      <c r="E91" s="53" t="s">
        <v>257</v>
      </c>
      <c r="F91" s="52"/>
      <c r="G91" s="54">
        <f>SUM(G92)</f>
        <v>0</v>
      </c>
    </row>
    <row r="92" spans="1:7" ht="15.75" hidden="1">
      <c r="A92" s="51" t="s">
        <v>99</v>
      </c>
      <c r="B92" s="86"/>
      <c r="C92" s="53" t="s">
        <v>37</v>
      </c>
      <c r="D92" s="53" t="s">
        <v>103</v>
      </c>
      <c r="E92" s="52" t="s">
        <v>257</v>
      </c>
      <c r="F92" s="52">
        <v>200</v>
      </c>
      <c r="G92" s="54"/>
    </row>
    <row r="93" spans="1:7" ht="31.5">
      <c r="A93" s="51" t="s">
        <v>258</v>
      </c>
      <c r="B93" s="86"/>
      <c r="C93" s="53" t="s">
        <v>37</v>
      </c>
      <c r="D93" s="53" t="s">
        <v>103</v>
      </c>
      <c r="E93" s="53" t="s">
        <v>259</v>
      </c>
      <c r="F93" s="52"/>
      <c r="G93" s="54">
        <f>SUM(G94:G95)</f>
        <v>100</v>
      </c>
    </row>
    <row r="94" spans="1:7" ht="31.5">
      <c r="A94" s="51" t="s">
        <v>55</v>
      </c>
      <c r="B94" s="86"/>
      <c r="C94" s="53" t="s">
        <v>37</v>
      </c>
      <c r="D94" s="53" t="s">
        <v>103</v>
      </c>
      <c r="E94" s="52" t="s">
        <v>259</v>
      </c>
      <c r="F94" s="52">
        <v>200</v>
      </c>
      <c r="G94" s="54">
        <v>100</v>
      </c>
    </row>
    <row r="95" spans="1:7" ht="15.75" hidden="1">
      <c r="A95" s="51" t="s">
        <v>25</v>
      </c>
      <c r="B95" s="86"/>
      <c r="C95" s="53" t="s">
        <v>37</v>
      </c>
      <c r="D95" s="53" t="s">
        <v>103</v>
      </c>
      <c r="E95" s="52" t="s">
        <v>259</v>
      </c>
      <c r="F95" s="52">
        <v>800</v>
      </c>
      <c r="G95" s="54"/>
    </row>
    <row r="96" spans="1:7" ht="31.5">
      <c r="A96" s="55" t="s">
        <v>238</v>
      </c>
      <c r="B96" s="126"/>
      <c r="C96" s="53" t="s">
        <v>37</v>
      </c>
      <c r="D96" s="53" t="s">
        <v>103</v>
      </c>
      <c r="E96" s="52" t="s">
        <v>239</v>
      </c>
      <c r="F96" s="52"/>
      <c r="G96" s="54">
        <f>SUM(G97)</f>
        <v>28886.7</v>
      </c>
    </row>
    <row r="97" spans="1:7" ht="31.5">
      <c r="A97" s="51" t="s">
        <v>83</v>
      </c>
      <c r="B97" s="86"/>
      <c r="C97" s="53" t="s">
        <v>37</v>
      </c>
      <c r="D97" s="53" t="s">
        <v>103</v>
      </c>
      <c r="E97" s="53" t="s">
        <v>240</v>
      </c>
      <c r="F97" s="52"/>
      <c r="G97" s="54">
        <f>SUM(G98+G101+G103)</f>
        <v>28886.7</v>
      </c>
    </row>
    <row r="98" spans="1:7" ht="15.75">
      <c r="A98" s="51" t="s">
        <v>104</v>
      </c>
      <c r="B98" s="86"/>
      <c r="C98" s="53" t="s">
        <v>37</v>
      </c>
      <c r="D98" s="53" t="s">
        <v>103</v>
      </c>
      <c r="E98" s="52" t="s">
        <v>260</v>
      </c>
      <c r="F98" s="52"/>
      <c r="G98" s="54">
        <f>SUM(G99:G100)</f>
        <v>3792.6</v>
      </c>
    </row>
    <row r="99" spans="1:7" ht="31.5">
      <c r="A99" s="51" t="s">
        <v>55</v>
      </c>
      <c r="B99" s="86"/>
      <c r="C99" s="53" t="s">
        <v>37</v>
      </c>
      <c r="D99" s="53" t="s">
        <v>103</v>
      </c>
      <c r="E99" s="52" t="s">
        <v>260</v>
      </c>
      <c r="F99" s="52">
        <v>200</v>
      </c>
      <c r="G99" s="54">
        <v>3723</v>
      </c>
    </row>
    <row r="100" spans="1:7" ht="15.75">
      <c r="A100" s="51" t="s">
        <v>25</v>
      </c>
      <c r="B100" s="86"/>
      <c r="C100" s="53" t="s">
        <v>37</v>
      </c>
      <c r="D100" s="53" t="s">
        <v>103</v>
      </c>
      <c r="E100" s="52" t="s">
        <v>260</v>
      </c>
      <c r="F100" s="52">
        <v>800</v>
      </c>
      <c r="G100" s="54">
        <v>69.6</v>
      </c>
    </row>
    <row r="101" spans="1:7" ht="31.5">
      <c r="A101" s="51" t="s">
        <v>106</v>
      </c>
      <c r="B101" s="86"/>
      <c r="C101" s="53" t="s">
        <v>37</v>
      </c>
      <c r="D101" s="53" t="s">
        <v>103</v>
      </c>
      <c r="E101" s="52" t="s">
        <v>261</v>
      </c>
      <c r="F101" s="52"/>
      <c r="G101" s="54">
        <f>SUM(G102)</f>
        <v>9482.800000000001</v>
      </c>
    </row>
    <row r="102" spans="1:7" ht="31.5">
      <c r="A102" s="51" t="s">
        <v>55</v>
      </c>
      <c r="B102" s="86"/>
      <c r="C102" s="53" t="s">
        <v>37</v>
      </c>
      <c r="D102" s="53" t="s">
        <v>103</v>
      </c>
      <c r="E102" s="52" t="s">
        <v>261</v>
      </c>
      <c r="F102" s="52">
        <v>200</v>
      </c>
      <c r="G102" s="54">
        <f>10187.5-364.9-189.5-97.3-53</f>
        <v>9482.800000000001</v>
      </c>
    </row>
    <row r="103" spans="1:7" ht="31.5">
      <c r="A103" s="51" t="s">
        <v>107</v>
      </c>
      <c r="B103" s="86"/>
      <c r="C103" s="53" t="s">
        <v>37</v>
      </c>
      <c r="D103" s="53" t="s">
        <v>103</v>
      </c>
      <c r="E103" s="52" t="s">
        <v>262</v>
      </c>
      <c r="F103" s="52"/>
      <c r="G103" s="54">
        <f>SUM(G104:G105)</f>
        <v>15611.3</v>
      </c>
    </row>
    <row r="104" spans="1:7" ht="31.5">
      <c r="A104" s="51" t="s">
        <v>55</v>
      </c>
      <c r="B104" s="86"/>
      <c r="C104" s="53" t="s">
        <v>37</v>
      </c>
      <c r="D104" s="53" t="s">
        <v>103</v>
      </c>
      <c r="E104" s="52" t="s">
        <v>262</v>
      </c>
      <c r="F104" s="52">
        <v>200</v>
      </c>
      <c r="G104" s="54">
        <f>12555.3+364.9-64.4</f>
        <v>12855.8</v>
      </c>
    </row>
    <row r="105" spans="1:7" ht="15.75">
      <c r="A105" s="51" t="s">
        <v>25</v>
      </c>
      <c r="B105" s="86"/>
      <c r="C105" s="53" t="s">
        <v>37</v>
      </c>
      <c r="D105" s="53" t="s">
        <v>103</v>
      </c>
      <c r="E105" s="52" t="s">
        <v>262</v>
      </c>
      <c r="F105" s="52">
        <v>800</v>
      </c>
      <c r="G105" s="54">
        <f>2830.5-75</f>
        <v>2755.5</v>
      </c>
    </row>
    <row r="106" spans="1:7" ht="31.5">
      <c r="A106" s="51" t="s">
        <v>315</v>
      </c>
      <c r="B106" s="86"/>
      <c r="C106" s="53" t="s">
        <v>37</v>
      </c>
      <c r="D106" s="53" t="s">
        <v>103</v>
      </c>
      <c r="E106" s="52" t="s">
        <v>263</v>
      </c>
      <c r="F106" s="52"/>
      <c r="G106" s="54">
        <f>SUM(G107)+G112</f>
        <v>7982</v>
      </c>
    </row>
    <row r="107" spans="1:7" ht="31.5">
      <c r="A107" s="51" t="s">
        <v>264</v>
      </c>
      <c r="B107" s="86"/>
      <c r="C107" s="53" t="s">
        <v>37</v>
      </c>
      <c r="D107" s="53" t="s">
        <v>103</v>
      </c>
      <c r="E107" s="52" t="s">
        <v>265</v>
      </c>
      <c r="F107" s="52"/>
      <c r="G107" s="54">
        <f>SUM(G108)</f>
        <v>7882</v>
      </c>
    </row>
    <row r="108" spans="1:7" ht="31.5">
      <c r="A108" s="51" t="s">
        <v>83</v>
      </c>
      <c r="B108" s="86"/>
      <c r="C108" s="53" t="s">
        <v>37</v>
      </c>
      <c r="D108" s="53" t="s">
        <v>103</v>
      </c>
      <c r="E108" s="52" t="s">
        <v>266</v>
      </c>
      <c r="F108" s="52"/>
      <c r="G108" s="54">
        <f>SUM(G109)</f>
        <v>7882</v>
      </c>
    </row>
    <row r="109" spans="1:7" ht="31.5">
      <c r="A109" s="51" t="s">
        <v>267</v>
      </c>
      <c r="B109" s="86"/>
      <c r="C109" s="53" t="s">
        <v>37</v>
      </c>
      <c r="D109" s="53" t="s">
        <v>103</v>
      </c>
      <c r="E109" s="52" t="s">
        <v>268</v>
      </c>
      <c r="F109" s="52"/>
      <c r="G109" s="54">
        <f>SUM(G110:G111)</f>
        <v>7882</v>
      </c>
    </row>
    <row r="110" spans="1:7" ht="31.5">
      <c r="A110" s="51" t="s">
        <v>55</v>
      </c>
      <c r="B110" s="86"/>
      <c r="C110" s="53" t="s">
        <v>37</v>
      </c>
      <c r="D110" s="53" t="s">
        <v>103</v>
      </c>
      <c r="E110" s="52" t="s">
        <v>268</v>
      </c>
      <c r="F110" s="52">
        <v>200</v>
      </c>
      <c r="G110" s="54">
        <v>7797</v>
      </c>
    </row>
    <row r="111" spans="1:7" ht="15.75">
      <c r="A111" s="51" t="s">
        <v>25</v>
      </c>
      <c r="B111" s="86"/>
      <c r="C111" s="53" t="s">
        <v>37</v>
      </c>
      <c r="D111" s="53" t="s">
        <v>103</v>
      </c>
      <c r="E111" s="52" t="s">
        <v>268</v>
      </c>
      <c r="F111" s="52">
        <v>800</v>
      </c>
      <c r="G111" s="54">
        <v>85</v>
      </c>
    </row>
    <row r="112" spans="1:7" ht="31.5">
      <c r="A112" s="51" t="s">
        <v>269</v>
      </c>
      <c r="B112" s="86"/>
      <c r="C112" s="53" t="s">
        <v>37</v>
      </c>
      <c r="D112" s="53" t="s">
        <v>103</v>
      </c>
      <c r="E112" s="52" t="s">
        <v>270</v>
      </c>
      <c r="F112" s="52"/>
      <c r="G112" s="54">
        <f>SUM(G113)</f>
        <v>100</v>
      </c>
    </row>
    <row r="113" spans="1:7" ht="31.5">
      <c r="A113" s="51" t="s">
        <v>83</v>
      </c>
      <c r="B113" s="86"/>
      <c r="C113" s="53" t="s">
        <v>37</v>
      </c>
      <c r="D113" s="53" t="s">
        <v>103</v>
      </c>
      <c r="E113" s="52" t="s">
        <v>271</v>
      </c>
      <c r="F113" s="52"/>
      <c r="G113" s="54">
        <f>SUM(G114)</f>
        <v>100</v>
      </c>
    </row>
    <row r="114" spans="1:7" ht="31.5">
      <c r="A114" s="51" t="s">
        <v>267</v>
      </c>
      <c r="B114" s="86"/>
      <c r="C114" s="53" t="s">
        <v>37</v>
      </c>
      <c r="D114" s="53" t="s">
        <v>103</v>
      </c>
      <c r="E114" s="52" t="s">
        <v>272</v>
      </c>
      <c r="F114" s="52"/>
      <c r="G114" s="54">
        <f>SUM(G115:G116)</f>
        <v>100</v>
      </c>
    </row>
    <row r="115" spans="1:7" ht="28.5" customHeight="1">
      <c r="A115" s="51" t="s">
        <v>55</v>
      </c>
      <c r="B115" s="86"/>
      <c r="C115" s="53" t="s">
        <v>37</v>
      </c>
      <c r="D115" s="53" t="s">
        <v>103</v>
      </c>
      <c r="E115" s="52" t="s">
        <v>272</v>
      </c>
      <c r="F115" s="52">
        <v>200</v>
      </c>
      <c r="G115" s="54">
        <v>100</v>
      </c>
    </row>
    <row r="116" spans="1:7" ht="15.75" hidden="1">
      <c r="A116" s="51" t="s">
        <v>25</v>
      </c>
      <c r="B116" s="86"/>
      <c r="C116" s="53" t="s">
        <v>37</v>
      </c>
      <c r="D116" s="53" t="s">
        <v>103</v>
      </c>
      <c r="E116" s="52" t="s">
        <v>272</v>
      </c>
      <c r="F116" s="52">
        <v>800</v>
      </c>
      <c r="G116" s="54"/>
    </row>
    <row r="117" spans="1:7" ht="31.5" hidden="1">
      <c r="A117" s="51" t="s">
        <v>273</v>
      </c>
      <c r="B117" s="86"/>
      <c r="C117" s="53" t="s">
        <v>37</v>
      </c>
      <c r="D117" s="53" t="s">
        <v>103</v>
      </c>
      <c r="E117" s="52" t="s">
        <v>274</v>
      </c>
      <c r="F117" s="52"/>
      <c r="G117" s="54">
        <f>SUM(G118)</f>
        <v>0</v>
      </c>
    </row>
    <row r="118" spans="1:7" ht="15.75" hidden="1">
      <c r="A118" s="51" t="s">
        <v>99</v>
      </c>
      <c r="B118" s="86"/>
      <c r="C118" s="53" t="s">
        <v>37</v>
      </c>
      <c r="D118" s="53" t="s">
        <v>103</v>
      </c>
      <c r="E118" s="52" t="s">
        <v>274</v>
      </c>
      <c r="F118" s="52">
        <v>200</v>
      </c>
      <c r="G118" s="54"/>
    </row>
    <row r="119" spans="1:7" ht="31.5">
      <c r="A119" s="51" t="s">
        <v>275</v>
      </c>
      <c r="B119" s="86"/>
      <c r="C119" s="53" t="s">
        <v>37</v>
      </c>
      <c r="D119" s="53" t="s">
        <v>103</v>
      </c>
      <c r="E119" s="52" t="s">
        <v>276</v>
      </c>
      <c r="F119" s="52"/>
      <c r="G119" s="54">
        <f>SUM(G120:G121)</f>
        <v>632.4</v>
      </c>
    </row>
    <row r="120" spans="1:7" ht="31.5">
      <c r="A120" s="51" t="s">
        <v>55</v>
      </c>
      <c r="B120" s="86"/>
      <c r="C120" s="53" t="s">
        <v>37</v>
      </c>
      <c r="D120" s="53" t="s">
        <v>103</v>
      </c>
      <c r="E120" s="52" t="s">
        <v>276</v>
      </c>
      <c r="F120" s="52">
        <v>200</v>
      </c>
      <c r="G120" s="54">
        <v>482.4</v>
      </c>
    </row>
    <row r="121" spans="1:7" ht="15.75">
      <c r="A121" s="51" t="s">
        <v>45</v>
      </c>
      <c r="B121" s="86"/>
      <c r="C121" s="53" t="s">
        <v>37</v>
      </c>
      <c r="D121" s="53" t="s">
        <v>103</v>
      </c>
      <c r="E121" s="52" t="s">
        <v>276</v>
      </c>
      <c r="F121" s="52">
        <v>300</v>
      </c>
      <c r="G121" s="54">
        <v>150</v>
      </c>
    </row>
    <row r="122" spans="1:7" ht="31.5">
      <c r="A122" s="51" t="s">
        <v>277</v>
      </c>
      <c r="B122" s="86"/>
      <c r="C122" s="53" t="s">
        <v>37</v>
      </c>
      <c r="D122" s="53" t="s">
        <v>103</v>
      </c>
      <c r="E122" s="52" t="s">
        <v>278</v>
      </c>
      <c r="F122" s="52"/>
      <c r="G122" s="54">
        <f>SUM(G123)</f>
        <v>133</v>
      </c>
    </row>
    <row r="123" spans="1:7" ht="31.5">
      <c r="A123" s="51" t="s">
        <v>55</v>
      </c>
      <c r="B123" s="86"/>
      <c r="C123" s="53" t="s">
        <v>37</v>
      </c>
      <c r="D123" s="53" t="s">
        <v>103</v>
      </c>
      <c r="E123" s="52" t="s">
        <v>278</v>
      </c>
      <c r="F123" s="52">
        <v>200</v>
      </c>
      <c r="G123" s="54">
        <v>133</v>
      </c>
    </row>
    <row r="124" spans="1:7" ht="31.5">
      <c r="A124" s="51" t="s">
        <v>279</v>
      </c>
      <c r="B124" s="86"/>
      <c r="C124" s="53" t="s">
        <v>37</v>
      </c>
      <c r="D124" s="53" t="s">
        <v>103</v>
      </c>
      <c r="E124" s="52" t="s">
        <v>280</v>
      </c>
      <c r="F124" s="52"/>
      <c r="G124" s="54">
        <f>SUM(G125+G128)+G130</f>
        <v>3072.2000000000003</v>
      </c>
    </row>
    <row r="125" spans="1:8" ht="78.75">
      <c r="A125" s="55" t="s">
        <v>245</v>
      </c>
      <c r="B125" s="86"/>
      <c r="C125" s="53" t="s">
        <v>37</v>
      </c>
      <c r="D125" s="53" t="s">
        <v>103</v>
      </c>
      <c r="E125" s="52" t="s">
        <v>534</v>
      </c>
      <c r="F125" s="52"/>
      <c r="G125" s="54">
        <f>SUM(G126)</f>
        <v>87.4</v>
      </c>
      <c r="H125" s="2"/>
    </row>
    <row r="126" spans="1:8" ht="31.5">
      <c r="A126" s="51" t="s">
        <v>533</v>
      </c>
      <c r="B126" s="86"/>
      <c r="C126" s="53" t="s">
        <v>37</v>
      </c>
      <c r="D126" s="53" t="s">
        <v>103</v>
      </c>
      <c r="E126" s="52" t="s">
        <v>535</v>
      </c>
      <c r="F126" s="52"/>
      <c r="G126" s="54">
        <f>SUM(G127)</f>
        <v>87.4</v>
      </c>
      <c r="H126" s="2"/>
    </row>
    <row r="127" spans="1:8" ht="31.5">
      <c r="A127" s="51" t="s">
        <v>282</v>
      </c>
      <c r="B127" s="86"/>
      <c r="C127" s="53" t="s">
        <v>37</v>
      </c>
      <c r="D127" s="53" t="s">
        <v>103</v>
      </c>
      <c r="E127" s="52" t="s">
        <v>535</v>
      </c>
      <c r="F127" s="52">
        <v>600</v>
      </c>
      <c r="G127" s="54">
        <v>87.4</v>
      </c>
      <c r="H127" s="2"/>
    </row>
    <row r="128" spans="1:8" ht="47.25">
      <c r="A128" s="51" t="s">
        <v>29</v>
      </c>
      <c r="B128" s="86"/>
      <c r="C128" s="53" t="s">
        <v>37</v>
      </c>
      <c r="D128" s="53" t="s">
        <v>103</v>
      </c>
      <c r="E128" s="52" t="s">
        <v>281</v>
      </c>
      <c r="F128" s="52"/>
      <c r="G128" s="54">
        <f>SUM(G129)</f>
        <v>2712.3</v>
      </c>
      <c r="H128" s="2"/>
    </row>
    <row r="129" spans="1:8" ht="31.5">
      <c r="A129" s="51" t="s">
        <v>282</v>
      </c>
      <c r="B129" s="86"/>
      <c r="C129" s="53" t="s">
        <v>37</v>
      </c>
      <c r="D129" s="53" t="s">
        <v>103</v>
      </c>
      <c r="E129" s="52" t="s">
        <v>281</v>
      </c>
      <c r="F129" s="52">
        <v>600</v>
      </c>
      <c r="G129" s="58">
        <f>2712.3</f>
        <v>2712.3</v>
      </c>
      <c r="H129" s="2"/>
    </row>
    <row r="130" spans="1:8" ht="15.75">
      <c r="A130" s="117" t="s">
        <v>165</v>
      </c>
      <c r="B130" s="86"/>
      <c r="C130" s="118" t="s">
        <v>37</v>
      </c>
      <c r="D130" s="118" t="s">
        <v>103</v>
      </c>
      <c r="E130" s="52" t="s">
        <v>755</v>
      </c>
      <c r="F130" s="52"/>
      <c r="G130" s="58">
        <f>SUM(G131)</f>
        <v>272.5</v>
      </c>
      <c r="H130" s="2"/>
    </row>
    <row r="131" spans="1:8" ht="15.75">
      <c r="A131" s="77" t="s">
        <v>669</v>
      </c>
      <c r="B131" s="86"/>
      <c r="C131" s="118" t="s">
        <v>37</v>
      </c>
      <c r="D131" s="118" t="s">
        <v>103</v>
      </c>
      <c r="E131" s="52" t="s">
        <v>756</v>
      </c>
      <c r="F131" s="52"/>
      <c r="G131" s="58">
        <f>SUM(G132)</f>
        <v>272.5</v>
      </c>
      <c r="H131" s="2"/>
    </row>
    <row r="132" spans="1:8" ht="31.5">
      <c r="A132" s="117" t="s">
        <v>282</v>
      </c>
      <c r="B132" s="86"/>
      <c r="C132" s="118" t="s">
        <v>37</v>
      </c>
      <c r="D132" s="118" t="s">
        <v>103</v>
      </c>
      <c r="E132" s="52" t="s">
        <v>756</v>
      </c>
      <c r="F132" s="52">
        <v>600</v>
      </c>
      <c r="G132" s="58">
        <v>272.5</v>
      </c>
      <c r="H132" s="2"/>
    </row>
    <row r="133" spans="1:8" ht="15.75">
      <c r="A133" s="123" t="s">
        <v>215</v>
      </c>
      <c r="B133" s="86"/>
      <c r="C133" s="53" t="s">
        <v>37</v>
      </c>
      <c r="D133" s="53" t="s">
        <v>103</v>
      </c>
      <c r="E133" s="52" t="s">
        <v>216</v>
      </c>
      <c r="F133" s="52"/>
      <c r="G133" s="54">
        <f>G134</f>
        <v>802.2</v>
      </c>
      <c r="H133" s="2"/>
    </row>
    <row r="134" spans="1:8" ht="31.5">
      <c r="A134" s="123" t="s">
        <v>107</v>
      </c>
      <c r="B134" s="86"/>
      <c r="C134" s="53" t="s">
        <v>37</v>
      </c>
      <c r="D134" s="53" t="s">
        <v>103</v>
      </c>
      <c r="E134" s="52" t="s">
        <v>118</v>
      </c>
      <c r="F134" s="52"/>
      <c r="G134" s="54">
        <f>G135</f>
        <v>802.2</v>
      </c>
      <c r="H134" s="2"/>
    </row>
    <row r="135" spans="1:8" ht="15.75">
      <c r="A135" s="51" t="s">
        <v>25</v>
      </c>
      <c r="B135" s="86"/>
      <c r="C135" s="53" t="s">
        <v>37</v>
      </c>
      <c r="D135" s="53" t="s">
        <v>103</v>
      </c>
      <c r="E135" s="52" t="s">
        <v>118</v>
      </c>
      <c r="F135" s="52">
        <v>800</v>
      </c>
      <c r="G135" s="54">
        <f>651.7+75+75.5</f>
        <v>802.2</v>
      </c>
      <c r="H135" s="2"/>
    </row>
    <row r="136" spans="1:7" ht="15.75">
      <c r="A136" s="51" t="s">
        <v>283</v>
      </c>
      <c r="B136" s="86"/>
      <c r="C136" s="53" t="s">
        <v>57</v>
      </c>
      <c r="D136" s="53"/>
      <c r="E136" s="53"/>
      <c r="F136" s="53"/>
      <c r="G136" s="54">
        <f>SUM(G137)+G144</f>
        <v>23640.6</v>
      </c>
    </row>
    <row r="137" spans="1:7" ht="15.75">
      <c r="A137" s="128" t="s">
        <v>189</v>
      </c>
      <c r="B137" s="52"/>
      <c r="C137" s="53" t="s">
        <v>57</v>
      </c>
      <c r="D137" s="53" t="s">
        <v>16</v>
      </c>
      <c r="E137" s="53"/>
      <c r="F137" s="53"/>
      <c r="G137" s="54">
        <f>SUM(G138)</f>
        <v>4545.5</v>
      </c>
    </row>
    <row r="138" spans="1:7" ht="47.25">
      <c r="A138" s="51" t="s">
        <v>549</v>
      </c>
      <c r="B138" s="86"/>
      <c r="C138" s="53" t="s">
        <v>57</v>
      </c>
      <c r="D138" s="53" t="s">
        <v>16</v>
      </c>
      <c r="E138" s="53" t="s">
        <v>550</v>
      </c>
      <c r="F138" s="53"/>
      <c r="G138" s="54">
        <f>SUM(G139)</f>
        <v>4545.5</v>
      </c>
    </row>
    <row r="139" spans="1:7" ht="78.75">
      <c r="A139" s="55" t="s">
        <v>245</v>
      </c>
      <c r="B139" s="126"/>
      <c r="C139" s="53" t="s">
        <v>57</v>
      </c>
      <c r="D139" s="53" t="s">
        <v>16</v>
      </c>
      <c r="E139" s="53" t="s">
        <v>551</v>
      </c>
      <c r="F139" s="53"/>
      <c r="G139" s="54">
        <f>SUM(G140)</f>
        <v>4545.5</v>
      </c>
    </row>
    <row r="140" spans="1:7" ht="31.5">
      <c r="A140" s="51" t="s">
        <v>284</v>
      </c>
      <c r="B140" s="86"/>
      <c r="C140" s="53" t="s">
        <v>57</v>
      </c>
      <c r="D140" s="53" t="s">
        <v>16</v>
      </c>
      <c r="E140" s="53" t="s">
        <v>552</v>
      </c>
      <c r="F140" s="53"/>
      <c r="G140" s="54">
        <f>SUM(G141:G143)</f>
        <v>4545.5</v>
      </c>
    </row>
    <row r="141" spans="1:7" ht="47.25">
      <c r="A141" s="70" t="s">
        <v>54</v>
      </c>
      <c r="B141" s="86"/>
      <c r="C141" s="53" t="s">
        <v>57</v>
      </c>
      <c r="D141" s="53" t="s">
        <v>16</v>
      </c>
      <c r="E141" s="53" t="s">
        <v>552</v>
      </c>
      <c r="F141" s="53" t="s">
        <v>98</v>
      </c>
      <c r="G141" s="54">
        <v>3540.2</v>
      </c>
    </row>
    <row r="142" spans="1:7" ht="31.5">
      <c r="A142" s="51" t="s">
        <v>55</v>
      </c>
      <c r="B142" s="86"/>
      <c r="C142" s="53" t="s">
        <v>57</v>
      </c>
      <c r="D142" s="53" t="s">
        <v>16</v>
      </c>
      <c r="E142" s="53" t="s">
        <v>552</v>
      </c>
      <c r="F142" s="53" t="s">
        <v>100</v>
      </c>
      <c r="G142" s="54">
        <v>907.3</v>
      </c>
    </row>
    <row r="143" spans="1:7" ht="15.75">
      <c r="A143" s="51" t="s">
        <v>25</v>
      </c>
      <c r="B143" s="86"/>
      <c r="C143" s="53" t="s">
        <v>57</v>
      </c>
      <c r="D143" s="53" t="s">
        <v>16</v>
      </c>
      <c r="E143" s="53" t="s">
        <v>552</v>
      </c>
      <c r="F143" s="53" t="s">
        <v>105</v>
      </c>
      <c r="G143" s="54">
        <v>98</v>
      </c>
    </row>
    <row r="144" spans="1:7" ht="31.5">
      <c r="A144" s="70" t="s">
        <v>368</v>
      </c>
      <c r="B144" s="80"/>
      <c r="C144" s="80" t="s">
        <v>57</v>
      </c>
      <c r="D144" s="80" t="s">
        <v>191</v>
      </c>
      <c r="E144" s="80"/>
      <c r="F144" s="80"/>
      <c r="G144" s="64">
        <f>SUM(G145+G163)</f>
        <v>19095.1</v>
      </c>
    </row>
    <row r="145" spans="1:7" ht="31.5">
      <c r="A145" s="70" t="s">
        <v>369</v>
      </c>
      <c r="B145" s="80"/>
      <c r="C145" s="80" t="s">
        <v>57</v>
      </c>
      <c r="D145" s="80" t="s">
        <v>191</v>
      </c>
      <c r="E145" s="80" t="s">
        <v>375</v>
      </c>
      <c r="F145" s="80"/>
      <c r="G145" s="64">
        <f>SUM(G146,G156,G160)</f>
        <v>18595.1</v>
      </c>
    </row>
    <row r="146" spans="1:7" ht="47.25">
      <c r="A146" s="70" t="s">
        <v>370</v>
      </c>
      <c r="B146" s="80"/>
      <c r="C146" s="80" t="s">
        <v>57</v>
      </c>
      <c r="D146" s="80" t="s">
        <v>191</v>
      </c>
      <c r="E146" s="80" t="s">
        <v>376</v>
      </c>
      <c r="F146" s="80"/>
      <c r="G146" s="64">
        <f>SUM(G147,G152)</f>
        <v>16755.3</v>
      </c>
    </row>
    <row r="147" spans="1:7" ht="15.75">
      <c r="A147" s="70" t="s">
        <v>38</v>
      </c>
      <c r="B147" s="80"/>
      <c r="C147" s="80" t="s">
        <v>57</v>
      </c>
      <c r="D147" s="80" t="s">
        <v>191</v>
      </c>
      <c r="E147" s="80" t="s">
        <v>377</v>
      </c>
      <c r="F147" s="80"/>
      <c r="G147" s="64">
        <f>SUM(G148)+G150</f>
        <v>1079.9</v>
      </c>
    </row>
    <row r="148" spans="1:7" ht="31.5">
      <c r="A148" s="70" t="s">
        <v>371</v>
      </c>
      <c r="B148" s="80"/>
      <c r="C148" s="80" t="s">
        <v>57</v>
      </c>
      <c r="D148" s="80" t="s">
        <v>191</v>
      </c>
      <c r="E148" s="80" t="s">
        <v>378</v>
      </c>
      <c r="F148" s="80"/>
      <c r="G148" s="64">
        <f>SUM(G149)</f>
        <v>1036.9</v>
      </c>
    </row>
    <row r="149" spans="1:7" ht="31.5">
      <c r="A149" s="70" t="s">
        <v>55</v>
      </c>
      <c r="B149" s="80"/>
      <c r="C149" s="80" t="s">
        <v>57</v>
      </c>
      <c r="D149" s="80" t="s">
        <v>191</v>
      </c>
      <c r="E149" s="80" t="s">
        <v>378</v>
      </c>
      <c r="F149" s="80" t="s">
        <v>100</v>
      </c>
      <c r="G149" s="64">
        <v>1036.9</v>
      </c>
    </row>
    <row r="150" spans="1:7" ht="31.5">
      <c r="A150" s="70" t="s">
        <v>372</v>
      </c>
      <c r="B150" s="80"/>
      <c r="C150" s="80" t="s">
        <v>57</v>
      </c>
      <c r="D150" s="80" t="s">
        <v>191</v>
      </c>
      <c r="E150" s="80" t="s">
        <v>379</v>
      </c>
      <c r="F150" s="80"/>
      <c r="G150" s="64">
        <f>SUM(G151)</f>
        <v>43</v>
      </c>
    </row>
    <row r="151" spans="1:7" ht="31.5">
      <c r="A151" s="70" t="s">
        <v>55</v>
      </c>
      <c r="B151" s="80"/>
      <c r="C151" s="80" t="s">
        <v>57</v>
      </c>
      <c r="D151" s="80" t="s">
        <v>191</v>
      </c>
      <c r="E151" s="80" t="s">
        <v>379</v>
      </c>
      <c r="F151" s="80" t="s">
        <v>100</v>
      </c>
      <c r="G151" s="64">
        <v>43</v>
      </c>
    </row>
    <row r="152" spans="1:7" ht="31.5">
      <c r="A152" s="70" t="s">
        <v>48</v>
      </c>
      <c r="B152" s="80"/>
      <c r="C152" s="80" t="s">
        <v>57</v>
      </c>
      <c r="D152" s="80" t="s">
        <v>191</v>
      </c>
      <c r="E152" s="80" t="s">
        <v>380</v>
      </c>
      <c r="F152" s="80"/>
      <c r="G152" s="64">
        <f>SUM(G153:G155)</f>
        <v>15675.4</v>
      </c>
    </row>
    <row r="153" spans="1:7" ht="47.25">
      <c r="A153" s="70" t="s">
        <v>54</v>
      </c>
      <c r="B153" s="80"/>
      <c r="C153" s="80" t="s">
        <v>57</v>
      </c>
      <c r="D153" s="80" t="s">
        <v>191</v>
      </c>
      <c r="E153" s="80" t="s">
        <v>380</v>
      </c>
      <c r="F153" s="80" t="s">
        <v>98</v>
      </c>
      <c r="G153" s="64">
        <v>10390.1</v>
      </c>
    </row>
    <row r="154" spans="1:7" ht="31.5">
      <c r="A154" s="70" t="s">
        <v>55</v>
      </c>
      <c r="B154" s="80"/>
      <c r="C154" s="80" t="s">
        <v>57</v>
      </c>
      <c r="D154" s="80" t="s">
        <v>191</v>
      </c>
      <c r="E154" s="80" t="s">
        <v>380</v>
      </c>
      <c r="F154" s="80" t="s">
        <v>100</v>
      </c>
      <c r="G154" s="64">
        <v>5163.2</v>
      </c>
    </row>
    <row r="155" spans="1:7" ht="15.75">
      <c r="A155" s="70" t="s">
        <v>25</v>
      </c>
      <c r="B155" s="80"/>
      <c r="C155" s="80" t="s">
        <v>57</v>
      </c>
      <c r="D155" s="80" t="s">
        <v>191</v>
      </c>
      <c r="E155" s="80" t="s">
        <v>380</v>
      </c>
      <c r="F155" s="80" t="s">
        <v>105</v>
      </c>
      <c r="G155" s="64">
        <v>122.1</v>
      </c>
    </row>
    <row r="156" spans="1:7" ht="47.25">
      <c r="A156" s="70" t="s">
        <v>373</v>
      </c>
      <c r="B156" s="80"/>
      <c r="C156" s="80" t="s">
        <v>57</v>
      </c>
      <c r="D156" s="80" t="s">
        <v>191</v>
      </c>
      <c r="E156" s="80" t="s">
        <v>381</v>
      </c>
      <c r="F156" s="80"/>
      <c r="G156" s="64">
        <f>SUM(G157)</f>
        <v>1199.8</v>
      </c>
    </row>
    <row r="157" spans="1:7" ht="15.75">
      <c r="A157" s="70" t="s">
        <v>38</v>
      </c>
      <c r="B157" s="80"/>
      <c r="C157" s="80" t="s">
        <v>57</v>
      </c>
      <c r="D157" s="80" t="s">
        <v>191</v>
      </c>
      <c r="E157" s="80" t="s">
        <v>382</v>
      </c>
      <c r="F157" s="80"/>
      <c r="G157" s="64">
        <f>SUM(G158)</f>
        <v>1199.8</v>
      </c>
    </row>
    <row r="158" spans="1:7" ht="31.5">
      <c r="A158" s="70" t="s">
        <v>372</v>
      </c>
      <c r="B158" s="80"/>
      <c r="C158" s="80" t="s">
        <v>57</v>
      </c>
      <c r="D158" s="80" t="s">
        <v>191</v>
      </c>
      <c r="E158" s="80" t="s">
        <v>383</v>
      </c>
      <c r="F158" s="80"/>
      <c r="G158" s="64">
        <f>SUM(G159)</f>
        <v>1199.8</v>
      </c>
    </row>
    <row r="159" spans="1:7" ht="31.5">
      <c r="A159" s="70" t="s">
        <v>55</v>
      </c>
      <c r="B159" s="80"/>
      <c r="C159" s="80" t="s">
        <v>57</v>
      </c>
      <c r="D159" s="80" t="s">
        <v>191</v>
      </c>
      <c r="E159" s="80" t="s">
        <v>383</v>
      </c>
      <c r="F159" s="80" t="s">
        <v>100</v>
      </c>
      <c r="G159" s="64">
        <v>1199.8</v>
      </c>
    </row>
    <row r="160" spans="1:7" ht="31.5">
      <c r="A160" s="70" t="s">
        <v>374</v>
      </c>
      <c r="B160" s="80"/>
      <c r="C160" s="80" t="s">
        <v>57</v>
      </c>
      <c r="D160" s="80" t="s">
        <v>191</v>
      </c>
      <c r="E160" s="80" t="s">
        <v>384</v>
      </c>
      <c r="F160" s="80"/>
      <c r="G160" s="64">
        <f>SUM(G161)</f>
        <v>640</v>
      </c>
    </row>
    <row r="161" spans="1:7" ht="15.75">
      <c r="A161" s="70" t="s">
        <v>38</v>
      </c>
      <c r="B161" s="80"/>
      <c r="C161" s="80" t="s">
        <v>57</v>
      </c>
      <c r="D161" s="80" t="s">
        <v>191</v>
      </c>
      <c r="E161" s="80" t="s">
        <v>385</v>
      </c>
      <c r="F161" s="80"/>
      <c r="G161" s="64">
        <f>SUM(G162)</f>
        <v>640</v>
      </c>
    </row>
    <row r="162" spans="1:7" ht="31.5">
      <c r="A162" s="70" t="s">
        <v>55</v>
      </c>
      <c r="B162" s="80"/>
      <c r="C162" s="80" t="s">
        <v>57</v>
      </c>
      <c r="D162" s="80" t="s">
        <v>191</v>
      </c>
      <c r="E162" s="80" t="s">
        <v>385</v>
      </c>
      <c r="F162" s="80" t="s">
        <v>100</v>
      </c>
      <c r="G162" s="64">
        <v>640</v>
      </c>
    </row>
    <row r="163" spans="1:7" ht="15.75">
      <c r="A163" s="70" t="s">
        <v>215</v>
      </c>
      <c r="B163" s="80"/>
      <c r="C163" s="80" t="s">
        <v>57</v>
      </c>
      <c r="D163" s="80" t="s">
        <v>191</v>
      </c>
      <c r="E163" s="80" t="s">
        <v>216</v>
      </c>
      <c r="F163" s="80"/>
      <c r="G163" s="64">
        <f>SUM(G164)</f>
        <v>500</v>
      </c>
    </row>
    <row r="164" spans="1:7" ht="47.25">
      <c r="A164" s="70" t="s">
        <v>365</v>
      </c>
      <c r="B164" s="80"/>
      <c r="C164" s="80" t="s">
        <v>57</v>
      </c>
      <c r="D164" s="80" t="s">
        <v>191</v>
      </c>
      <c r="E164" s="80" t="s">
        <v>423</v>
      </c>
      <c r="F164" s="80"/>
      <c r="G164" s="64">
        <f>SUM(G165)</f>
        <v>500</v>
      </c>
    </row>
    <row r="165" spans="1:7" ht="31.5">
      <c r="A165" s="70" t="s">
        <v>422</v>
      </c>
      <c r="B165" s="80"/>
      <c r="C165" s="80" t="s">
        <v>57</v>
      </c>
      <c r="D165" s="80" t="s">
        <v>191</v>
      </c>
      <c r="E165" s="80" t="s">
        <v>424</v>
      </c>
      <c r="F165" s="80"/>
      <c r="G165" s="64">
        <f>SUM(G166)</f>
        <v>500</v>
      </c>
    </row>
    <row r="166" spans="1:7" ht="31.5">
      <c r="A166" s="70" t="s">
        <v>55</v>
      </c>
      <c r="B166" s="80"/>
      <c r="C166" s="80" t="s">
        <v>57</v>
      </c>
      <c r="D166" s="80" t="s">
        <v>191</v>
      </c>
      <c r="E166" s="80" t="s">
        <v>424</v>
      </c>
      <c r="F166" s="80" t="s">
        <v>100</v>
      </c>
      <c r="G166" s="64">
        <v>500</v>
      </c>
    </row>
    <row r="167" spans="1:7" ht="15.75">
      <c r="A167" s="51" t="s">
        <v>15</v>
      </c>
      <c r="B167" s="86"/>
      <c r="C167" s="53" t="s">
        <v>16</v>
      </c>
      <c r="D167" s="52"/>
      <c r="E167" s="52"/>
      <c r="F167" s="52"/>
      <c r="G167" s="54">
        <f>SUM(G191)+G168+G176</f>
        <v>188920.7</v>
      </c>
    </row>
    <row r="168" spans="1:7" ht="15.75">
      <c r="A168" s="70" t="s">
        <v>17</v>
      </c>
      <c r="B168" s="80"/>
      <c r="C168" s="80" t="s">
        <v>16</v>
      </c>
      <c r="D168" s="80" t="s">
        <v>18</v>
      </c>
      <c r="E168" s="80"/>
      <c r="F168" s="80"/>
      <c r="G168" s="64">
        <f>SUM(G169)</f>
        <v>79020.9</v>
      </c>
    </row>
    <row r="169" spans="1:7" ht="31.5">
      <c r="A169" s="70" t="s">
        <v>345</v>
      </c>
      <c r="B169" s="80"/>
      <c r="C169" s="80" t="s">
        <v>16</v>
      </c>
      <c r="D169" s="80" t="s">
        <v>18</v>
      </c>
      <c r="E169" s="80" t="s">
        <v>386</v>
      </c>
      <c r="F169" s="80"/>
      <c r="G169" s="64">
        <f>SUM(G170)</f>
        <v>79020.9</v>
      </c>
    </row>
    <row r="170" spans="1:7" ht="31.5">
      <c r="A170" s="70" t="s">
        <v>346</v>
      </c>
      <c r="B170" s="80"/>
      <c r="C170" s="80" t="s">
        <v>16</v>
      </c>
      <c r="D170" s="80" t="s">
        <v>18</v>
      </c>
      <c r="E170" s="80" t="s">
        <v>387</v>
      </c>
      <c r="F170" s="80"/>
      <c r="G170" s="64">
        <f>SUM(G171)</f>
        <v>79020.9</v>
      </c>
    </row>
    <row r="171" spans="1:7" ht="47.25">
      <c r="A171" s="70" t="s">
        <v>21</v>
      </c>
      <c r="B171" s="80"/>
      <c r="C171" s="80" t="s">
        <v>16</v>
      </c>
      <c r="D171" s="80" t="s">
        <v>18</v>
      </c>
      <c r="E171" s="80" t="s">
        <v>388</v>
      </c>
      <c r="F171" s="80"/>
      <c r="G171" s="64">
        <f>SUM(G172+G174)</f>
        <v>79020.9</v>
      </c>
    </row>
    <row r="172" spans="1:7" ht="15.75">
      <c r="A172" s="70" t="s">
        <v>23</v>
      </c>
      <c r="B172" s="80"/>
      <c r="C172" s="80" t="s">
        <v>16</v>
      </c>
      <c r="D172" s="80" t="s">
        <v>18</v>
      </c>
      <c r="E172" s="80" t="s">
        <v>389</v>
      </c>
      <c r="F172" s="80"/>
      <c r="G172" s="64">
        <f>SUM(G173)</f>
        <v>33420.9</v>
      </c>
    </row>
    <row r="173" spans="1:7" ht="15.75">
      <c r="A173" s="70" t="s">
        <v>25</v>
      </c>
      <c r="B173" s="80"/>
      <c r="C173" s="80" t="s">
        <v>16</v>
      </c>
      <c r="D173" s="80" t="s">
        <v>18</v>
      </c>
      <c r="E173" s="80" t="s">
        <v>389</v>
      </c>
      <c r="F173" s="80" t="s">
        <v>105</v>
      </c>
      <c r="G173" s="64">
        <v>33420.9</v>
      </c>
    </row>
    <row r="174" spans="1:7" ht="15.75">
      <c r="A174" s="70" t="s">
        <v>347</v>
      </c>
      <c r="B174" s="80"/>
      <c r="C174" s="80" t="s">
        <v>16</v>
      </c>
      <c r="D174" s="80" t="s">
        <v>18</v>
      </c>
      <c r="E174" s="80" t="s">
        <v>390</v>
      </c>
      <c r="F174" s="80"/>
      <c r="G174" s="64">
        <f>SUM(G175)</f>
        <v>45600</v>
      </c>
    </row>
    <row r="175" spans="1:7" ht="15.75">
      <c r="A175" s="70" t="s">
        <v>25</v>
      </c>
      <c r="B175" s="80"/>
      <c r="C175" s="80" t="s">
        <v>16</v>
      </c>
      <c r="D175" s="80" t="s">
        <v>18</v>
      </c>
      <c r="E175" s="80" t="s">
        <v>390</v>
      </c>
      <c r="F175" s="80" t="s">
        <v>105</v>
      </c>
      <c r="G175" s="64">
        <v>45600</v>
      </c>
    </row>
    <row r="176" spans="1:7" ht="15.75">
      <c r="A176" s="70" t="s">
        <v>348</v>
      </c>
      <c r="B176" s="80"/>
      <c r="C176" s="80" t="s">
        <v>16</v>
      </c>
      <c r="D176" s="80" t="s">
        <v>191</v>
      </c>
      <c r="E176" s="80"/>
      <c r="F176" s="80"/>
      <c r="G176" s="64">
        <f>SUM(G177,G183)+G187</f>
        <v>101278.6</v>
      </c>
    </row>
    <row r="177" spans="1:7" ht="31.5">
      <c r="A177" s="70" t="s">
        <v>345</v>
      </c>
      <c r="B177" s="80"/>
      <c r="C177" s="80" t="s">
        <v>16</v>
      </c>
      <c r="D177" s="80" t="s">
        <v>191</v>
      </c>
      <c r="E177" s="80" t="s">
        <v>386</v>
      </c>
      <c r="F177" s="80"/>
      <c r="G177" s="64">
        <f>SUM(G178)</f>
        <v>94883.1</v>
      </c>
    </row>
    <row r="178" spans="1:7" ht="15.75">
      <c r="A178" s="70" t="s">
        <v>349</v>
      </c>
      <c r="B178" s="80"/>
      <c r="C178" s="80" t="s">
        <v>16</v>
      </c>
      <c r="D178" s="80" t="s">
        <v>191</v>
      </c>
      <c r="E178" s="80" t="s">
        <v>391</v>
      </c>
      <c r="F178" s="80"/>
      <c r="G178" s="64">
        <f>SUM(G179)</f>
        <v>94883.1</v>
      </c>
    </row>
    <row r="179" spans="1:7" ht="15.75">
      <c r="A179" s="70" t="s">
        <v>38</v>
      </c>
      <c r="B179" s="80"/>
      <c r="C179" s="80" t="s">
        <v>16</v>
      </c>
      <c r="D179" s="80" t="s">
        <v>191</v>
      </c>
      <c r="E179" s="80" t="s">
        <v>392</v>
      </c>
      <c r="F179" s="80"/>
      <c r="G179" s="64">
        <f>SUM(G180)</f>
        <v>94883.1</v>
      </c>
    </row>
    <row r="180" spans="1:7" ht="31.5">
      <c r="A180" s="70" t="s">
        <v>350</v>
      </c>
      <c r="B180" s="80"/>
      <c r="C180" s="80" t="s">
        <v>16</v>
      </c>
      <c r="D180" s="80" t="s">
        <v>191</v>
      </c>
      <c r="E180" s="80" t="s">
        <v>393</v>
      </c>
      <c r="F180" s="80"/>
      <c r="G180" s="64">
        <f>SUM(G181:G182)</f>
        <v>94883.1</v>
      </c>
    </row>
    <row r="181" spans="1:7" ht="31.5">
      <c r="A181" s="70" t="s">
        <v>55</v>
      </c>
      <c r="B181" s="80"/>
      <c r="C181" s="80" t="s">
        <v>16</v>
      </c>
      <c r="D181" s="80" t="s">
        <v>191</v>
      </c>
      <c r="E181" s="80" t="s">
        <v>393</v>
      </c>
      <c r="F181" s="80" t="s">
        <v>100</v>
      </c>
      <c r="G181" s="64">
        <f>70150+24000</f>
        <v>94150</v>
      </c>
    </row>
    <row r="182" spans="1:7" ht="31.5">
      <c r="A182" s="70" t="s">
        <v>358</v>
      </c>
      <c r="B182" s="80"/>
      <c r="C182" s="80" t="s">
        <v>16</v>
      </c>
      <c r="D182" s="80" t="s">
        <v>191</v>
      </c>
      <c r="E182" s="80" t="s">
        <v>393</v>
      </c>
      <c r="F182" s="80" t="s">
        <v>312</v>
      </c>
      <c r="G182" s="64">
        <v>733.1</v>
      </c>
    </row>
    <row r="183" spans="1:7" ht="31.5">
      <c r="A183" s="70" t="s">
        <v>439</v>
      </c>
      <c r="B183" s="80"/>
      <c r="C183" s="80" t="s">
        <v>16</v>
      </c>
      <c r="D183" s="80" t="s">
        <v>191</v>
      </c>
      <c r="E183" s="80" t="s">
        <v>394</v>
      </c>
      <c r="F183" s="80"/>
      <c r="G183" s="64">
        <f>SUM(G184)</f>
        <v>6000</v>
      </c>
    </row>
    <row r="184" spans="1:7" ht="15.75">
      <c r="A184" s="70" t="s">
        <v>38</v>
      </c>
      <c r="B184" s="80"/>
      <c r="C184" s="80" t="s">
        <v>16</v>
      </c>
      <c r="D184" s="80" t="s">
        <v>191</v>
      </c>
      <c r="E184" s="80" t="s">
        <v>395</v>
      </c>
      <c r="F184" s="80"/>
      <c r="G184" s="64">
        <f>SUM(G185)</f>
        <v>6000</v>
      </c>
    </row>
    <row r="185" spans="1:7" ht="31.5">
      <c r="A185" s="70" t="s">
        <v>350</v>
      </c>
      <c r="B185" s="80"/>
      <c r="C185" s="80" t="s">
        <v>16</v>
      </c>
      <c r="D185" s="80" t="s">
        <v>191</v>
      </c>
      <c r="E185" s="80" t="s">
        <v>396</v>
      </c>
      <c r="F185" s="80"/>
      <c r="G185" s="64">
        <f>SUM(G186)</f>
        <v>6000</v>
      </c>
    </row>
    <row r="186" spans="1:7" ht="31.5">
      <c r="A186" s="70" t="s">
        <v>55</v>
      </c>
      <c r="B186" s="80"/>
      <c r="C186" s="80" t="s">
        <v>16</v>
      </c>
      <c r="D186" s="80" t="s">
        <v>191</v>
      </c>
      <c r="E186" s="80" t="s">
        <v>396</v>
      </c>
      <c r="F186" s="80" t="s">
        <v>100</v>
      </c>
      <c r="G186" s="64">
        <v>6000</v>
      </c>
    </row>
    <row r="187" spans="1:7" ht="31.5">
      <c r="A187" s="70" t="s">
        <v>304</v>
      </c>
      <c r="B187" s="80"/>
      <c r="C187" s="80" t="s">
        <v>16</v>
      </c>
      <c r="D187" s="80" t="s">
        <v>191</v>
      </c>
      <c r="E187" s="80" t="s">
        <v>305</v>
      </c>
      <c r="F187" s="80"/>
      <c r="G187" s="64">
        <f>SUM(G188)</f>
        <v>395.5</v>
      </c>
    </row>
    <row r="188" spans="1:7" ht="31.5">
      <c r="A188" s="70" t="s">
        <v>356</v>
      </c>
      <c r="B188" s="80"/>
      <c r="C188" s="80" t="s">
        <v>16</v>
      </c>
      <c r="D188" s="80" t="s">
        <v>191</v>
      </c>
      <c r="E188" s="80" t="s">
        <v>406</v>
      </c>
      <c r="F188" s="80"/>
      <c r="G188" s="64">
        <f>SUM(G189)</f>
        <v>395.5</v>
      </c>
    </row>
    <row r="189" spans="1:7" ht="31.5">
      <c r="A189" s="70" t="s">
        <v>357</v>
      </c>
      <c r="B189" s="80"/>
      <c r="C189" s="80" t="s">
        <v>16</v>
      </c>
      <c r="D189" s="80" t="s">
        <v>191</v>
      </c>
      <c r="E189" s="80" t="s">
        <v>407</v>
      </c>
      <c r="F189" s="80"/>
      <c r="G189" s="64">
        <f>SUM(G190)</f>
        <v>395.5</v>
      </c>
    </row>
    <row r="190" spans="1:7" ht="31.5">
      <c r="A190" s="70" t="s">
        <v>358</v>
      </c>
      <c r="B190" s="80"/>
      <c r="C190" s="80" t="s">
        <v>16</v>
      </c>
      <c r="D190" s="80" t="s">
        <v>191</v>
      </c>
      <c r="E190" s="80" t="s">
        <v>407</v>
      </c>
      <c r="F190" s="80" t="s">
        <v>312</v>
      </c>
      <c r="G190" s="64">
        <v>395.5</v>
      </c>
    </row>
    <row r="191" spans="1:7" ht="15.75">
      <c r="A191" s="51" t="s">
        <v>26</v>
      </c>
      <c r="B191" s="86"/>
      <c r="C191" s="53" t="s">
        <v>16</v>
      </c>
      <c r="D191" s="53" t="s">
        <v>27</v>
      </c>
      <c r="E191" s="52"/>
      <c r="F191" s="52"/>
      <c r="G191" s="54">
        <f>SUM(G192+G209)+G203</f>
        <v>8621.2</v>
      </c>
    </row>
    <row r="192" spans="1:7" ht="15.75">
      <c r="A192" s="51" t="s">
        <v>318</v>
      </c>
      <c r="B192" s="86"/>
      <c r="C192" s="53" t="s">
        <v>16</v>
      </c>
      <c r="D192" s="53" t="s">
        <v>27</v>
      </c>
      <c r="E192" s="52" t="s">
        <v>285</v>
      </c>
      <c r="F192" s="52"/>
      <c r="G192" s="54">
        <f>SUM(G193+G197)</f>
        <v>3010</v>
      </c>
    </row>
    <row r="193" spans="1:7" ht="31.5">
      <c r="A193" s="165" t="s">
        <v>784</v>
      </c>
      <c r="B193" s="86"/>
      <c r="C193" s="53" t="s">
        <v>16</v>
      </c>
      <c r="D193" s="53" t="s">
        <v>27</v>
      </c>
      <c r="E193" s="53" t="s">
        <v>286</v>
      </c>
      <c r="F193" s="52"/>
      <c r="G193" s="54">
        <f>SUM(G194)</f>
        <v>1500</v>
      </c>
    </row>
    <row r="194" spans="1:7" ht="47.25">
      <c r="A194" s="66" t="s">
        <v>21</v>
      </c>
      <c r="B194" s="129"/>
      <c r="C194" s="53" t="s">
        <v>16</v>
      </c>
      <c r="D194" s="53" t="s">
        <v>27</v>
      </c>
      <c r="E194" s="53" t="s">
        <v>525</v>
      </c>
      <c r="F194" s="52"/>
      <c r="G194" s="54">
        <f>SUM(G195)</f>
        <v>1500</v>
      </c>
    </row>
    <row r="195" spans="1:7" ht="31.5">
      <c r="A195" s="51" t="s">
        <v>287</v>
      </c>
      <c r="B195" s="86"/>
      <c r="C195" s="53" t="s">
        <v>16</v>
      </c>
      <c r="D195" s="53" t="s">
        <v>27</v>
      </c>
      <c r="E195" s="53" t="s">
        <v>344</v>
      </c>
      <c r="F195" s="53"/>
      <c r="G195" s="54">
        <f>SUM(G196)</f>
        <v>1500</v>
      </c>
    </row>
    <row r="196" spans="1:7" ht="15.75">
      <c r="A196" s="51" t="s">
        <v>25</v>
      </c>
      <c r="B196" s="86"/>
      <c r="C196" s="53" t="s">
        <v>16</v>
      </c>
      <c r="D196" s="53" t="s">
        <v>27</v>
      </c>
      <c r="E196" s="53" t="s">
        <v>344</v>
      </c>
      <c r="F196" s="53" t="s">
        <v>105</v>
      </c>
      <c r="G196" s="54">
        <f>500+1000</f>
        <v>1500</v>
      </c>
    </row>
    <row r="197" spans="1:7" ht="15.75">
      <c r="A197" s="51" t="s">
        <v>288</v>
      </c>
      <c r="B197" s="86"/>
      <c r="C197" s="53" t="s">
        <v>16</v>
      </c>
      <c r="D197" s="53" t="s">
        <v>27</v>
      </c>
      <c r="E197" s="53" t="s">
        <v>289</v>
      </c>
      <c r="F197" s="52"/>
      <c r="G197" s="54">
        <f>SUM(G198)</f>
        <v>1510</v>
      </c>
    </row>
    <row r="198" spans="1:7" ht="31.5">
      <c r="A198" s="66" t="s">
        <v>72</v>
      </c>
      <c r="B198" s="129"/>
      <c r="C198" s="53" t="s">
        <v>16</v>
      </c>
      <c r="D198" s="53" t="s">
        <v>27</v>
      </c>
      <c r="E198" s="53" t="s">
        <v>644</v>
      </c>
      <c r="F198" s="52"/>
      <c r="G198" s="54">
        <f>SUM(G199)+G201</f>
        <v>1510</v>
      </c>
    </row>
    <row r="199" spans="1:7" ht="31.5">
      <c r="A199" s="51" t="s">
        <v>653</v>
      </c>
      <c r="B199" s="86"/>
      <c r="C199" s="53" t="s">
        <v>16</v>
      </c>
      <c r="D199" s="53" t="s">
        <v>27</v>
      </c>
      <c r="E199" s="53" t="s">
        <v>342</v>
      </c>
      <c r="F199" s="53"/>
      <c r="G199" s="54">
        <f>SUM(G200)</f>
        <v>1500</v>
      </c>
    </row>
    <row r="200" spans="1:7" ht="31.5">
      <c r="A200" s="51" t="s">
        <v>282</v>
      </c>
      <c r="B200" s="86"/>
      <c r="C200" s="53" t="s">
        <v>16</v>
      </c>
      <c r="D200" s="53" t="s">
        <v>27</v>
      </c>
      <c r="E200" s="53" t="s">
        <v>342</v>
      </c>
      <c r="F200" s="53" t="s">
        <v>134</v>
      </c>
      <c r="G200" s="54">
        <v>1500</v>
      </c>
    </row>
    <row r="201" spans="1:7" ht="47.25">
      <c r="A201" s="51" t="s">
        <v>676</v>
      </c>
      <c r="B201" s="86"/>
      <c r="C201" s="53" t="s">
        <v>16</v>
      </c>
      <c r="D201" s="53" t="s">
        <v>27</v>
      </c>
      <c r="E201" s="53" t="s">
        <v>654</v>
      </c>
      <c r="F201" s="53"/>
      <c r="G201" s="54">
        <f>G202</f>
        <v>10</v>
      </c>
    </row>
    <row r="202" spans="1:7" ht="31.5">
      <c r="A202" s="51" t="s">
        <v>282</v>
      </c>
      <c r="B202" s="86"/>
      <c r="C202" s="53" t="s">
        <v>16</v>
      </c>
      <c r="D202" s="53" t="s">
        <v>27</v>
      </c>
      <c r="E202" s="53" t="s">
        <v>654</v>
      </c>
      <c r="F202" s="53" t="s">
        <v>134</v>
      </c>
      <c r="G202" s="54">
        <v>10</v>
      </c>
    </row>
    <row r="203" spans="1:7" ht="31.5">
      <c r="A203" s="70" t="s">
        <v>351</v>
      </c>
      <c r="B203" s="80"/>
      <c r="C203" s="80" t="s">
        <v>16</v>
      </c>
      <c r="D203" s="80" t="s">
        <v>27</v>
      </c>
      <c r="E203" s="80" t="s">
        <v>397</v>
      </c>
      <c r="F203" s="80"/>
      <c r="G203" s="64">
        <f>SUM(G204)</f>
        <v>5061.2</v>
      </c>
    </row>
    <row r="204" spans="1:7" ht="31.5">
      <c r="A204" s="70" t="s">
        <v>352</v>
      </c>
      <c r="B204" s="80"/>
      <c r="C204" s="80" t="s">
        <v>16</v>
      </c>
      <c r="D204" s="80" t="s">
        <v>27</v>
      </c>
      <c r="E204" s="80" t="s">
        <v>398</v>
      </c>
      <c r="F204" s="80"/>
      <c r="G204" s="64">
        <f>SUM(G205)</f>
        <v>5061.2</v>
      </c>
    </row>
    <row r="205" spans="1:7" ht="31.5">
      <c r="A205" s="70" t="s">
        <v>48</v>
      </c>
      <c r="B205" s="80"/>
      <c r="C205" s="80" t="s">
        <v>16</v>
      </c>
      <c r="D205" s="80" t="s">
        <v>27</v>
      </c>
      <c r="E205" s="80" t="s">
        <v>399</v>
      </c>
      <c r="F205" s="80"/>
      <c r="G205" s="64">
        <f>SUM(G206:G208)</f>
        <v>5061.2</v>
      </c>
    </row>
    <row r="206" spans="1:7" ht="47.25">
      <c r="A206" s="70" t="s">
        <v>54</v>
      </c>
      <c r="B206" s="80"/>
      <c r="C206" s="80" t="s">
        <v>16</v>
      </c>
      <c r="D206" s="80" t="s">
        <v>27</v>
      </c>
      <c r="E206" s="80" t="s">
        <v>399</v>
      </c>
      <c r="F206" s="80" t="s">
        <v>98</v>
      </c>
      <c r="G206" s="64">
        <v>3995.8</v>
      </c>
    </row>
    <row r="207" spans="1:7" ht="31.5">
      <c r="A207" s="70" t="s">
        <v>55</v>
      </c>
      <c r="B207" s="80"/>
      <c r="C207" s="80" t="s">
        <v>16</v>
      </c>
      <c r="D207" s="80" t="s">
        <v>27</v>
      </c>
      <c r="E207" s="80" t="s">
        <v>399</v>
      </c>
      <c r="F207" s="80" t="s">
        <v>100</v>
      </c>
      <c r="G207" s="64">
        <v>1032</v>
      </c>
    </row>
    <row r="208" spans="1:7" ht="15.75">
      <c r="A208" s="70" t="s">
        <v>25</v>
      </c>
      <c r="B208" s="80"/>
      <c r="C208" s="80" t="s">
        <v>16</v>
      </c>
      <c r="D208" s="80" t="s">
        <v>27</v>
      </c>
      <c r="E208" s="80" t="s">
        <v>399</v>
      </c>
      <c r="F208" s="80" t="s">
        <v>105</v>
      </c>
      <c r="G208" s="64">
        <v>33.4</v>
      </c>
    </row>
    <row r="209" spans="1:7" ht="31.5">
      <c r="A209" s="51" t="s">
        <v>315</v>
      </c>
      <c r="B209" s="86"/>
      <c r="C209" s="53" t="s">
        <v>16</v>
      </c>
      <c r="D209" s="53" t="s">
        <v>27</v>
      </c>
      <c r="E209" s="52" t="s">
        <v>263</v>
      </c>
      <c r="F209" s="53"/>
      <c r="G209" s="54">
        <f>SUM(G210)</f>
        <v>550</v>
      </c>
    </row>
    <row r="210" spans="1:7" ht="47.25">
      <c r="A210" s="51" t="s">
        <v>291</v>
      </c>
      <c r="B210" s="86"/>
      <c r="C210" s="53" t="s">
        <v>16</v>
      </c>
      <c r="D210" s="53" t="s">
        <v>27</v>
      </c>
      <c r="E210" s="52" t="s">
        <v>292</v>
      </c>
      <c r="F210" s="53"/>
      <c r="G210" s="54">
        <f>SUM(G211)</f>
        <v>550</v>
      </c>
    </row>
    <row r="211" spans="1:7" ht="31.5">
      <c r="A211" s="70" t="s">
        <v>55</v>
      </c>
      <c r="B211" s="86"/>
      <c r="C211" s="53" t="s">
        <v>16</v>
      </c>
      <c r="D211" s="53" t="s">
        <v>27</v>
      </c>
      <c r="E211" s="52" t="s">
        <v>292</v>
      </c>
      <c r="F211" s="53" t="s">
        <v>100</v>
      </c>
      <c r="G211" s="54">
        <f>490+60</f>
        <v>550</v>
      </c>
    </row>
    <row r="212" spans="1:7" ht="15.75">
      <c r="A212" s="51" t="s">
        <v>293</v>
      </c>
      <c r="B212" s="86"/>
      <c r="C212" s="53" t="s">
        <v>187</v>
      </c>
      <c r="D212" s="53"/>
      <c r="E212" s="52"/>
      <c r="F212" s="53"/>
      <c r="G212" s="54">
        <f>SUM(G213+G221+G243+G268)</f>
        <v>251792</v>
      </c>
    </row>
    <row r="213" spans="1:7" ht="15.75">
      <c r="A213" s="51" t="s">
        <v>194</v>
      </c>
      <c r="B213" s="86"/>
      <c r="C213" s="53" t="s">
        <v>187</v>
      </c>
      <c r="D213" s="53" t="s">
        <v>37</v>
      </c>
      <c r="E213" s="52"/>
      <c r="F213" s="53"/>
      <c r="G213" s="54">
        <f>SUM(G218)+G214</f>
        <v>35037.2</v>
      </c>
    </row>
    <row r="214" spans="1:7" ht="31.5">
      <c r="A214" s="51" t="s">
        <v>722</v>
      </c>
      <c r="B214" s="86"/>
      <c r="C214" s="53" t="s">
        <v>187</v>
      </c>
      <c r="D214" s="53" t="s">
        <v>37</v>
      </c>
      <c r="E214" s="52" t="s">
        <v>719</v>
      </c>
      <c r="F214" s="53"/>
      <c r="G214" s="54">
        <f>SUM(G215)</f>
        <v>35037.2</v>
      </c>
    </row>
    <row r="215" spans="1:7" ht="47.25">
      <c r="A215" s="51" t="s">
        <v>717</v>
      </c>
      <c r="B215" s="86"/>
      <c r="C215" s="53" t="s">
        <v>187</v>
      </c>
      <c r="D215" s="53" t="s">
        <v>37</v>
      </c>
      <c r="E215" s="52" t="s">
        <v>720</v>
      </c>
      <c r="F215" s="53"/>
      <c r="G215" s="54">
        <f>SUM(G216)</f>
        <v>35037.2</v>
      </c>
    </row>
    <row r="216" spans="1:7" ht="63">
      <c r="A216" s="51" t="s">
        <v>718</v>
      </c>
      <c r="B216" s="86"/>
      <c r="C216" s="53" t="s">
        <v>187</v>
      </c>
      <c r="D216" s="53" t="s">
        <v>37</v>
      </c>
      <c r="E216" s="52" t="s">
        <v>721</v>
      </c>
      <c r="F216" s="53"/>
      <c r="G216" s="54">
        <f>SUM(G217)</f>
        <v>35037.2</v>
      </c>
    </row>
    <row r="217" spans="1:7" ht="31.5">
      <c r="A217" s="70" t="s">
        <v>358</v>
      </c>
      <c r="B217" s="86"/>
      <c r="C217" s="53" t="s">
        <v>187</v>
      </c>
      <c r="D217" s="53" t="s">
        <v>37</v>
      </c>
      <c r="E217" s="52" t="s">
        <v>721</v>
      </c>
      <c r="F217" s="53" t="s">
        <v>312</v>
      </c>
      <c r="G217" s="54">
        <v>35037.2</v>
      </c>
    </row>
    <row r="218" spans="1:7" ht="31.5" hidden="1">
      <c r="A218" s="51" t="s">
        <v>294</v>
      </c>
      <c r="B218" s="86"/>
      <c r="C218" s="53" t="s">
        <v>187</v>
      </c>
      <c r="D218" s="53" t="s">
        <v>37</v>
      </c>
      <c r="E218" s="52" t="s">
        <v>295</v>
      </c>
      <c r="F218" s="53"/>
      <c r="G218" s="54">
        <f>SUM(G219)</f>
        <v>0</v>
      </c>
    </row>
    <row r="219" spans="1:7" ht="15.75" hidden="1">
      <c r="A219" s="51" t="s">
        <v>296</v>
      </c>
      <c r="B219" s="86"/>
      <c r="C219" s="53" t="s">
        <v>297</v>
      </c>
      <c r="D219" s="53" t="s">
        <v>37</v>
      </c>
      <c r="E219" s="52" t="s">
        <v>298</v>
      </c>
      <c r="F219" s="53"/>
      <c r="G219" s="54">
        <f>SUM(G220)</f>
        <v>0</v>
      </c>
    </row>
    <row r="220" spans="1:7" ht="15.75" hidden="1">
      <c r="A220" s="51" t="s">
        <v>99</v>
      </c>
      <c r="B220" s="86"/>
      <c r="C220" s="53" t="s">
        <v>297</v>
      </c>
      <c r="D220" s="53" t="s">
        <v>37</v>
      </c>
      <c r="E220" s="52" t="s">
        <v>298</v>
      </c>
      <c r="F220" s="53" t="s">
        <v>100</v>
      </c>
      <c r="G220" s="54"/>
    </row>
    <row r="221" spans="1:7" ht="15.75">
      <c r="A221" s="70" t="s">
        <v>195</v>
      </c>
      <c r="B221" s="80"/>
      <c r="C221" s="80" t="s">
        <v>187</v>
      </c>
      <c r="D221" s="80" t="s">
        <v>47</v>
      </c>
      <c r="E221" s="80"/>
      <c r="F221" s="80"/>
      <c r="G221" s="64">
        <f>SUM(G222+G227+G232+G236)</f>
        <v>57526.8</v>
      </c>
    </row>
    <row r="222" spans="1:7" ht="47.25">
      <c r="A222" s="162" t="s">
        <v>752</v>
      </c>
      <c r="B222" s="80"/>
      <c r="C222" s="80" t="s">
        <v>187</v>
      </c>
      <c r="D222" s="80" t="s">
        <v>47</v>
      </c>
      <c r="E222" s="73" t="s">
        <v>757</v>
      </c>
      <c r="F222" s="73"/>
      <c r="G222" s="74">
        <f>SUM(G223)</f>
        <v>15000</v>
      </c>
    </row>
    <row r="223" spans="1:7" ht="15.75">
      <c r="A223" s="12" t="s">
        <v>359</v>
      </c>
      <c r="B223" s="80"/>
      <c r="C223" s="80" t="s">
        <v>187</v>
      </c>
      <c r="D223" s="80" t="s">
        <v>47</v>
      </c>
      <c r="E223" s="73" t="s">
        <v>758</v>
      </c>
      <c r="F223" s="73"/>
      <c r="G223" s="74">
        <f>SUM(G224)</f>
        <v>15000</v>
      </c>
    </row>
    <row r="224" spans="1:7" ht="47.25">
      <c r="A224" s="77" t="s">
        <v>611</v>
      </c>
      <c r="B224" s="80"/>
      <c r="C224" s="80" t="s">
        <v>187</v>
      </c>
      <c r="D224" s="80" t="s">
        <v>47</v>
      </c>
      <c r="E224" s="73" t="s">
        <v>759</v>
      </c>
      <c r="F224" s="73"/>
      <c r="G224" s="74">
        <f>SUM(G225)</f>
        <v>15000</v>
      </c>
    </row>
    <row r="225" spans="1:7" ht="63">
      <c r="A225" s="70" t="s">
        <v>767</v>
      </c>
      <c r="B225" s="80"/>
      <c r="C225" s="80" t="s">
        <v>187</v>
      </c>
      <c r="D225" s="80" t="s">
        <v>47</v>
      </c>
      <c r="E225" s="73" t="s">
        <v>766</v>
      </c>
      <c r="F225" s="73"/>
      <c r="G225" s="74">
        <f>SUM(G226)</f>
        <v>15000</v>
      </c>
    </row>
    <row r="226" spans="1:7" ht="31.5">
      <c r="A226" s="70" t="s">
        <v>55</v>
      </c>
      <c r="B226" s="80"/>
      <c r="C226" s="80" t="s">
        <v>187</v>
      </c>
      <c r="D226" s="80" t="s">
        <v>47</v>
      </c>
      <c r="E226" s="73" t="s">
        <v>766</v>
      </c>
      <c r="F226" s="73" t="s">
        <v>100</v>
      </c>
      <c r="G226" s="74">
        <v>15000</v>
      </c>
    </row>
    <row r="227" spans="1:7" ht="47.25">
      <c r="A227" s="70" t="s">
        <v>353</v>
      </c>
      <c r="B227" s="80"/>
      <c r="C227" s="80" t="s">
        <v>187</v>
      </c>
      <c r="D227" s="80" t="s">
        <v>47</v>
      </c>
      <c r="E227" s="80" t="s">
        <v>400</v>
      </c>
      <c r="F227" s="80"/>
      <c r="G227" s="64">
        <f>SUM(G228)</f>
        <v>38959.3</v>
      </c>
    </row>
    <row r="228" spans="1:7" ht="15.75">
      <c r="A228" s="70" t="s">
        <v>38</v>
      </c>
      <c r="B228" s="80"/>
      <c r="C228" s="80" t="s">
        <v>187</v>
      </c>
      <c r="D228" s="80" t="s">
        <v>47</v>
      </c>
      <c r="E228" s="80" t="s">
        <v>401</v>
      </c>
      <c r="F228" s="80"/>
      <c r="G228" s="64">
        <f>SUM(G229)</f>
        <v>38959.3</v>
      </c>
    </row>
    <row r="229" spans="1:7" ht="15.75">
      <c r="A229" s="70" t="s">
        <v>354</v>
      </c>
      <c r="B229" s="80"/>
      <c r="C229" s="80" t="s">
        <v>187</v>
      </c>
      <c r="D229" s="80" t="s">
        <v>47</v>
      </c>
      <c r="E229" s="80" t="s">
        <v>402</v>
      </c>
      <c r="F229" s="80"/>
      <c r="G229" s="64">
        <f>SUM(G230:G231)</f>
        <v>38959.3</v>
      </c>
    </row>
    <row r="230" spans="1:7" ht="31.5">
      <c r="A230" s="70" t="s">
        <v>55</v>
      </c>
      <c r="B230" s="80"/>
      <c r="C230" s="80" t="s">
        <v>187</v>
      </c>
      <c r="D230" s="80" t="s">
        <v>47</v>
      </c>
      <c r="E230" s="80" t="s">
        <v>402</v>
      </c>
      <c r="F230" s="80" t="s">
        <v>100</v>
      </c>
      <c r="G230" s="64">
        <v>4935.4</v>
      </c>
    </row>
    <row r="231" spans="1:7" ht="15.75">
      <c r="A231" s="70" t="s">
        <v>25</v>
      </c>
      <c r="B231" s="80"/>
      <c r="C231" s="80" t="s">
        <v>187</v>
      </c>
      <c r="D231" s="80" t="s">
        <v>47</v>
      </c>
      <c r="E231" s="80" t="s">
        <v>402</v>
      </c>
      <c r="F231" s="80" t="s">
        <v>105</v>
      </c>
      <c r="G231" s="64">
        <v>34023.9</v>
      </c>
    </row>
    <row r="232" spans="1:7" ht="31.5">
      <c r="A232" s="70" t="s">
        <v>355</v>
      </c>
      <c r="B232" s="80"/>
      <c r="C232" s="80" t="s">
        <v>187</v>
      </c>
      <c r="D232" s="80" t="s">
        <v>47</v>
      </c>
      <c r="E232" s="80" t="s">
        <v>403</v>
      </c>
      <c r="F232" s="80"/>
      <c r="G232" s="64">
        <f>SUM(G233)</f>
        <v>1007</v>
      </c>
    </row>
    <row r="233" spans="1:7" ht="15.75">
      <c r="A233" s="70" t="s">
        <v>38</v>
      </c>
      <c r="B233" s="80"/>
      <c r="C233" s="80" t="s">
        <v>187</v>
      </c>
      <c r="D233" s="80" t="s">
        <v>47</v>
      </c>
      <c r="E233" s="80" t="s">
        <v>404</v>
      </c>
      <c r="F233" s="80"/>
      <c r="G233" s="64">
        <f>SUM(G234)</f>
        <v>1007</v>
      </c>
    </row>
    <row r="234" spans="1:7" ht="15.75">
      <c r="A234" s="70" t="s">
        <v>354</v>
      </c>
      <c r="B234" s="80"/>
      <c r="C234" s="80" t="s">
        <v>187</v>
      </c>
      <c r="D234" s="80" t="s">
        <v>47</v>
      </c>
      <c r="E234" s="80" t="s">
        <v>405</v>
      </c>
      <c r="F234" s="80"/>
      <c r="G234" s="64">
        <f>SUM(G235:G235)</f>
        <v>1007</v>
      </c>
    </row>
    <row r="235" spans="1:7" ht="31.5">
      <c r="A235" s="70" t="s">
        <v>55</v>
      </c>
      <c r="B235" s="80"/>
      <c r="C235" s="80" t="s">
        <v>187</v>
      </c>
      <c r="D235" s="80" t="s">
        <v>47</v>
      </c>
      <c r="E235" s="80" t="s">
        <v>405</v>
      </c>
      <c r="F235" s="80" t="s">
        <v>100</v>
      </c>
      <c r="G235" s="64">
        <f>1067-60</f>
        <v>1007</v>
      </c>
    </row>
    <row r="236" spans="1:7" ht="31.5">
      <c r="A236" s="70" t="s">
        <v>304</v>
      </c>
      <c r="B236" s="80"/>
      <c r="C236" s="80" t="s">
        <v>187</v>
      </c>
      <c r="D236" s="80" t="s">
        <v>47</v>
      </c>
      <c r="E236" s="80" t="s">
        <v>305</v>
      </c>
      <c r="F236" s="80"/>
      <c r="G236" s="64">
        <f>SUM(G237,G240)</f>
        <v>2560.5</v>
      </c>
    </row>
    <row r="237" spans="1:7" ht="31.5" hidden="1">
      <c r="A237" s="70" t="s">
        <v>356</v>
      </c>
      <c r="B237" s="80"/>
      <c r="C237" s="80" t="s">
        <v>187</v>
      </c>
      <c r="D237" s="80" t="s">
        <v>47</v>
      </c>
      <c r="E237" s="80" t="s">
        <v>406</v>
      </c>
      <c r="F237" s="80"/>
      <c r="G237" s="64">
        <f>SUM(G238)</f>
        <v>0</v>
      </c>
    </row>
    <row r="238" spans="1:7" ht="31.5" hidden="1">
      <c r="A238" s="70" t="s">
        <v>357</v>
      </c>
      <c r="B238" s="80"/>
      <c r="C238" s="80" t="s">
        <v>187</v>
      </c>
      <c r="D238" s="80" t="s">
        <v>47</v>
      </c>
      <c r="E238" s="80" t="s">
        <v>407</v>
      </c>
      <c r="F238" s="80"/>
      <c r="G238" s="64">
        <f>SUM(G239)</f>
        <v>0</v>
      </c>
    </row>
    <row r="239" spans="1:7" ht="31.5" hidden="1">
      <c r="A239" s="70" t="s">
        <v>358</v>
      </c>
      <c r="B239" s="80"/>
      <c r="C239" s="80" t="s">
        <v>187</v>
      </c>
      <c r="D239" s="80" t="s">
        <v>47</v>
      </c>
      <c r="E239" s="80" t="s">
        <v>407</v>
      </c>
      <c r="F239" s="80" t="s">
        <v>312</v>
      </c>
      <c r="G239" s="64"/>
    </row>
    <row r="240" spans="1:7" ht="15.75">
      <c r="A240" s="70" t="s">
        <v>359</v>
      </c>
      <c r="B240" s="80"/>
      <c r="C240" s="80" t="s">
        <v>187</v>
      </c>
      <c r="D240" s="80" t="s">
        <v>47</v>
      </c>
      <c r="E240" s="80" t="s">
        <v>408</v>
      </c>
      <c r="F240" s="80"/>
      <c r="G240" s="64">
        <f>SUM(G241)</f>
        <v>2560.5</v>
      </c>
    </row>
    <row r="241" spans="1:7" ht="31.5">
      <c r="A241" s="70" t="s">
        <v>357</v>
      </c>
      <c r="B241" s="80"/>
      <c r="C241" s="80" t="s">
        <v>187</v>
      </c>
      <c r="D241" s="80" t="s">
        <v>47</v>
      </c>
      <c r="E241" s="80" t="s">
        <v>409</v>
      </c>
      <c r="F241" s="80"/>
      <c r="G241" s="64">
        <f>SUM(G242)</f>
        <v>2560.5</v>
      </c>
    </row>
    <row r="242" spans="1:7" ht="31.5">
      <c r="A242" s="70" t="s">
        <v>358</v>
      </c>
      <c r="B242" s="80"/>
      <c r="C242" s="80" t="s">
        <v>187</v>
      </c>
      <c r="D242" s="80" t="s">
        <v>47</v>
      </c>
      <c r="E242" s="80" t="s">
        <v>409</v>
      </c>
      <c r="F242" s="80" t="s">
        <v>312</v>
      </c>
      <c r="G242" s="64">
        <v>2560.5</v>
      </c>
    </row>
    <row r="243" spans="1:7" ht="15.75">
      <c r="A243" s="70" t="s">
        <v>196</v>
      </c>
      <c r="B243" s="80"/>
      <c r="C243" s="80" t="s">
        <v>187</v>
      </c>
      <c r="D243" s="80" t="s">
        <v>57</v>
      </c>
      <c r="E243" s="80"/>
      <c r="F243" s="80"/>
      <c r="G243" s="64">
        <f>SUM(G249,G260,G264)+G245</f>
        <v>146102.3</v>
      </c>
    </row>
    <row r="244" spans="1:7" ht="47.25">
      <c r="A244" s="162" t="s">
        <v>752</v>
      </c>
      <c r="B244" s="80"/>
      <c r="C244" s="80" t="s">
        <v>187</v>
      </c>
      <c r="D244" s="80" t="s">
        <v>57</v>
      </c>
      <c r="E244" s="80" t="s">
        <v>757</v>
      </c>
      <c r="F244" s="80"/>
      <c r="G244" s="64">
        <f>SUM(G245)</f>
        <v>59481.5</v>
      </c>
    </row>
    <row r="245" spans="1:7" ht="15.75">
      <c r="A245" s="70" t="s">
        <v>769</v>
      </c>
      <c r="B245" s="80"/>
      <c r="C245" s="80" t="s">
        <v>187</v>
      </c>
      <c r="D245" s="80" t="s">
        <v>57</v>
      </c>
      <c r="E245" s="80" t="s">
        <v>768</v>
      </c>
      <c r="F245" s="80"/>
      <c r="G245" s="64">
        <f>SUM(G246)</f>
        <v>59481.5</v>
      </c>
    </row>
    <row r="246" spans="1:7" ht="47.25">
      <c r="A246" s="77" t="s">
        <v>611</v>
      </c>
      <c r="B246" s="80"/>
      <c r="C246" s="80" t="s">
        <v>187</v>
      </c>
      <c r="D246" s="80" t="s">
        <v>57</v>
      </c>
      <c r="E246" s="80" t="s">
        <v>770</v>
      </c>
      <c r="F246" s="80"/>
      <c r="G246" s="64">
        <f>SUM(G247)</f>
        <v>59481.5</v>
      </c>
    </row>
    <row r="247" spans="1:7" ht="31.5">
      <c r="A247" s="70" t="s">
        <v>772</v>
      </c>
      <c r="B247" s="80"/>
      <c r="C247" s="80" t="s">
        <v>187</v>
      </c>
      <c r="D247" s="80" t="s">
        <v>57</v>
      </c>
      <c r="E247" s="80" t="s">
        <v>771</v>
      </c>
      <c r="F247" s="80"/>
      <c r="G247" s="64">
        <f>SUM(G248)</f>
        <v>59481.5</v>
      </c>
    </row>
    <row r="248" spans="1:7" ht="31.5">
      <c r="A248" s="70" t="s">
        <v>55</v>
      </c>
      <c r="B248" s="80"/>
      <c r="C248" s="80" t="s">
        <v>187</v>
      </c>
      <c r="D248" s="80" t="s">
        <v>57</v>
      </c>
      <c r="E248" s="80" t="s">
        <v>771</v>
      </c>
      <c r="F248" s="80" t="s">
        <v>100</v>
      </c>
      <c r="G248" s="64">
        <v>59481.5</v>
      </c>
    </row>
    <row r="249" spans="1:7" ht="31.5">
      <c r="A249" s="104" t="s">
        <v>360</v>
      </c>
      <c r="B249" s="85"/>
      <c r="C249" s="80" t="s">
        <v>187</v>
      </c>
      <c r="D249" s="80" t="s">
        <v>57</v>
      </c>
      <c r="E249" s="80" t="s">
        <v>410</v>
      </c>
      <c r="F249" s="80"/>
      <c r="G249" s="64">
        <f>SUM(G250,G257)</f>
        <v>84872.40000000001</v>
      </c>
    </row>
    <row r="250" spans="1:7" ht="15.75">
      <c r="A250" s="70" t="s">
        <v>38</v>
      </c>
      <c r="B250" s="80"/>
      <c r="C250" s="80" t="s">
        <v>187</v>
      </c>
      <c r="D250" s="80" t="s">
        <v>57</v>
      </c>
      <c r="E250" s="80" t="s">
        <v>411</v>
      </c>
      <c r="F250" s="80"/>
      <c r="G250" s="64">
        <f>SUM(G251,G253,G255)</f>
        <v>79948.90000000001</v>
      </c>
    </row>
    <row r="251" spans="1:7" ht="15.75">
      <c r="A251" s="70" t="s">
        <v>361</v>
      </c>
      <c r="B251" s="80"/>
      <c r="C251" s="80" t="s">
        <v>187</v>
      </c>
      <c r="D251" s="80" t="s">
        <v>57</v>
      </c>
      <c r="E251" s="80" t="s">
        <v>412</v>
      </c>
      <c r="F251" s="80"/>
      <c r="G251" s="64">
        <f>SUM(G252)</f>
        <v>48841.9</v>
      </c>
    </row>
    <row r="252" spans="1:7" ht="31.5">
      <c r="A252" s="70" t="s">
        <v>55</v>
      </c>
      <c r="B252" s="80"/>
      <c r="C252" s="80" t="s">
        <v>187</v>
      </c>
      <c r="D252" s="80" t="s">
        <v>57</v>
      </c>
      <c r="E252" s="80" t="s">
        <v>412</v>
      </c>
      <c r="F252" s="80" t="s">
        <v>100</v>
      </c>
      <c r="G252" s="64">
        <f>48861.8-20+0.1</f>
        <v>48841.9</v>
      </c>
    </row>
    <row r="253" spans="1:7" ht="15.75">
      <c r="A253" s="70" t="s">
        <v>362</v>
      </c>
      <c r="B253" s="80"/>
      <c r="C253" s="80" t="s">
        <v>187</v>
      </c>
      <c r="D253" s="80" t="s">
        <v>57</v>
      </c>
      <c r="E253" s="80" t="s">
        <v>413</v>
      </c>
      <c r="F253" s="80"/>
      <c r="G253" s="64">
        <f>SUM(G254)</f>
        <v>1585.9</v>
      </c>
    </row>
    <row r="254" spans="1:7" ht="31.5">
      <c r="A254" s="70" t="s">
        <v>55</v>
      </c>
      <c r="B254" s="80"/>
      <c r="C254" s="80" t="s">
        <v>187</v>
      </c>
      <c r="D254" s="80" t="s">
        <v>57</v>
      </c>
      <c r="E254" s="80" t="s">
        <v>413</v>
      </c>
      <c r="F254" s="80" t="s">
        <v>100</v>
      </c>
      <c r="G254" s="64">
        <f>1407.5+178.4</f>
        <v>1585.9</v>
      </c>
    </row>
    <row r="255" spans="1:7" ht="15.75">
      <c r="A255" s="70" t="s">
        <v>363</v>
      </c>
      <c r="B255" s="80"/>
      <c r="C255" s="80" t="s">
        <v>187</v>
      </c>
      <c r="D255" s="80" t="s">
        <v>57</v>
      </c>
      <c r="E255" s="80" t="s">
        <v>414</v>
      </c>
      <c r="F255" s="80"/>
      <c r="G255" s="64">
        <f>SUM(G256)</f>
        <v>29521.100000000002</v>
      </c>
    </row>
    <row r="256" spans="1:7" ht="31.5">
      <c r="A256" s="70" t="s">
        <v>55</v>
      </c>
      <c r="B256" s="80"/>
      <c r="C256" s="80" t="s">
        <v>187</v>
      </c>
      <c r="D256" s="80" t="s">
        <v>57</v>
      </c>
      <c r="E256" s="80" t="s">
        <v>414</v>
      </c>
      <c r="F256" s="80" t="s">
        <v>100</v>
      </c>
      <c r="G256" s="64">
        <f>30424.9-903.8</f>
        <v>29521.100000000002</v>
      </c>
    </row>
    <row r="257" spans="1:7" ht="47.25">
      <c r="A257" s="70" t="s">
        <v>29</v>
      </c>
      <c r="B257" s="80"/>
      <c r="C257" s="80" t="s">
        <v>187</v>
      </c>
      <c r="D257" s="80" t="s">
        <v>57</v>
      </c>
      <c r="E257" s="80" t="s">
        <v>415</v>
      </c>
      <c r="F257" s="80"/>
      <c r="G257" s="64">
        <f>SUM(G258)</f>
        <v>4923.5</v>
      </c>
    </row>
    <row r="258" spans="1:7" ht="15.75">
      <c r="A258" s="70" t="s">
        <v>363</v>
      </c>
      <c r="B258" s="80"/>
      <c r="C258" s="80" t="s">
        <v>187</v>
      </c>
      <c r="D258" s="80" t="s">
        <v>57</v>
      </c>
      <c r="E258" s="80" t="s">
        <v>416</v>
      </c>
      <c r="F258" s="80"/>
      <c r="G258" s="64">
        <f>SUM(G259)</f>
        <v>4923.5</v>
      </c>
    </row>
    <row r="259" spans="1:7" ht="31.5">
      <c r="A259" s="70" t="s">
        <v>282</v>
      </c>
      <c r="B259" s="80"/>
      <c r="C259" s="80" t="s">
        <v>187</v>
      </c>
      <c r="D259" s="80" t="s">
        <v>57</v>
      </c>
      <c r="E259" s="80" t="s">
        <v>416</v>
      </c>
      <c r="F259" s="80" t="s">
        <v>134</v>
      </c>
      <c r="G259" s="64">
        <f>4734+189.5</f>
        <v>4923.5</v>
      </c>
    </row>
    <row r="260" spans="1:7" ht="31.5">
      <c r="A260" s="70" t="s">
        <v>440</v>
      </c>
      <c r="B260" s="80"/>
      <c r="C260" s="80" t="s">
        <v>187</v>
      </c>
      <c r="D260" s="80" t="s">
        <v>57</v>
      </c>
      <c r="E260" s="80" t="s">
        <v>403</v>
      </c>
      <c r="F260" s="80"/>
      <c r="G260" s="64">
        <f>SUM(G261)</f>
        <v>1550</v>
      </c>
    </row>
    <row r="261" spans="1:7" ht="15.75">
      <c r="A261" s="70" t="s">
        <v>38</v>
      </c>
      <c r="B261" s="80"/>
      <c r="C261" s="80" t="s">
        <v>187</v>
      </c>
      <c r="D261" s="80" t="s">
        <v>57</v>
      </c>
      <c r="E261" s="80" t="s">
        <v>404</v>
      </c>
      <c r="F261" s="80"/>
      <c r="G261" s="64">
        <f>SUM(G262)</f>
        <v>1550</v>
      </c>
    </row>
    <row r="262" spans="1:7" ht="15.75">
      <c r="A262" s="70" t="s">
        <v>363</v>
      </c>
      <c r="B262" s="80"/>
      <c r="C262" s="80" t="s">
        <v>187</v>
      </c>
      <c r="D262" s="80" t="s">
        <v>57</v>
      </c>
      <c r="E262" s="80" t="s">
        <v>417</v>
      </c>
      <c r="F262" s="80"/>
      <c r="G262" s="64">
        <f>SUM(G263)</f>
        <v>1550</v>
      </c>
    </row>
    <row r="263" spans="1:7" ht="31.5">
      <c r="A263" s="70" t="s">
        <v>55</v>
      </c>
      <c r="B263" s="80"/>
      <c r="C263" s="80" t="s">
        <v>187</v>
      </c>
      <c r="D263" s="80" t="s">
        <v>57</v>
      </c>
      <c r="E263" s="80" t="s">
        <v>417</v>
      </c>
      <c r="F263" s="80" t="s">
        <v>100</v>
      </c>
      <c r="G263" s="64">
        <v>1550</v>
      </c>
    </row>
    <row r="264" spans="1:7" ht="15.75">
      <c r="A264" s="70" t="s">
        <v>364</v>
      </c>
      <c r="B264" s="80"/>
      <c r="C264" s="80" t="s">
        <v>187</v>
      </c>
      <c r="D264" s="80" t="s">
        <v>57</v>
      </c>
      <c r="E264" s="80" t="s">
        <v>216</v>
      </c>
      <c r="F264" s="80"/>
      <c r="G264" s="64">
        <f>SUM(G265)</f>
        <v>198.4</v>
      </c>
    </row>
    <row r="265" spans="1:7" ht="78.75">
      <c r="A265" s="104" t="s">
        <v>316</v>
      </c>
      <c r="B265" s="85"/>
      <c r="C265" s="80" t="s">
        <v>187</v>
      </c>
      <c r="D265" s="80" t="s">
        <v>57</v>
      </c>
      <c r="E265" s="80" t="s">
        <v>251</v>
      </c>
      <c r="F265" s="80"/>
      <c r="G265" s="64">
        <f>SUM(G266)</f>
        <v>198.4</v>
      </c>
    </row>
    <row r="266" spans="1:7" ht="63">
      <c r="A266" s="104" t="s">
        <v>419</v>
      </c>
      <c r="B266" s="85"/>
      <c r="C266" s="80" t="s">
        <v>187</v>
      </c>
      <c r="D266" s="80" t="s">
        <v>57</v>
      </c>
      <c r="E266" s="80" t="s">
        <v>418</v>
      </c>
      <c r="F266" s="80"/>
      <c r="G266" s="64">
        <f>SUM(G267)</f>
        <v>198.4</v>
      </c>
    </row>
    <row r="267" spans="1:7" ht="31.5">
      <c r="A267" s="70" t="s">
        <v>55</v>
      </c>
      <c r="B267" s="80"/>
      <c r="C267" s="80" t="s">
        <v>187</v>
      </c>
      <c r="D267" s="80" t="s">
        <v>57</v>
      </c>
      <c r="E267" s="80" t="s">
        <v>418</v>
      </c>
      <c r="F267" s="80" t="s">
        <v>100</v>
      </c>
      <c r="G267" s="64">
        <v>198.4</v>
      </c>
    </row>
    <row r="268" spans="1:7" ht="15.75">
      <c r="A268" s="70" t="s">
        <v>197</v>
      </c>
      <c r="B268" s="80"/>
      <c r="C268" s="73" t="s">
        <v>187</v>
      </c>
      <c r="D268" s="73" t="s">
        <v>187</v>
      </c>
      <c r="E268" s="73"/>
      <c r="F268" s="73"/>
      <c r="G268" s="74">
        <f>SUM(G274)+G277+G269</f>
        <v>13125.7</v>
      </c>
    </row>
    <row r="269" spans="1:7" ht="47.25">
      <c r="A269" s="162" t="s">
        <v>752</v>
      </c>
      <c r="B269" s="80"/>
      <c r="C269" s="73" t="s">
        <v>187</v>
      </c>
      <c r="D269" s="73" t="s">
        <v>187</v>
      </c>
      <c r="E269" s="73" t="s">
        <v>757</v>
      </c>
      <c r="F269" s="73"/>
      <c r="G269" s="74">
        <f>SUM(G270)</f>
        <v>11500</v>
      </c>
    </row>
    <row r="270" spans="1:7" ht="15.75">
      <c r="A270" s="12" t="s">
        <v>359</v>
      </c>
      <c r="B270" s="80"/>
      <c r="C270" s="73" t="s">
        <v>187</v>
      </c>
      <c r="D270" s="73" t="s">
        <v>187</v>
      </c>
      <c r="E270" s="73" t="s">
        <v>758</v>
      </c>
      <c r="F270" s="73"/>
      <c r="G270" s="74">
        <f>SUM(G271)</f>
        <v>11500</v>
      </c>
    </row>
    <row r="271" spans="1:7" ht="47.25">
      <c r="A271" s="77" t="s">
        <v>611</v>
      </c>
      <c r="B271" s="80"/>
      <c r="C271" s="73" t="s">
        <v>187</v>
      </c>
      <c r="D271" s="73" t="s">
        <v>187</v>
      </c>
      <c r="E271" s="73" t="s">
        <v>759</v>
      </c>
      <c r="F271" s="73"/>
      <c r="G271" s="74">
        <f>SUM(G272)</f>
        <v>11500</v>
      </c>
    </row>
    <row r="272" spans="1:7" ht="15.75">
      <c r="A272" s="70" t="s">
        <v>761</v>
      </c>
      <c r="B272" s="80"/>
      <c r="C272" s="73" t="s">
        <v>187</v>
      </c>
      <c r="D272" s="73" t="s">
        <v>187</v>
      </c>
      <c r="E272" s="73" t="s">
        <v>760</v>
      </c>
      <c r="F272" s="73"/>
      <c r="G272" s="74">
        <f>SUM(G273)</f>
        <v>11500</v>
      </c>
    </row>
    <row r="273" spans="1:7" ht="31.5">
      <c r="A273" s="70" t="s">
        <v>358</v>
      </c>
      <c r="B273" s="80"/>
      <c r="C273" s="73" t="s">
        <v>187</v>
      </c>
      <c r="D273" s="73" t="s">
        <v>187</v>
      </c>
      <c r="E273" s="73" t="s">
        <v>760</v>
      </c>
      <c r="F273" s="73" t="s">
        <v>312</v>
      </c>
      <c r="G273" s="74">
        <v>11500</v>
      </c>
    </row>
    <row r="274" spans="1:7" ht="31.5">
      <c r="A274" s="70" t="s">
        <v>351</v>
      </c>
      <c r="B274" s="80"/>
      <c r="C274" s="73" t="s">
        <v>187</v>
      </c>
      <c r="D274" s="73" t="s">
        <v>187</v>
      </c>
      <c r="E274" s="73" t="s">
        <v>397</v>
      </c>
      <c r="F274" s="73"/>
      <c r="G274" s="74">
        <f>SUM(G275)</f>
        <v>977.6999999999999</v>
      </c>
    </row>
    <row r="275" spans="1:7" ht="31.5">
      <c r="A275" s="70" t="s">
        <v>357</v>
      </c>
      <c r="B275" s="80"/>
      <c r="C275" s="73" t="s">
        <v>187</v>
      </c>
      <c r="D275" s="73" t="s">
        <v>187</v>
      </c>
      <c r="E275" s="73" t="s">
        <v>420</v>
      </c>
      <c r="F275" s="73"/>
      <c r="G275" s="74">
        <f>SUM(G276)</f>
        <v>977.6999999999999</v>
      </c>
    </row>
    <row r="276" spans="1:7" ht="31.5">
      <c r="A276" s="70" t="s">
        <v>358</v>
      </c>
      <c r="B276" s="80"/>
      <c r="C276" s="73" t="s">
        <v>187</v>
      </c>
      <c r="D276" s="73" t="s">
        <v>187</v>
      </c>
      <c r="E276" s="73" t="s">
        <v>420</v>
      </c>
      <c r="F276" s="73" t="s">
        <v>312</v>
      </c>
      <c r="G276" s="74">
        <f>510.8+467-0.1</f>
        <v>977.6999999999999</v>
      </c>
    </row>
    <row r="277" spans="1:7" ht="31.5">
      <c r="A277" s="70" t="s">
        <v>294</v>
      </c>
      <c r="B277" s="80"/>
      <c r="C277" s="73" t="s">
        <v>187</v>
      </c>
      <c r="D277" s="73" t="s">
        <v>187</v>
      </c>
      <c r="E277" s="73" t="s">
        <v>295</v>
      </c>
      <c r="F277" s="73"/>
      <c r="G277" s="74">
        <f>SUM(G278)</f>
        <v>648</v>
      </c>
    </row>
    <row r="278" spans="1:7" ht="31.5">
      <c r="A278" s="70" t="s">
        <v>546</v>
      </c>
      <c r="B278" s="80"/>
      <c r="C278" s="73" t="s">
        <v>187</v>
      </c>
      <c r="D278" s="73" t="s">
        <v>187</v>
      </c>
      <c r="E278" s="73" t="s">
        <v>298</v>
      </c>
      <c r="F278" s="73"/>
      <c r="G278" s="74">
        <f>SUM(G279)</f>
        <v>648</v>
      </c>
    </row>
    <row r="279" spans="1:7" ht="31.5">
      <c r="A279" s="70" t="s">
        <v>547</v>
      </c>
      <c r="B279" s="80"/>
      <c r="C279" s="73" t="s">
        <v>187</v>
      </c>
      <c r="D279" s="73" t="s">
        <v>187</v>
      </c>
      <c r="E279" s="73" t="s">
        <v>548</v>
      </c>
      <c r="F279" s="73"/>
      <c r="G279" s="74">
        <f>SUM(G280)</f>
        <v>648</v>
      </c>
    </row>
    <row r="280" spans="1:7" ht="31.5">
      <c r="A280" s="70" t="s">
        <v>358</v>
      </c>
      <c r="B280" s="80"/>
      <c r="C280" s="73" t="s">
        <v>187</v>
      </c>
      <c r="D280" s="73" t="s">
        <v>187</v>
      </c>
      <c r="E280" s="73" t="s">
        <v>548</v>
      </c>
      <c r="F280" s="73" t="s">
        <v>312</v>
      </c>
      <c r="G280" s="74">
        <v>648</v>
      </c>
    </row>
    <row r="281" spans="1:7" ht="15.75">
      <c r="A281" s="51" t="s">
        <v>299</v>
      </c>
      <c r="B281" s="86"/>
      <c r="C281" s="53" t="s">
        <v>81</v>
      </c>
      <c r="D281" s="52"/>
      <c r="E281" s="52"/>
      <c r="F281" s="52"/>
      <c r="G281" s="54">
        <f>SUM(G282+G288)</f>
        <v>5657.799999999999</v>
      </c>
    </row>
    <row r="282" spans="1:7" ht="15.75">
      <c r="A282" s="51" t="s">
        <v>300</v>
      </c>
      <c r="B282" s="86"/>
      <c r="C282" s="53" t="s">
        <v>81</v>
      </c>
      <c r="D282" s="53" t="s">
        <v>57</v>
      </c>
      <c r="E282" s="52"/>
      <c r="F282" s="52"/>
      <c r="G282" s="54">
        <f>SUM(G283)</f>
        <v>4763.699999999999</v>
      </c>
    </row>
    <row r="283" spans="1:7" ht="31.5">
      <c r="A283" s="51" t="s">
        <v>301</v>
      </c>
      <c r="B283" s="86"/>
      <c r="C283" s="53" t="s">
        <v>81</v>
      </c>
      <c r="D283" s="53" t="s">
        <v>57</v>
      </c>
      <c r="E283" s="52" t="s">
        <v>302</v>
      </c>
      <c r="F283" s="52"/>
      <c r="G283" s="54">
        <f>SUM(G284)</f>
        <v>4763.699999999999</v>
      </c>
    </row>
    <row r="284" spans="1:7" ht="31.5">
      <c r="A284" s="51" t="s">
        <v>48</v>
      </c>
      <c r="B284" s="86"/>
      <c r="C284" s="53" t="s">
        <v>81</v>
      </c>
      <c r="D284" s="53" t="s">
        <v>57</v>
      </c>
      <c r="E284" s="52" t="s">
        <v>303</v>
      </c>
      <c r="F284" s="52"/>
      <c r="G284" s="54">
        <f>SUM(G285:G287)</f>
        <v>4763.699999999999</v>
      </c>
    </row>
    <row r="285" spans="1:7" ht="47.25">
      <c r="A285" s="70" t="s">
        <v>54</v>
      </c>
      <c r="B285" s="86"/>
      <c r="C285" s="53" t="s">
        <v>81</v>
      </c>
      <c r="D285" s="53" t="s">
        <v>57</v>
      </c>
      <c r="E285" s="52" t="s">
        <v>303</v>
      </c>
      <c r="F285" s="53" t="s">
        <v>98</v>
      </c>
      <c r="G285" s="54">
        <f>3939.6+25.2</f>
        <v>3964.7999999999997</v>
      </c>
    </row>
    <row r="286" spans="1:7" ht="31.5">
      <c r="A286" s="51" t="s">
        <v>55</v>
      </c>
      <c r="B286" s="86"/>
      <c r="C286" s="53" t="s">
        <v>81</v>
      </c>
      <c r="D286" s="53" t="s">
        <v>57</v>
      </c>
      <c r="E286" s="52" t="s">
        <v>303</v>
      </c>
      <c r="F286" s="53" t="s">
        <v>100</v>
      </c>
      <c r="G286" s="54">
        <f>709.8-25.2-0.6+60</f>
        <v>743.9999999999999</v>
      </c>
    </row>
    <row r="287" spans="1:7" ht="15.75">
      <c r="A287" s="51" t="s">
        <v>25</v>
      </c>
      <c r="B287" s="86"/>
      <c r="C287" s="53" t="s">
        <v>81</v>
      </c>
      <c r="D287" s="53" t="s">
        <v>57</v>
      </c>
      <c r="E287" s="52" t="s">
        <v>303</v>
      </c>
      <c r="F287" s="53" t="s">
        <v>105</v>
      </c>
      <c r="G287" s="54">
        <v>54.9</v>
      </c>
    </row>
    <row r="288" spans="1:7" ht="15.75">
      <c r="A288" s="51" t="s">
        <v>198</v>
      </c>
      <c r="B288" s="86"/>
      <c r="C288" s="53" t="s">
        <v>81</v>
      </c>
      <c r="D288" s="53" t="s">
        <v>187</v>
      </c>
      <c r="E288" s="52"/>
      <c r="F288" s="52"/>
      <c r="G288" s="54">
        <f>SUM(G289)</f>
        <v>894.1</v>
      </c>
    </row>
    <row r="289" spans="1:7" ht="31.5">
      <c r="A289" s="51" t="s">
        <v>301</v>
      </c>
      <c r="B289" s="86"/>
      <c r="C289" s="53" t="s">
        <v>81</v>
      </c>
      <c r="D289" s="53" t="s">
        <v>187</v>
      </c>
      <c r="E289" s="52" t="s">
        <v>302</v>
      </c>
      <c r="F289" s="52"/>
      <c r="G289" s="54">
        <f>SUM(G290)</f>
        <v>894.1</v>
      </c>
    </row>
    <row r="290" spans="1:7" ht="15.75">
      <c r="A290" s="51" t="s">
        <v>38</v>
      </c>
      <c r="B290" s="86"/>
      <c r="C290" s="53" t="s">
        <v>81</v>
      </c>
      <c r="D290" s="53" t="s">
        <v>187</v>
      </c>
      <c r="E290" s="52" t="s">
        <v>314</v>
      </c>
      <c r="F290" s="52"/>
      <c r="G290" s="54">
        <f>SUM(G291)+G293</f>
        <v>894.1</v>
      </c>
    </row>
    <row r="291" spans="1:7" ht="47.25" hidden="1">
      <c r="A291" s="51" t="s">
        <v>365</v>
      </c>
      <c r="B291" s="86"/>
      <c r="C291" s="53" t="s">
        <v>81</v>
      </c>
      <c r="D291" s="53" t="s">
        <v>187</v>
      </c>
      <c r="E291" s="52" t="s">
        <v>366</v>
      </c>
      <c r="F291" s="52"/>
      <c r="G291" s="54">
        <f>SUM(G292)</f>
        <v>0</v>
      </c>
    </row>
    <row r="292" spans="1:7" ht="15.75" hidden="1">
      <c r="A292" s="51" t="s">
        <v>99</v>
      </c>
      <c r="B292" s="86"/>
      <c r="C292" s="53" t="s">
        <v>81</v>
      </c>
      <c r="D292" s="53" t="s">
        <v>187</v>
      </c>
      <c r="E292" s="52" t="s">
        <v>366</v>
      </c>
      <c r="F292" s="53" t="s">
        <v>100</v>
      </c>
      <c r="G292" s="54"/>
    </row>
    <row r="293" spans="1:7" ht="47.25">
      <c r="A293" s="51" t="s">
        <v>365</v>
      </c>
      <c r="B293" s="86"/>
      <c r="C293" s="53" t="s">
        <v>81</v>
      </c>
      <c r="D293" s="53" t="s">
        <v>187</v>
      </c>
      <c r="E293" s="52" t="s">
        <v>366</v>
      </c>
      <c r="F293" s="52"/>
      <c r="G293" s="54">
        <f>SUM(G294:G295)</f>
        <v>894.1</v>
      </c>
    </row>
    <row r="294" spans="1:7" ht="47.25">
      <c r="A294" s="70" t="s">
        <v>54</v>
      </c>
      <c r="B294" s="86"/>
      <c r="C294" s="53" t="s">
        <v>81</v>
      </c>
      <c r="D294" s="53" t="s">
        <v>187</v>
      </c>
      <c r="E294" s="52" t="s">
        <v>366</v>
      </c>
      <c r="F294" s="52">
        <v>100</v>
      </c>
      <c r="G294" s="54">
        <v>25</v>
      </c>
    </row>
    <row r="295" spans="1:7" ht="31.5">
      <c r="A295" s="51" t="s">
        <v>55</v>
      </c>
      <c r="B295" s="86"/>
      <c r="C295" s="53" t="s">
        <v>81</v>
      </c>
      <c r="D295" s="53" t="s">
        <v>187</v>
      </c>
      <c r="E295" s="52" t="s">
        <v>366</v>
      </c>
      <c r="F295" s="53" t="s">
        <v>100</v>
      </c>
      <c r="G295" s="54">
        <f>975-105.9</f>
        <v>869.1</v>
      </c>
    </row>
    <row r="296" spans="1:7" ht="15.75">
      <c r="A296" s="70" t="s">
        <v>123</v>
      </c>
      <c r="B296" s="80"/>
      <c r="C296" s="73" t="s">
        <v>124</v>
      </c>
      <c r="D296" s="73" t="s">
        <v>35</v>
      </c>
      <c r="E296" s="73"/>
      <c r="F296" s="73"/>
      <c r="G296" s="74">
        <f>SUM(G302)+G297</f>
        <v>2000</v>
      </c>
    </row>
    <row r="297" spans="1:7" ht="15.75">
      <c r="A297" s="70" t="s">
        <v>199</v>
      </c>
      <c r="B297" s="80"/>
      <c r="C297" s="73" t="s">
        <v>124</v>
      </c>
      <c r="D297" s="73" t="s">
        <v>37</v>
      </c>
      <c r="E297" s="73"/>
      <c r="F297" s="73"/>
      <c r="G297" s="74">
        <f>SUM(G298)</f>
        <v>2000</v>
      </c>
    </row>
    <row r="298" spans="1:7" ht="31.5">
      <c r="A298" s="70" t="s">
        <v>315</v>
      </c>
      <c r="B298" s="80"/>
      <c r="C298" s="73" t="s">
        <v>124</v>
      </c>
      <c r="D298" s="73" t="s">
        <v>37</v>
      </c>
      <c r="E298" s="52" t="s">
        <v>263</v>
      </c>
      <c r="F298" s="73"/>
      <c r="G298" s="74">
        <f>SUM(G299)</f>
        <v>2000</v>
      </c>
    </row>
    <row r="299" spans="1:7" ht="31.5">
      <c r="A299" s="51" t="s">
        <v>264</v>
      </c>
      <c r="B299" s="80"/>
      <c r="C299" s="73" t="s">
        <v>124</v>
      </c>
      <c r="D299" s="73" t="s">
        <v>37</v>
      </c>
      <c r="E299" s="52" t="s">
        <v>265</v>
      </c>
      <c r="F299" s="73"/>
      <c r="G299" s="74">
        <f>SUM(G300)</f>
        <v>2000</v>
      </c>
    </row>
    <row r="300" spans="1:7" ht="47.25">
      <c r="A300" s="70" t="s">
        <v>651</v>
      </c>
      <c r="B300" s="80"/>
      <c r="C300" s="73" t="s">
        <v>124</v>
      </c>
      <c r="D300" s="73" t="s">
        <v>37</v>
      </c>
      <c r="E300" s="52" t="s">
        <v>652</v>
      </c>
      <c r="F300" s="73"/>
      <c r="G300" s="74">
        <f>SUM(G301)</f>
        <v>2000</v>
      </c>
    </row>
    <row r="301" spans="1:7" ht="31.5">
      <c r="A301" s="70" t="s">
        <v>358</v>
      </c>
      <c r="B301" s="80"/>
      <c r="C301" s="73" t="s">
        <v>124</v>
      </c>
      <c r="D301" s="73" t="s">
        <v>37</v>
      </c>
      <c r="E301" s="52" t="s">
        <v>652</v>
      </c>
      <c r="F301" s="73" t="s">
        <v>312</v>
      </c>
      <c r="G301" s="74">
        <v>2000</v>
      </c>
    </row>
    <row r="302" spans="1:7" ht="15.75" hidden="1">
      <c r="A302" s="70" t="s">
        <v>202</v>
      </c>
      <c r="B302" s="80"/>
      <c r="C302" s="73" t="s">
        <v>124</v>
      </c>
      <c r="D302" s="73" t="s">
        <v>191</v>
      </c>
      <c r="E302" s="73"/>
      <c r="F302" s="73"/>
      <c r="G302" s="74">
        <f>SUM(G303)</f>
        <v>0</v>
      </c>
    </row>
    <row r="303" spans="1:7" ht="31.5" hidden="1">
      <c r="A303" s="70" t="s">
        <v>351</v>
      </c>
      <c r="B303" s="80"/>
      <c r="C303" s="73" t="s">
        <v>124</v>
      </c>
      <c r="D303" s="73" t="s">
        <v>191</v>
      </c>
      <c r="E303" s="73" t="s">
        <v>397</v>
      </c>
      <c r="F303" s="73"/>
      <c r="G303" s="74">
        <f>SUM(G304)</f>
        <v>0</v>
      </c>
    </row>
    <row r="304" spans="1:7" ht="31.5" hidden="1">
      <c r="A304" s="70" t="s">
        <v>357</v>
      </c>
      <c r="B304" s="80"/>
      <c r="C304" s="73" t="s">
        <v>124</v>
      </c>
      <c r="D304" s="73" t="s">
        <v>191</v>
      </c>
      <c r="E304" s="73" t="s">
        <v>420</v>
      </c>
      <c r="F304" s="73"/>
      <c r="G304" s="74">
        <f>SUM(G305)</f>
        <v>0</v>
      </c>
    </row>
    <row r="305" spans="1:7" ht="31.5" hidden="1">
      <c r="A305" s="70" t="s">
        <v>358</v>
      </c>
      <c r="B305" s="80"/>
      <c r="C305" s="73" t="s">
        <v>124</v>
      </c>
      <c r="D305" s="73" t="s">
        <v>191</v>
      </c>
      <c r="E305" s="73" t="s">
        <v>420</v>
      </c>
      <c r="F305" s="73" t="s">
        <v>312</v>
      </c>
      <c r="G305" s="74"/>
    </row>
    <row r="306" spans="1:7" ht="15.75">
      <c r="A306" s="51" t="s">
        <v>33</v>
      </c>
      <c r="B306" s="86"/>
      <c r="C306" s="53" t="s">
        <v>34</v>
      </c>
      <c r="D306" s="53"/>
      <c r="E306" s="52"/>
      <c r="F306" s="52"/>
      <c r="G306" s="54">
        <f>SUM(G307+G314)+G327</f>
        <v>70676.2</v>
      </c>
    </row>
    <row r="307" spans="1:7" ht="15.75">
      <c r="A307" s="51" t="s">
        <v>56</v>
      </c>
      <c r="B307" s="86"/>
      <c r="C307" s="53" t="s">
        <v>34</v>
      </c>
      <c r="D307" s="53" t="s">
        <v>57</v>
      </c>
      <c r="E307" s="52"/>
      <c r="F307" s="52"/>
      <c r="G307" s="54">
        <f>SUM(G311)+G308</f>
        <v>500</v>
      </c>
    </row>
    <row r="308" spans="1:7" ht="31.5">
      <c r="A308" s="51" t="s">
        <v>304</v>
      </c>
      <c r="B308" s="86"/>
      <c r="C308" s="53" t="s">
        <v>34</v>
      </c>
      <c r="D308" s="53" t="s">
        <v>57</v>
      </c>
      <c r="E308" s="52" t="s">
        <v>305</v>
      </c>
      <c r="F308" s="52"/>
      <c r="G308" s="54">
        <f>SUM(G309)</f>
        <v>500</v>
      </c>
    </row>
    <row r="309" spans="1:7" ht="31.5">
      <c r="A309" s="51" t="s">
        <v>319</v>
      </c>
      <c r="B309" s="86"/>
      <c r="C309" s="53" t="s">
        <v>34</v>
      </c>
      <c r="D309" s="53" t="s">
        <v>57</v>
      </c>
      <c r="E309" s="52" t="s">
        <v>306</v>
      </c>
      <c r="F309" s="52"/>
      <c r="G309" s="54">
        <f>SUM(G310)</f>
        <v>500</v>
      </c>
    </row>
    <row r="310" spans="1:7" ht="15.75">
      <c r="A310" s="51" t="s">
        <v>45</v>
      </c>
      <c r="B310" s="86"/>
      <c r="C310" s="53" t="s">
        <v>34</v>
      </c>
      <c r="D310" s="53" t="s">
        <v>57</v>
      </c>
      <c r="E310" s="52" t="s">
        <v>306</v>
      </c>
      <c r="F310" s="52">
        <v>300</v>
      </c>
      <c r="G310" s="54">
        <v>500</v>
      </c>
    </row>
    <row r="311" spans="1:7" ht="31.5" hidden="1">
      <c r="A311" s="51" t="s">
        <v>307</v>
      </c>
      <c r="B311" s="86"/>
      <c r="C311" s="53" t="s">
        <v>34</v>
      </c>
      <c r="D311" s="53" t="s">
        <v>57</v>
      </c>
      <c r="E311" s="52" t="s">
        <v>295</v>
      </c>
      <c r="F311" s="52"/>
      <c r="G311" s="54">
        <f>SUM(G312)</f>
        <v>0</v>
      </c>
    </row>
    <row r="312" spans="1:7" ht="78.75" hidden="1">
      <c r="A312" s="51" t="s">
        <v>308</v>
      </c>
      <c r="B312" s="86"/>
      <c r="C312" s="53" t="s">
        <v>34</v>
      </c>
      <c r="D312" s="53" t="s">
        <v>57</v>
      </c>
      <c r="E312" s="52" t="s">
        <v>309</v>
      </c>
      <c r="F312" s="52"/>
      <c r="G312" s="54">
        <f>SUM(G313)</f>
        <v>0</v>
      </c>
    </row>
    <row r="313" spans="1:7" ht="15.75" hidden="1">
      <c r="A313" s="51" t="s">
        <v>99</v>
      </c>
      <c r="B313" s="86"/>
      <c r="C313" s="53" t="s">
        <v>34</v>
      </c>
      <c r="D313" s="53" t="s">
        <v>57</v>
      </c>
      <c r="E313" s="52" t="s">
        <v>309</v>
      </c>
      <c r="F313" s="52">
        <v>200</v>
      </c>
      <c r="G313" s="54"/>
    </row>
    <row r="314" spans="1:7" ht="15.75">
      <c r="A314" s="51" t="s">
        <v>208</v>
      </c>
      <c r="B314" s="86"/>
      <c r="C314" s="53" t="s">
        <v>34</v>
      </c>
      <c r="D314" s="53" t="s">
        <v>16</v>
      </c>
      <c r="E314" s="53"/>
      <c r="F314" s="53"/>
      <c r="G314" s="54">
        <f>SUM(G315)+G320</f>
        <v>47003</v>
      </c>
    </row>
    <row r="315" spans="1:7" ht="31.5">
      <c r="A315" s="51" t="s">
        <v>645</v>
      </c>
      <c r="B315" s="86"/>
      <c r="C315" s="53" t="s">
        <v>34</v>
      </c>
      <c r="D315" s="53" t="s">
        <v>16</v>
      </c>
      <c r="E315" s="53" t="s">
        <v>539</v>
      </c>
      <c r="F315" s="53"/>
      <c r="G315" s="54">
        <f>SUM(G316)</f>
        <v>4500</v>
      </c>
    </row>
    <row r="316" spans="1:7" ht="15.75">
      <c r="A316" s="51" t="s">
        <v>646</v>
      </c>
      <c r="B316" s="86"/>
      <c r="C316" s="53" t="s">
        <v>34</v>
      </c>
      <c r="D316" s="53" t="s">
        <v>16</v>
      </c>
      <c r="E316" s="53" t="s">
        <v>540</v>
      </c>
      <c r="F316" s="53"/>
      <c r="G316" s="54">
        <f>SUM(G317)</f>
        <v>4500</v>
      </c>
    </row>
    <row r="317" spans="1:7" ht="78.75">
      <c r="A317" s="51" t="s">
        <v>316</v>
      </c>
      <c r="B317" s="80"/>
      <c r="C317" s="53" t="s">
        <v>34</v>
      </c>
      <c r="D317" s="53" t="s">
        <v>16</v>
      </c>
      <c r="E317" s="53" t="s">
        <v>541</v>
      </c>
      <c r="F317" s="53"/>
      <c r="G317" s="54">
        <f>SUM(G318)</f>
        <v>4500</v>
      </c>
    </row>
    <row r="318" spans="1:7" ht="31.5">
      <c r="A318" s="51" t="s">
        <v>537</v>
      </c>
      <c r="B318" s="86"/>
      <c r="C318" s="53" t="s">
        <v>34</v>
      </c>
      <c r="D318" s="53" t="s">
        <v>16</v>
      </c>
      <c r="E318" s="53" t="s">
        <v>542</v>
      </c>
      <c r="F318" s="53"/>
      <c r="G318" s="54">
        <f>SUM(G319)</f>
        <v>4500</v>
      </c>
    </row>
    <row r="319" spans="1:7" ht="31.5">
      <c r="A319" s="51" t="s">
        <v>311</v>
      </c>
      <c r="B319" s="86"/>
      <c r="C319" s="53" t="s">
        <v>34</v>
      </c>
      <c r="D319" s="53" t="s">
        <v>16</v>
      </c>
      <c r="E319" s="53" t="s">
        <v>542</v>
      </c>
      <c r="F319" s="53" t="s">
        <v>312</v>
      </c>
      <c r="G319" s="54">
        <v>4500</v>
      </c>
    </row>
    <row r="320" spans="1:7" ht="31.5">
      <c r="A320" s="51" t="s">
        <v>294</v>
      </c>
      <c r="B320" s="86"/>
      <c r="C320" s="53" t="s">
        <v>34</v>
      </c>
      <c r="D320" s="53" t="s">
        <v>16</v>
      </c>
      <c r="E320" s="52" t="s">
        <v>295</v>
      </c>
      <c r="F320" s="52"/>
      <c r="G320" s="54">
        <f>SUM(G321)</f>
        <v>42503</v>
      </c>
    </row>
    <row r="321" spans="1:7" ht="63">
      <c r="A321" s="51" t="s">
        <v>538</v>
      </c>
      <c r="B321" s="86"/>
      <c r="C321" s="53" t="s">
        <v>34</v>
      </c>
      <c r="D321" s="53" t="s">
        <v>16</v>
      </c>
      <c r="E321" s="52" t="s">
        <v>543</v>
      </c>
      <c r="F321" s="52"/>
      <c r="G321" s="54">
        <f>SUM(G322)</f>
        <v>42503</v>
      </c>
    </row>
    <row r="322" spans="1:7" ht="94.5">
      <c r="A322" s="51" t="s">
        <v>536</v>
      </c>
      <c r="B322" s="86"/>
      <c r="C322" s="53" t="s">
        <v>34</v>
      </c>
      <c r="D322" s="53" t="s">
        <v>16</v>
      </c>
      <c r="E322" s="52" t="s">
        <v>544</v>
      </c>
      <c r="F322" s="52"/>
      <c r="G322" s="54">
        <f>SUM(G323+G325)</f>
        <v>42503</v>
      </c>
    </row>
    <row r="323" spans="1:7" ht="47.25">
      <c r="A323" s="70" t="s">
        <v>310</v>
      </c>
      <c r="B323" s="86"/>
      <c r="C323" s="53" t="s">
        <v>34</v>
      </c>
      <c r="D323" s="53" t="s">
        <v>16</v>
      </c>
      <c r="E323" s="52" t="s">
        <v>545</v>
      </c>
      <c r="F323" s="52"/>
      <c r="G323" s="54">
        <f>SUM(G324)</f>
        <v>18517</v>
      </c>
    </row>
    <row r="324" spans="1:7" ht="31.5">
      <c r="A324" s="51" t="s">
        <v>311</v>
      </c>
      <c r="B324" s="86"/>
      <c r="C324" s="53" t="s">
        <v>34</v>
      </c>
      <c r="D324" s="53" t="s">
        <v>16</v>
      </c>
      <c r="E324" s="52" t="s">
        <v>545</v>
      </c>
      <c r="F324" s="52">
        <v>400</v>
      </c>
      <c r="G324" s="54">
        <v>18517</v>
      </c>
    </row>
    <row r="325" spans="1:7" ht="47.25">
      <c r="A325" s="51" t="s">
        <v>313</v>
      </c>
      <c r="B325" s="86"/>
      <c r="C325" s="53" t="s">
        <v>34</v>
      </c>
      <c r="D325" s="53" t="s">
        <v>16</v>
      </c>
      <c r="E325" s="53" t="s">
        <v>650</v>
      </c>
      <c r="F325" s="52"/>
      <c r="G325" s="54">
        <f>SUM(G326)</f>
        <v>23986</v>
      </c>
    </row>
    <row r="326" spans="1:7" ht="31.5">
      <c r="A326" s="51" t="s">
        <v>311</v>
      </c>
      <c r="B326" s="86"/>
      <c r="C326" s="53" t="s">
        <v>34</v>
      </c>
      <c r="D326" s="53" t="s">
        <v>16</v>
      </c>
      <c r="E326" s="53" t="s">
        <v>650</v>
      </c>
      <c r="F326" s="53" t="s">
        <v>312</v>
      </c>
      <c r="G326" s="54">
        <v>23986</v>
      </c>
    </row>
    <row r="327" spans="1:7" ht="15.75">
      <c r="A327" s="51" t="s">
        <v>80</v>
      </c>
      <c r="B327" s="86"/>
      <c r="C327" s="53" t="s">
        <v>34</v>
      </c>
      <c r="D327" s="53" t="s">
        <v>81</v>
      </c>
      <c r="E327" s="52"/>
      <c r="F327" s="52"/>
      <c r="G327" s="54">
        <f>G332+G328</f>
        <v>23173.2</v>
      </c>
    </row>
    <row r="328" spans="1:7" ht="31.5">
      <c r="A328" s="51" t="s">
        <v>87</v>
      </c>
      <c r="B328" s="52"/>
      <c r="C328" s="53" t="s">
        <v>34</v>
      </c>
      <c r="D328" s="53" t="s">
        <v>81</v>
      </c>
      <c r="E328" s="52" t="s">
        <v>19</v>
      </c>
      <c r="F328" s="52"/>
      <c r="G328" s="54">
        <f>SUM(G329)</f>
        <v>1113.2</v>
      </c>
    </row>
    <row r="329" spans="1:7" ht="15.75">
      <c r="A329" s="51" t="s">
        <v>91</v>
      </c>
      <c r="B329" s="86"/>
      <c r="C329" s="53" t="s">
        <v>34</v>
      </c>
      <c r="D329" s="53" t="s">
        <v>81</v>
      </c>
      <c r="E329" s="52" t="s">
        <v>71</v>
      </c>
      <c r="F329" s="52"/>
      <c r="G329" s="54">
        <f>SUM(G330)</f>
        <v>1113.2</v>
      </c>
    </row>
    <row r="330" spans="1:7" ht="15.75">
      <c r="A330" s="51" t="s">
        <v>40</v>
      </c>
      <c r="B330" s="86"/>
      <c r="C330" s="53" t="s">
        <v>34</v>
      </c>
      <c r="D330" s="53" t="s">
        <v>81</v>
      </c>
      <c r="E330" s="52" t="s">
        <v>649</v>
      </c>
      <c r="F330" s="52"/>
      <c r="G330" s="54">
        <f>SUM(G331)</f>
        <v>1113.2</v>
      </c>
    </row>
    <row r="331" spans="1:7" ht="31.5">
      <c r="A331" s="51" t="s">
        <v>55</v>
      </c>
      <c r="B331" s="86"/>
      <c r="C331" s="53" t="s">
        <v>34</v>
      </c>
      <c r="D331" s="53" t="s">
        <v>81</v>
      </c>
      <c r="E331" s="52" t="s">
        <v>649</v>
      </c>
      <c r="F331" s="52">
        <v>200</v>
      </c>
      <c r="G331" s="54">
        <f>1500-386.8</f>
        <v>1113.2</v>
      </c>
    </row>
    <row r="332" spans="1:7" ht="63">
      <c r="A332" s="51" t="s">
        <v>89</v>
      </c>
      <c r="B332" s="86"/>
      <c r="C332" s="53" t="s">
        <v>34</v>
      </c>
      <c r="D332" s="53" t="s">
        <v>81</v>
      </c>
      <c r="E332" s="52" t="s">
        <v>28</v>
      </c>
      <c r="F332" s="52"/>
      <c r="G332" s="54">
        <f>SUM(G333)+G336</f>
        <v>22060</v>
      </c>
    </row>
    <row r="333" spans="1:7" ht="47.25">
      <c r="A333" s="51" t="s">
        <v>29</v>
      </c>
      <c r="B333" s="86"/>
      <c r="C333" s="53" t="s">
        <v>34</v>
      </c>
      <c r="D333" s="53" t="s">
        <v>81</v>
      </c>
      <c r="E333" s="52" t="s">
        <v>30</v>
      </c>
      <c r="F333" s="52"/>
      <c r="G333" s="54">
        <f>G334</f>
        <v>21766.8</v>
      </c>
    </row>
    <row r="334" spans="1:7" ht="31.5">
      <c r="A334" s="51" t="s">
        <v>31</v>
      </c>
      <c r="B334" s="86"/>
      <c r="C334" s="53" t="s">
        <v>34</v>
      </c>
      <c r="D334" s="53" t="s">
        <v>81</v>
      </c>
      <c r="E334" s="52" t="s">
        <v>32</v>
      </c>
      <c r="F334" s="52"/>
      <c r="G334" s="54">
        <f>SUM(G335)</f>
        <v>21766.8</v>
      </c>
    </row>
    <row r="335" spans="1:7" ht="31.5">
      <c r="A335" s="51" t="s">
        <v>75</v>
      </c>
      <c r="B335" s="86"/>
      <c r="C335" s="53" t="s">
        <v>34</v>
      </c>
      <c r="D335" s="53" t="s">
        <v>81</v>
      </c>
      <c r="E335" s="52" t="s">
        <v>32</v>
      </c>
      <c r="F335" s="52">
        <v>600</v>
      </c>
      <c r="G335" s="54">
        <v>21766.8</v>
      </c>
    </row>
    <row r="336" spans="1:7" ht="15.75">
      <c r="A336" s="51" t="s">
        <v>165</v>
      </c>
      <c r="B336" s="86"/>
      <c r="C336" s="53" t="s">
        <v>34</v>
      </c>
      <c r="D336" s="53" t="s">
        <v>81</v>
      </c>
      <c r="E336" s="52" t="s">
        <v>679</v>
      </c>
      <c r="F336" s="52"/>
      <c r="G336" s="54">
        <f>SUM(G337)+G340</f>
        <v>293.2</v>
      </c>
    </row>
    <row r="337" spans="1:7" ht="31.5">
      <c r="A337" s="51" t="s">
        <v>334</v>
      </c>
      <c r="B337" s="86"/>
      <c r="C337" s="53" t="s">
        <v>34</v>
      </c>
      <c r="D337" s="53" t="s">
        <v>81</v>
      </c>
      <c r="E337" s="52" t="s">
        <v>680</v>
      </c>
      <c r="F337" s="52"/>
      <c r="G337" s="54">
        <f>SUM(G338)</f>
        <v>212.9</v>
      </c>
    </row>
    <row r="338" spans="1:7" ht="31.5">
      <c r="A338" s="51" t="s">
        <v>31</v>
      </c>
      <c r="B338" s="86"/>
      <c r="C338" s="53" t="s">
        <v>34</v>
      </c>
      <c r="D338" s="53" t="s">
        <v>81</v>
      </c>
      <c r="E338" s="52" t="s">
        <v>680</v>
      </c>
      <c r="F338" s="52"/>
      <c r="G338" s="54">
        <f>SUM(G339)</f>
        <v>212.9</v>
      </c>
    </row>
    <row r="339" spans="1:7" ht="31.5">
      <c r="A339" s="51" t="s">
        <v>75</v>
      </c>
      <c r="B339" s="86"/>
      <c r="C339" s="53" t="s">
        <v>34</v>
      </c>
      <c r="D339" s="53" t="s">
        <v>81</v>
      </c>
      <c r="E339" s="52" t="s">
        <v>680</v>
      </c>
      <c r="F339" s="52">
        <v>600</v>
      </c>
      <c r="G339" s="54">
        <v>212.9</v>
      </c>
    </row>
    <row r="340" spans="1:7" ht="15.75">
      <c r="A340" s="51" t="s">
        <v>335</v>
      </c>
      <c r="B340" s="86"/>
      <c r="C340" s="53" t="s">
        <v>34</v>
      </c>
      <c r="D340" s="53" t="s">
        <v>81</v>
      </c>
      <c r="E340" s="52" t="s">
        <v>681</v>
      </c>
      <c r="F340" s="52"/>
      <c r="G340" s="54">
        <f>SUM(G341)</f>
        <v>80.3</v>
      </c>
    </row>
    <row r="341" spans="1:7" ht="31.5">
      <c r="A341" s="51" t="s">
        <v>31</v>
      </c>
      <c r="B341" s="86"/>
      <c r="C341" s="53" t="s">
        <v>34</v>
      </c>
      <c r="D341" s="53" t="s">
        <v>81</v>
      </c>
      <c r="E341" s="52" t="s">
        <v>681</v>
      </c>
      <c r="F341" s="52"/>
      <c r="G341" s="54">
        <f>SUM(G342)</f>
        <v>80.3</v>
      </c>
    </row>
    <row r="342" spans="1:7" ht="31.5">
      <c r="A342" s="51" t="s">
        <v>75</v>
      </c>
      <c r="B342" s="86"/>
      <c r="C342" s="53" t="s">
        <v>34</v>
      </c>
      <c r="D342" s="53" t="s">
        <v>81</v>
      </c>
      <c r="E342" s="52" t="s">
        <v>681</v>
      </c>
      <c r="F342" s="52">
        <v>600</v>
      </c>
      <c r="G342" s="54">
        <v>80.3</v>
      </c>
    </row>
    <row r="343" spans="1:7" ht="15.75">
      <c r="A343" s="70" t="s">
        <v>321</v>
      </c>
      <c r="B343" s="80"/>
      <c r="C343" s="73" t="s">
        <v>188</v>
      </c>
      <c r="D343" s="73" t="s">
        <v>35</v>
      </c>
      <c r="E343" s="73"/>
      <c r="F343" s="73"/>
      <c r="G343" s="74">
        <f>SUM(G344)+G354</f>
        <v>11507.2</v>
      </c>
    </row>
    <row r="344" spans="1:7" ht="14.25" customHeight="1">
      <c r="A344" s="70" t="s">
        <v>209</v>
      </c>
      <c r="B344" s="80"/>
      <c r="C344" s="73" t="s">
        <v>188</v>
      </c>
      <c r="D344" s="73" t="s">
        <v>37</v>
      </c>
      <c r="E344" s="73"/>
      <c r="F344" s="73"/>
      <c r="G344" s="74">
        <f>SUM(G345,G348)</f>
        <v>10122</v>
      </c>
    </row>
    <row r="345" spans="1:7" ht="31.5" hidden="1">
      <c r="A345" s="70" t="s">
        <v>351</v>
      </c>
      <c r="B345" s="80"/>
      <c r="C345" s="73" t="s">
        <v>188</v>
      </c>
      <c r="D345" s="73" t="s">
        <v>37</v>
      </c>
      <c r="E345" s="73" t="s">
        <v>397</v>
      </c>
      <c r="F345" s="73"/>
      <c r="G345" s="74">
        <f>SUM(G346)</f>
        <v>0</v>
      </c>
    </row>
    <row r="346" spans="1:7" ht="31.5" hidden="1">
      <c r="A346" s="70" t="s">
        <v>357</v>
      </c>
      <c r="B346" s="80"/>
      <c r="C346" s="73" t="s">
        <v>188</v>
      </c>
      <c r="D346" s="73" t="s">
        <v>37</v>
      </c>
      <c r="E346" s="73" t="s">
        <v>420</v>
      </c>
      <c r="F346" s="73"/>
      <c r="G346" s="74">
        <f>SUM(G347)</f>
        <v>0</v>
      </c>
    </row>
    <row r="347" spans="1:7" ht="31.5" hidden="1">
      <c r="A347" s="70" t="s">
        <v>358</v>
      </c>
      <c r="B347" s="80"/>
      <c r="C347" s="73" t="s">
        <v>188</v>
      </c>
      <c r="D347" s="73" t="s">
        <v>37</v>
      </c>
      <c r="E347" s="73" t="s">
        <v>420</v>
      </c>
      <c r="F347" s="73" t="s">
        <v>312</v>
      </c>
      <c r="G347" s="74"/>
    </row>
    <row r="348" spans="1:7" ht="31.5">
      <c r="A348" s="55" t="s">
        <v>323</v>
      </c>
      <c r="B348" s="126"/>
      <c r="C348" s="73" t="s">
        <v>188</v>
      </c>
      <c r="D348" s="73" t="s">
        <v>37</v>
      </c>
      <c r="E348" s="89" t="s">
        <v>324</v>
      </c>
      <c r="F348" s="89"/>
      <c r="G348" s="74">
        <f>SUM(G349)</f>
        <v>10122</v>
      </c>
    </row>
    <row r="349" spans="1:7" ht="31.5">
      <c r="A349" s="55" t="s">
        <v>367</v>
      </c>
      <c r="B349" s="126"/>
      <c r="C349" s="73" t="s">
        <v>188</v>
      </c>
      <c r="D349" s="73" t="s">
        <v>37</v>
      </c>
      <c r="E349" s="89" t="s">
        <v>336</v>
      </c>
      <c r="F349" s="89"/>
      <c r="G349" s="74">
        <f>SUM(G350)+G352</f>
        <v>10122</v>
      </c>
    </row>
    <row r="350" spans="1:7" ht="31.5">
      <c r="A350" s="70" t="s">
        <v>547</v>
      </c>
      <c r="B350" s="80"/>
      <c r="C350" s="73" t="s">
        <v>188</v>
      </c>
      <c r="D350" s="73" t="s">
        <v>37</v>
      </c>
      <c r="E350" s="89" t="s">
        <v>421</v>
      </c>
      <c r="F350" s="89"/>
      <c r="G350" s="74">
        <f>SUM(G351)</f>
        <v>9322</v>
      </c>
    </row>
    <row r="351" spans="1:7" ht="31.5">
      <c r="A351" s="70" t="s">
        <v>358</v>
      </c>
      <c r="B351" s="80"/>
      <c r="C351" s="73" t="s">
        <v>188</v>
      </c>
      <c r="D351" s="73" t="s">
        <v>37</v>
      </c>
      <c r="E351" s="89" t="s">
        <v>421</v>
      </c>
      <c r="F351" s="89">
        <v>400</v>
      </c>
      <c r="G351" s="74">
        <f>1000+8322</f>
        <v>9322</v>
      </c>
    </row>
    <row r="352" spans="1:7" ht="31.5">
      <c r="A352" s="70" t="s">
        <v>750</v>
      </c>
      <c r="B352" s="80"/>
      <c r="C352" s="73" t="s">
        <v>188</v>
      </c>
      <c r="D352" s="73" t="s">
        <v>37</v>
      </c>
      <c r="E352" s="89" t="s">
        <v>751</v>
      </c>
      <c r="F352" s="89"/>
      <c r="G352" s="74">
        <f>SUM(G353)</f>
        <v>800</v>
      </c>
    </row>
    <row r="353" spans="1:7" ht="31.5">
      <c r="A353" s="70" t="s">
        <v>358</v>
      </c>
      <c r="B353" s="80"/>
      <c r="C353" s="73" t="s">
        <v>188</v>
      </c>
      <c r="D353" s="73" t="s">
        <v>37</v>
      </c>
      <c r="E353" s="89" t="s">
        <v>751</v>
      </c>
      <c r="F353" s="89">
        <v>400</v>
      </c>
      <c r="G353" s="74">
        <v>800</v>
      </c>
    </row>
    <row r="354" spans="1:7" ht="15.75">
      <c r="A354" s="70" t="s">
        <v>212</v>
      </c>
      <c r="B354" s="80"/>
      <c r="C354" s="73" t="s">
        <v>188</v>
      </c>
      <c r="D354" s="73" t="s">
        <v>187</v>
      </c>
      <c r="E354" s="89"/>
      <c r="F354" s="89"/>
      <c r="G354" s="74">
        <f>G355</f>
        <v>1385.2</v>
      </c>
    </row>
    <row r="355" spans="1:7" ht="31.5">
      <c r="A355" s="70" t="s">
        <v>351</v>
      </c>
      <c r="B355" s="80"/>
      <c r="C355" s="73" t="s">
        <v>188</v>
      </c>
      <c r="D355" s="73" t="s">
        <v>187</v>
      </c>
      <c r="E355" s="73" t="s">
        <v>397</v>
      </c>
      <c r="F355" s="89"/>
      <c r="G355" s="74">
        <f>G356</f>
        <v>1385.2</v>
      </c>
    </row>
    <row r="356" spans="1:7" ht="31.5">
      <c r="A356" s="70" t="s">
        <v>547</v>
      </c>
      <c r="B356" s="80"/>
      <c r="C356" s="73" t="s">
        <v>188</v>
      </c>
      <c r="D356" s="73" t="s">
        <v>187</v>
      </c>
      <c r="E356" s="73" t="s">
        <v>420</v>
      </c>
      <c r="F356" s="89"/>
      <c r="G356" s="74">
        <f>G357</f>
        <v>1385.2</v>
      </c>
    </row>
    <row r="357" spans="1:7" ht="31.5">
      <c r="A357" s="70" t="s">
        <v>358</v>
      </c>
      <c r="B357" s="80"/>
      <c r="C357" s="73" t="s">
        <v>188</v>
      </c>
      <c r="D357" s="73" t="s">
        <v>187</v>
      </c>
      <c r="E357" s="73" t="s">
        <v>420</v>
      </c>
      <c r="F357" s="89">
        <v>400</v>
      </c>
      <c r="G357" s="74">
        <v>1385.2</v>
      </c>
    </row>
    <row r="358" spans="1:7" s="122" customFormat="1" ht="15.75">
      <c r="A358" s="119" t="s">
        <v>235</v>
      </c>
      <c r="B358" s="96" t="s">
        <v>236</v>
      </c>
      <c r="C358" s="96"/>
      <c r="D358" s="96"/>
      <c r="E358" s="96"/>
      <c r="F358" s="96"/>
      <c r="G358" s="121">
        <f>SUM(G359+G384+G389)</f>
        <v>45617.3</v>
      </c>
    </row>
    <row r="359" spans="1:7" ht="15.75">
      <c r="A359" s="51" t="s">
        <v>96</v>
      </c>
      <c r="B359" s="80"/>
      <c r="C359" s="53" t="s">
        <v>37</v>
      </c>
      <c r="D359" s="53"/>
      <c r="E359" s="53"/>
      <c r="F359" s="52"/>
      <c r="G359" s="90">
        <f>SUM(G360+G366+G370)</f>
        <v>31290</v>
      </c>
    </row>
    <row r="360" spans="1:7" ht="31.5">
      <c r="A360" s="51" t="s">
        <v>111</v>
      </c>
      <c r="B360" s="80"/>
      <c r="C360" s="53" t="s">
        <v>37</v>
      </c>
      <c r="D360" s="53" t="s">
        <v>81</v>
      </c>
      <c r="E360" s="52"/>
      <c r="F360" s="52"/>
      <c r="G360" s="90">
        <f>SUM(G361)</f>
        <v>23748.3</v>
      </c>
    </row>
    <row r="361" spans="1:7" ht="31.5">
      <c r="A361" s="55" t="s">
        <v>218</v>
      </c>
      <c r="B361" s="80"/>
      <c r="C361" s="53" t="s">
        <v>37</v>
      </c>
      <c r="D361" s="53" t="s">
        <v>81</v>
      </c>
      <c r="E361" s="52" t="s">
        <v>219</v>
      </c>
      <c r="F361" s="52"/>
      <c r="G361" s="90">
        <f>SUM(G362)</f>
        <v>23748.3</v>
      </c>
    </row>
    <row r="362" spans="1:7" ht="31.5">
      <c r="A362" s="51" t="s">
        <v>83</v>
      </c>
      <c r="B362" s="80"/>
      <c r="C362" s="53" t="s">
        <v>37</v>
      </c>
      <c r="D362" s="53" t="s">
        <v>81</v>
      </c>
      <c r="E362" s="53" t="s">
        <v>220</v>
      </c>
      <c r="F362" s="53"/>
      <c r="G362" s="90">
        <f>SUM(G363)</f>
        <v>23748.3</v>
      </c>
    </row>
    <row r="363" spans="1:7" ht="15.75">
      <c r="A363" s="51" t="s">
        <v>85</v>
      </c>
      <c r="B363" s="80"/>
      <c r="C363" s="53" t="s">
        <v>37</v>
      </c>
      <c r="D363" s="53" t="s">
        <v>81</v>
      </c>
      <c r="E363" s="53" t="s">
        <v>221</v>
      </c>
      <c r="F363" s="53"/>
      <c r="G363" s="90">
        <f>SUM(G364:G365)</f>
        <v>23748.3</v>
      </c>
    </row>
    <row r="364" spans="1:8" ht="47.25">
      <c r="A364" s="70" t="s">
        <v>54</v>
      </c>
      <c r="B364" s="80"/>
      <c r="C364" s="53" t="s">
        <v>37</v>
      </c>
      <c r="D364" s="53" t="s">
        <v>81</v>
      </c>
      <c r="E364" s="53" t="s">
        <v>221</v>
      </c>
      <c r="F364" s="53" t="s">
        <v>98</v>
      </c>
      <c r="G364" s="90">
        <v>23740.7</v>
      </c>
      <c r="H364" s="130"/>
    </row>
    <row r="365" spans="1:7" ht="31.5">
      <c r="A365" s="51" t="s">
        <v>55</v>
      </c>
      <c r="B365" s="80"/>
      <c r="C365" s="53" t="s">
        <v>37</v>
      </c>
      <c r="D365" s="53" t="s">
        <v>81</v>
      </c>
      <c r="E365" s="53" t="s">
        <v>221</v>
      </c>
      <c r="F365" s="53" t="s">
        <v>100</v>
      </c>
      <c r="G365" s="90">
        <v>7.6</v>
      </c>
    </row>
    <row r="366" spans="1:7" ht="15.75">
      <c r="A366" s="51" t="s">
        <v>156</v>
      </c>
      <c r="B366" s="80"/>
      <c r="C366" s="53" t="s">
        <v>37</v>
      </c>
      <c r="D366" s="53" t="s">
        <v>188</v>
      </c>
      <c r="E366" s="53"/>
      <c r="F366" s="52"/>
      <c r="G366" s="90">
        <f>SUM(G367)</f>
        <v>19.600000000000023</v>
      </c>
    </row>
    <row r="367" spans="1:7" ht="15.75">
      <c r="A367" s="55" t="s">
        <v>222</v>
      </c>
      <c r="B367" s="80"/>
      <c r="C367" s="53" t="s">
        <v>37</v>
      </c>
      <c r="D367" s="53" t="s">
        <v>188</v>
      </c>
      <c r="E367" s="53" t="s">
        <v>216</v>
      </c>
      <c r="F367" s="52"/>
      <c r="G367" s="90">
        <f>SUM(G368)</f>
        <v>19.600000000000023</v>
      </c>
    </row>
    <row r="368" spans="1:7" ht="15.75">
      <c r="A368" s="51" t="s">
        <v>157</v>
      </c>
      <c r="B368" s="80"/>
      <c r="C368" s="53" t="s">
        <v>37</v>
      </c>
      <c r="D368" s="53" t="s">
        <v>188</v>
      </c>
      <c r="E368" s="53" t="s">
        <v>223</v>
      </c>
      <c r="F368" s="52"/>
      <c r="G368" s="90">
        <f>SUM(G369)</f>
        <v>19.600000000000023</v>
      </c>
    </row>
    <row r="369" spans="1:7" ht="15.75">
      <c r="A369" s="51" t="s">
        <v>25</v>
      </c>
      <c r="B369" s="80"/>
      <c r="C369" s="53" t="s">
        <v>37</v>
      </c>
      <c r="D369" s="53" t="s">
        <v>188</v>
      </c>
      <c r="E369" s="53" t="s">
        <v>223</v>
      </c>
      <c r="F369" s="52">
        <v>800</v>
      </c>
      <c r="G369" s="90">
        <f>1000-500-480.4</f>
        <v>19.600000000000023</v>
      </c>
    </row>
    <row r="370" spans="1:7" ht="15.75">
      <c r="A370" s="51" t="s">
        <v>102</v>
      </c>
      <c r="B370" s="80"/>
      <c r="C370" s="53" t="s">
        <v>37</v>
      </c>
      <c r="D370" s="53" t="s">
        <v>103</v>
      </c>
      <c r="E370" s="53"/>
      <c r="F370" s="52"/>
      <c r="G370" s="90">
        <f>SUM(G371)</f>
        <v>7522.1</v>
      </c>
    </row>
    <row r="371" spans="1:7" ht="31.5">
      <c r="A371" s="55" t="s">
        <v>218</v>
      </c>
      <c r="B371" s="80"/>
      <c r="C371" s="53" t="s">
        <v>37</v>
      </c>
      <c r="D371" s="53" t="s">
        <v>103</v>
      </c>
      <c r="E371" s="52" t="s">
        <v>219</v>
      </c>
      <c r="F371" s="52"/>
      <c r="G371" s="90">
        <f>SUM(G372)</f>
        <v>7522.1</v>
      </c>
    </row>
    <row r="372" spans="1:7" ht="31.5">
      <c r="A372" s="51" t="s">
        <v>83</v>
      </c>
      <c r="B372" s="80"/>
      <c r="C372" s="53" t="s">
        <v>37</v>
      </c>
      <c r="D372" s="53" t="s">
        <v>81</v>
      </c>
      <c r="E372" s="53" t="s">
        <v>220</v>
      </c>
      <c r="F372" s="52"/>
      <c r="G372" s="90">
        <f>SUM(G373+G376+G378)</f>
        <v>7522.1</v>
      </c>
    </row>
    <row r="373" spans="1:7" ht="15.75">
      <c r="A373" s="51" t="s">
        <v>104</v>
      </c>
      <c r="B373" s="80"/>
      <c r="C373" s="53" t="s">
        <v>37</v>
      </c>
      <c r="D373" s="53" t="s">
        <v>103</v>
      </c>
      <c r="E373" s="52" t="s">
        <v>224</v>
      </c>
      <c r="F373" s="52"/>
      <c r="G373" s="90">
        <f>SUM(G374:G375)</f>
        <v>213.3</v>
      </c>
    </row>
    <row r="374" spans="1:7" ht="31.5">
      <c r="A374" s="51" t="s">
        <v>55</v>
      </c>
      <c r="B374" s="80"/>
      <c r="C374" s="53" t="s">
        <v>37</v>
      </c>
      <c r="D374" s="53" t="s">
        <v>103</v>
      </c>
      <c r="E374" s="52" t="s">
        <v>224</v>
      </c>
      <c r="F374" s="52">
        <v>200</v>
      </c>
      <c r="G374" s="90">
        <v>211.3</v>
      </c>
    </row>
    <row r="375" spans="1:7" ht="15.75">
      <c r="A375" s="51" t="s">
        <v>25</v>
      </c>
      <c r="B375" s="80"/>
      <c r="C375" s="53" t="s">
        <v>37</v>
      </c>
      <c r="D375" s="53" t="s">
        <v>103</v>
      </c>
      <c r="E375" s="52" t="s">
        <v>224</v>
      </c>
      <c r="F375" s="52">
        <v>800</v>
      </c>
      <c r="G375" s="90">
        <v>2</v>
      </c>
    </row>
    <row r="376" spans="1:7" ht="31.5">
      <c r="A376" s="51" t="s">
        <v>106</v>
      </c>
      <c r="B376" s="80"/>
      <c r="C376" s="53" t="s">
        <v>37</v>
      </c>
      <c r="D376" s="53" t="s">
        <v>103</v>
      </c>
      <c r="E376" s="52" t="s">
        <v>225</v>
      </c>
      <c r="F376" s="52"/>
      <c r="G376" s="90">
        <f>SUM(G377)</f>
        <v>300.6</v>
      </c>
    </row>
    <row r="377" spans="1:7" ht="31.5">
      <c r="A377" s="51" t="s">
        <v>55</v>
      </c>
      <c r="B377" s="80"/>
      <c r="C377" s="53" t="s">
        <v>37</v>
      </c>
      <c r="D377" s="53" t="s">
        <v>103</v>
      </c>
      <c r="E377" s="52" t="s">
        <v>225</v>
      </c>
      <c r="F377" s="52">
        <v>200</v>
      </c>
      <c r="G377" s="90">
        <v>300.6</v>
      </c>
    </row>
    <row r="378" spans="1:7" ht="31.5">
      <c r="A378" s="51" t="s">
        <v>107</v>
      </c>
      <c r="B378" s="80"/>
      <c r="C378" s="53" t="s">
        <v>37</v>
      </c>
      <c r="D378" s="53" t="s">
        <v>103</v>
      </c>
      <c r="E378" s="52" t="s">
        <v>226</v>
      </c>
      <c r="F378" s="52"/>
      <c r="G378" s="90">
        <f>SUM(G379:G380)</f>
        <v>7008.2</v>
      </c>
    </row>
    <row r="379" spans="1:7" ht="31.5">
      <c r="A379" s="51" t="s">
        <v>55</v>
      </c>
      <c r="B379" s="80"/>
      <c r="C379" s="53" t="s">
        <v>37</v>
      </c>
      <c r="D379" s="53" t="s">
        <v>103</v>
      </c>
      <c r="E379" s="52" t="s">
        <v>226</v>
      </c>
      <c r="F379" s="52">
        <v>200</v>
      </c>
      <c r="G379" s="90">
        <v>7008.2</v>
      </c>
    </row>
    <row r="380" spans="1:7" ht="15.75" hidden="1">
      <c r="A380" s="51" t="s">
        <v>25</v>
      </c>
      <c r="B380" s="80"/>
      <c r="C380" s="53" t="s">
        <v>37</v>
      </c>
      <c r="D380" s="53" t="s">
        <v>103</v>
      </c>
      <c r="E380" s="52" t="s">
        <v>226</v>
      </c>
      <c r="F380" s="52">
        <v>800</v>
      </c>
      <c r="G380" s="90"/>
    </row>
    <row r="381" spans="1:7" ht="15.75" hidden="1">
      <c r="A381" s="55" t="s">
        <v>222</v>
      </c>
      <c r="B381" s="80"/>
      <c r="C381" s="53" t="s">
        <v>37</v>
      </c>
      <c r="D381" s="53" t="s">
        <v>103</v>
      </c>
      <c r="E381" s="53" t="s">
        <v>216</v>
      </c>
      <c r="F381" s="52"/>
      <c r="G381" s="90">
        <f>SUM(G382)</f>
        <v>0</v>
      </c>
    </row>
    <row r="382" spans="1:7" ht="31.5" hidden="1">
      <c r="A382" s="51" t="s">
        <v>227</v>
      </c>
      <c r="B382" s="80"/>
      <c r="C382" s="53" t="s">
        <v>37</v>
      </c>
      <c r="D382" s="53" t="s">
        <v>103</v>
      </c>
      <c r="E382" s="53" t="s">
        <v>228</v>
      </c>
      <c r="F382" s="52"/>
      <c r="G382" s="90">
        <f>SUM(G383)</f>
        <v>0</v>
      </c>
    </row>
    <row r="383" spans="1:7" ht="15.75" hidden="1">
      <c r="A383" s="51" t="s">
        <v>25</v>
      </c>
      <c r="B383" s="80"/>
      <c r="C383" s="53" t="s">
        <v>37</v>
      </c>
      <c r="D383" s="53" t="s">
        <v>103</v>
      </c>
      <c r="E383" s="53" t="s">
        <v>228</v>
      </c>
      <c r="F383" s="52">
        <v>800</v>
      </c>
      <c r="G383" s="52"/>
    </row>
    <row r="384" spans="1:7" ht="15.75">
      <c r="A384" s="51" t="s">
        <v>33</v>
      </c>
      <c r="B384" s="80"/>
      <c r="C384" s="53" t="s">
        <v>34</v>
      </c>
      <c r="D384" s="53"/>
      <c r="E384" s="52"/>
      <c r="F384" s="52"/>
      <c r="G384" s="52">
        <f>SUM(G385)</f>
        <v>22.10000000000009</v>
      </c>
    </row>
    <row r="385" spans="1:7" ht="15.75">
      <c r="A385" s="51" t="s">
        <v>80</v>
      </c>
      <c r="B385" s="80"/>
      <c r="C385" s="53" t="s">
        <v>34</v>
      </c>
      <c r="D385" s="53" t="s">
        <v>81</v>
      </c>
      <c r="E385" s="52"/>
      <c r="F385" s="52"/>
      <c r="G385" s="52">
        <f>SUM(G386)</f>
        <v>22.10000000000009</v>
      </c>
    </row>
    <row r="386" spans="1:7" ht="15.75">
      <c r="A386" s="55" t="s">
        <v>222</v>
      </c>
      <c r="B386" s="80"/>
      <c r="C386" s="53" t="s">
        <v>34</v>
      </c>
      <c r="D386" s="53" t="s">
        <v>81</v>
      </c>
      <c r="E386" s="53" t="s">
        <v>216</v>
      </c>
      <c r="F386" s="52"/>
      <c r="G386" s="52">
        <f>SUM(G387)</f>
        <v>22.10000000000009</v>
      </c>
    </row>
    <row r="387" spans="1:7" ht="47.25">
      <c r="A387" s="51" t="s">
        <v>643</v>
      </c>
      <c r="B387" s="80"/>
      <c r="C387" s="53" t="s">
        <v>34</v>
      </c>
      <c r="D387" s="53" t="s">
        <v>81</v>
      </c>
      <c r="E387" s="52" t="s">
        <v>229</v>
      </c>
      <c r="F387" s="52"/>
      <c r="G387" s="52">
        <f>SUM(G388)</f>
        <v>22.10000000000009</v>
      </c>
    </row>
    <row r="388" spans="1:7" ht="15.75">
      <c r="A388" s="51" t="s">
        <v>25</v>
      </c>
      <c r="B388" s="80"/>
      <c r="C388" s="53" t="s">
        <v>34</v>
      </c>
      <c r="D388" s="53" t="s">
        <v>81</v>
      </c>
      <c r="E388" s="52" t="s">
        <v>229</v>
      </c>
      <c r="F388" s="52">
        <v>800</v>
      </c>
      <c r="G388" s="52">
        <f>397.6+4+486.3-60-200-272.5-75.5-60-200+2.2</f>
        <v>22.10000000000009</v>
      </c>
    </row>
    <row r="389" spans="1:7" ht="15.75">
      <c r="A389" s="51" t="s">
        <v>230</v>
      </c>
      <c r="B389" s="80"/>
      <c r="C389" s="53" t="s">
        <v>103</v>
      </c>
      <c r="D389" s="53"/>
      <c r="E389" s="52"/>
      <c r="F389" s="52"/>
      <c r="G389" s="52">
        <f>SUM(G390)</f>
        <v>14305.2</v>
      </c>
    </row>
    <row r="390" spans="1:7" ht="15.75">
      <c r="A390" s="51" t="s">
        <v>231</v>
      </c>
      <c r="B390" s="80"/>
      <c r="C390" s="53" t="s">
        <v>103</v>
      </c>
      <c r="D390" s="53" t="s">
        <v>37</v>
      </c>
      <c r="E390" s="52"/>
      <c r="F390" s="52"/>
      <c r="G390" s="52">
        <f>SUM(G391)</f>
        <v>14305.2</v>
      </c>
    </row>
    <row r="391" spans="1:7" ht="31.5">
      <c r="A391" s="55" t="s">
        <v>218</v>
      </c>
      <c r="B391" s="80"/>
      <c r="C391" s="53" t="s">
        <v>103</v>
      </c>
      <c r="D391" s="53" t="s">
        <v>37</v>
      </c>
      <c r="E391" s="52" t="s">
        <v>219</v>
      </c>
      <c r="F391" s="52"/>
      <c r="G391" s="52">
        <f>SUM(G392)</f>
        <v>14305.2</v>
      </c>
    </row>
    <row r="392" spans="1:7" ht="15.75">
      <c r="A392" s="51" t="s">
        <v>232</v>
      </c>
      <c r="B392" s="80"/>
      <c r="C392" s="53" t="s">
        <v>103</v>
      </c>
      <c r="D392" s="53" t="s">
        <v>37</v>
      </c>
      <c r="E392" s="52" t="s">
        <v>233</v>
      </c>
      <c r="F392" s="52"/>
      <c r="G392" s="52">
        <f>SUM(G393)</f>
        <v>14305.2</v>
      </c>
    </row>
    <row r="393" spans="1:7" ht="15.75">
      <c r="A393" s="51" t="s">
        <v>234</v>
      </c>
      <c r="B393" s="80"/>
      <c r="C393" s="53" t="s">
        <v>103</v>
      </c>
      <c r="D393" s="53" t="s">
        <v>37</v>
      </c>
      <c r="E393" s="52" t="s">
        <v>233</v>
      </c>
      <c r="F393" s="52">
        <v>700</v>
      </c>
      <c r="G393" s="52">
        <v>14305.2</v>
      </c>
    </row>
    <row r="394" spans="1:7" s="122" customFormat="1" ht="31.5">
      <c r="A394" s="119" t="s">
        <v>13</v>
      </c>
      <c r="B394" s="65" t="s">
        <v>14</v>
      </c>
      <c r="C394" s="124"/>
      <c r="D394" s="124"/>
      <c r="E394" s="124"/>
      <c r="F394" s="124"/>
      <c r="G394" s="131">
        <f>G395+G407</f>
        <v>1008080.9000000001</v>
      </c>
    </row>
    <row r="395" spans="1:7" ht="15.75" hidden="1">
      <c r="A395" s="51" t="s">
        <v>15</v>
      </c>
      <c r="B395" s="53"/>
      <c r="C395" s="53" t="s">
        <v>16</v>
      </c>
      <c r="D395" s="52"/>
      <c r="E395" s="52"/>
      <c r="F395" s="52"/>
      <c r="G395" s="54">
        <f>G396+G402</f>
        <v>0</v>
      </c>
    </row>
    <row r="396" spans="1:7" ht="15.75" hidden="1">
      <c r="A396" s="51" t="s">
        <v>17</v>
      </c>
      <c r="B396" s="53"/>
      <c r="C396" s="53" t="s">
        <v>16</v>
      </c>
      <c r="D396" s="53" t="s">
        <v>18</v>
      </c>
      <c r="E396" s="52"/>
      <c r="F396" s="52"/>
      <c r="G396" s="54">
        <f>G397</f>
        <v>0</v>
      </c>
    </row>
    <row r="397" spans="1:7" ht="31.5" hidden="1">
      <c r="A397" s="51" t="s">
        <v>87</v>
      </c>
      <c r="B397" s="53"/>
      <c r="C397" s="53" t="s">
        <v>16</v>
      </c>
      <c r="D397" s="53" t="s">
        <v>18</v>
      </c>
      <c r="E397" s="52" t="s">
        <v>19</v>
      </c>
      <c r="F397" s="52"/>
      <c r="G397" s="54">
        <f>G398</f>
        <v>0</v>
      </c>
    </row>
    <row r="398" spans="1:7" ht="31.5" hidden="1">
      <c r="A398" s="51" t="s">
        <v>88</v>
      </c>
      <c r="B398" s="53"/>
      <c r="C398" s="53" t="s">
        <v>16</v>
      </c>
      <c r="D398" s="53" t="s">
        <v>18</v>
      </c>
      <c r="E398" s="52" t="s">
        <v>20</v>
      </c>
      <c r="F398" s="52"/>
      <c r="G398" s="54">
        <f>G399</f>
        <v>0</v>
      </c>
    </row>
    <row r="399" spans="1:7" ht="47.25" hidden="1">
      <c r="A399" s="51" t="s">
        <v>21</v>
      </c>
      <c r="B399" s="53"/>
      <c r="C399" s="53" t="s">
        <v>16</v>
      </c>
      <c r="D399" s="53" t="s">
        <v>18</v>
      </c>
      <c r="E399" s="52" t="s">
        <v>22</v>
      </c>
      <c r="F399" s="52"/>
      <c r="G399" s="54">
        <f>SUM(G400)</f>
        <v>0</v>
      </c>
    </row>
    <row r="400" spans="1:7" ht="15.75" hidden="1">
      <c r="A400" s="51" t="s">
        <v>23</v>
      </c>
      <c r="B400" s="53"/>
      <c r="C400" s="53" t="s">
        <v>16</v>
      </c>
      <c r="D400" s="53" t="s">
        <v>18</v>
      </c>
      <c r="E400" s="52" t="s">
        <v>24</v>
      </c>
      <c r="F400" s="52"/>
      <c r="G400" s="54">
        <f>G401</f>
        <v>0</v>
      </c>
    </row>
    <row r="401" spans="1:7" ht="14.25" customHeight="1" hidden="1">
      <c r="A401" s="51" t="s">
        <v>25</v>
      </c>
      <c r="B401" s="53"/>
      <c r="C401" s="53" t="s">
        <v>16</v>
      </c>
      <c r="D401" s="53" t="s">
        <v>18</v>
      </c>
      <c r="E401" s="52" t="s">
        <v>24</v>
      </c>
      <c r="F401" s="52">
        <v>800</v>
      </c>
      <c r="G401" s="54"/>
    </row>
    <row r="402" spans="1:7" ht="15.75" hidden="1">
      <c r="A402" s="51" t="s">
        <v>26</v>
      </c>
      <c r="B402" s="53"/>
      <c r="C402" s="53" t="s">
        <v>16</v>
      </c>
      <c r="D402" s="53" t="s">
        <v>27</v>
      </c>
      <c r="E402" s="52"/>
      <c r="F402" s="52"/>
      <c r="G402" s="54">
        <f>G403</f>
        <v>0</v>
      </c>
    </row>
    <row r="403" spans="1:7" ht="63" hidden="1">
      <c r="A403" s="51" t="s">
        <v>89</v>
      </c>
      <c r="B403" s="53"/>
      <c r="C403" s="53" t="s">
        <v>16</v>
      </c>
      <c r="D403" s="53" t="s">
        <v>27</v>
      </c>
      <c r="E403" s="52" t="s">
        <v>28</v>
      </c>
      <c r="F403" s="52"/>
      <c r="G403" s="54">
        <f>G404</f>
        <v>0</v>
      </c>
    </row>
    <row r="404" spans="1:7" ht="47.25" hidden="1">
      <c r="A404" s="51" t="s">
        <v>29</v>
      </c>
      <c r="B404" s="53"/>
      <c r="C404" s="53" t="s">
        <v>16</v>
      </c>
      <c r="D404" s="53" t="s">
        <v>27</v>
      </c>
      <c r="E404" s="52" t="s">
        <v>30</v>
      </c>
      <c r="F404" s="52"/>
      <c r="G404" s="54">
        <f>SUM(G405)</f>
        <v>0</v>
      </c>
    </row>
    <row r="405" spans="1:7" ht="31.5" hidden="1">
      <c r="A405" s="51" t="s">
        <v>31</v>
      </c>
      <c r="B405" s="53"/>
      <c r="C405" s="53" t="s">
        <v>16</v>
      </c>
      <c r="D405" s="53" t="s">
        <v>27</v>
      </c>
      <c r="E405" s="52" t="s">
        <v>32</v>
      </c>
      <c r="F405" s="52"/>
      <c r="G405" s="54">
        <f>G406</f>
        <v>0</v>
      </c>
    </row>
    <row r="406" spans="1:7" ht="31.5" hidden="1">
      <c r="A406" s="51" t="s">
        <v>75</v>
      </c>
      <c r="B406" s="53"/>
      <c r="C406" s="53" t="s">
        <v>16</v>
      </c>
      <c r="D406" s="53" t="s">
        <v>27</v>
      </c>
      <c r="E406" s="52" t="s">
        <v>32</v>
      </c>
      <c r="F406" s="52">
        <v>600</v>
      </c>
      <c r="G406" s="54"/>
    </row>
    <row r="407" spans="1:7" ht="15.75">
      <c r="A407" s="51" t="s">
        <v>33</v>
      </c>
      <c r="B407" s="53"/>
      <c r="C407" s="53" t="s">
        <v>34</v>
      </c>
      <c r="D407" s="53" t="s">
        <v>35</v>
      </c>
      <c r="E407" s="52"/>
      <c r="F407" s="52"/>
      <c r="G407" s="54">
        <f>G408+G415+G430+G551+G521</f>
        <v>1008080.9000000001</v>
      </c>
    </row>
    <row r="408" spans="1:7" ht="15.75">
      <c r="A408" s="51" t="s">
        <v>36</v>
      </c>
      <c r="B408" s="53"/>
      <c r="C408" s="53" t="s">
        <v>34</v>
      </c>
      <c r="D408" s="53" t="s">
        <v>37</v>
      </c>
      <c r="E408" s="52"/>
      <c r="F408" s="52"/>
      <c r="G408" s="54">
        <f>G409</f>
        <v>7468.3</v>
      </c>
    </row>
    <row r="409" spans="1:7" ht="31.5">
      <c r="A409" s="51" t="s">
        <v>87</v>
      </c>
      <c r="B409" s="53"/>
      <c r="C409" s="53" t="s">
        <v>34</v>
      </c>
      <c r="D409" s="53" t="s">
        <v>37</v>
      </c>
      <c r="E409" s="52" t="s">
        <v>19</v>
      </c>
      <c r="F409" s="52"/>
      <c r="G409" s="54">
        <f>G410</f>
        <v>7468.3</v>
      </c>
    </row>
    <row r="410" spans="1:7" ht="31.5">
      <c r="A410" s="51" t="s">
        <v>88</v>
      </c>
      <c r="B410" s="53"/>
      <c r="C410" s="53" t="s">
        <v>34</v>
      </c>
      <c r="D410" s="53" t="s">
        <v>37</v>
      </c>
      <c r="E410" s="52" t="s">
        <v>20</v>
      </c>
      <c r="F410" s="52"/>
      <c r="G410" s="54">
        <f>G411</f>
        <v>7468.3</v>
      </c>
    </row>
    <row r="411" spans="1:7" ht="15.75">
      <c r="A411" s="51" t="s">
        <v>38</v>
      </c>
      <c r="B411" s="53"/>
      <c r="C411" s="53" t="s">
        <v>34</v>
      </c>
      <c r="D411" s="53" t="s">
        <v>37</v>
      </c>
      <c r="E411" s="52" t="s">
        <v>39</v>
      </c>
      <c r="F411" s="52"/>
      <c r="G411" s="54">
        <f>SUM(G412)</f>
        <v>7468.3</v>
      </c>
    </row>
    <row r="412" spans="1:7" ht="15.75">
      <c r="A412" s="51" t="s">
        <v>41</v>
      </c>
      <c r="B412" s="53"/>
      <c r="C412" s="53" t="s">
        <v>34</v>
      </c>
      <c r="D412" s="53" t="s">
        <v>37</v>
      </c>
      <c r="E412" s="52" t="s">
        <v>42</v>
      </c>
      <c r="F412" s="52"/>
      <c r="G412" s="54">
        <f>G413</f>
        <v>7468.3</v>
      </c>
    </row>
    <row r="413" spans="1:7" ht="31.5">
      <c r="A413" s="51" t="s">
        <v>43</v>
      </c>
      <c r="B413" s="53"/>
      <c r="C413" s="53" t="s">
        <v>34</v>
      </c>
      <c r="D413" s="53" t="s">
        <v>37</v>
      </c>
      <c r="E413" s="52" t="s">
        <v>44</v>
      </c>
      <c r="F413" s="52"/>
      <c r="G413" s="54">
        <f>G414</f>
        <v>7468.3</v>
      </c>
    </row>
    <row r="414" spans="1:7" ht="15.75">
      <c r="A414" s="51" t="s">
        <v>45</v>
      </c>
      <c r="B414" s="53"/>
      <c r="C414" s="53" t="s">
        <v>34</v>
      </c>
      <c r="D414" s="53" t="s">
        <v>37</v>
      </c>
      <c r="E414" s="52" t="s">
        <v>44</v>
      </c>
      <c r="F414" s="52">
        <v>300</v>
      </c>
      <c r="G414" s="54">
        <v>7468.3</v>
      </c>
    </row>
    <row r="415" spans="1:7" ht="15.75">
      <c r="A415" s="51" t="s">
        <v>46</v>
      </c>
      <c r="B415" s="53"/>
      <c r="C415" s="53" t="s">
        <v>34</v>
      </c>
      <c r="D415" s="53" t="s">
        <v>47</v>
      </c>
      <c r="E415" s="52"/>
      <c r="F415" s="52"/>
      <c r="G415" s="54">
        <f>G423+G416</f>
        <v>55175.8</v>
      </c>
    </row>
    <row r="416" spans="1:7" ht="31.5">
      <c r="A416" s="51" t="s">
        <v>553</v>
      </c>
      <c r="B416" s="53"/>
      <c r="C416" s="53" t="s">
        <v>34</v>
      </c>
      <c r="D416" s="53" t="s">
        <v>47</v>
      </c>
      <c r="E416" s="53" t="s">
        <v>539</v>
      </c>
      <c r="F416" s="52"/>
      <c r="G416" s="54">
        <f>G417</f>
        <v>52975.8</v>
      </c>
    </row>
    <row r="417" spans="1:7" ht="31.5">
      <c r="A417" s="51" t="s">
        <v>554</v>
      </c>
      <c r="B417" s="53"/>
      <c r="C417" s="53" t="s">
        <v>34</v>
      </c>
      <c r="D417" s="53" t="s">
        <v>47</v>
      </c>
      <c r="E417" s="53" t="s">
        <v>555</v>
      </c>
      <c r="F417" s="52"/>
      <c r="G417" s="54">
        <f>G418</f>
        <v>52975.8</v>
      </c>
    </row>
    <row r="418" spans="1:7" ht="78.75">
      <c r="A418" s="51" t="s">
        <v>316</v>
      </c>
      <c r="B418" s="53"/>
      <c r="C418" s="53" t="s">
        <v>34</v>
      </c>
      <c r="D418" s="53" t="s">
        <v>47</v>
      </c>
      <c r="E418" s="53" t="s">
        <v>556</v>
      </c>
      <c r="F418" s="52"/>
      <c r="G418" s="54">
        <f>G419</f>
        <v>52975.8</v>
      </c>
    </row>
    <row r="419" spans="1:7" ht="31.5">
      <c r="A419" s="51" t="s">
        <v>557</v>
      </c>
      <c r="B419" s="53"/>
      <c r="C419" s="53" t="s">
        <v>34</v>
      </c>
      <c r="D419" s="53" t="s">
        <v>47</v>
      </c>
      <c r="E419" s="53" t="s">
        <v>558</v>
      </c>
      <c r="F419" s="52"/>
      <c r="G419" s="54">
        <f>G420+G421+G422</f>
        <v>52975.8</v>
      </c>
    </row>
    <row r="420" spans="1:7" ht="47.25">
      <c r="A420" s="51" t="s">
        <v>54</v>
      </c>
      <c r="B420" s="53"/>
      <c r="C420" s="53" t="s">
        <v>34</v>
      </c>
      <c r="D420" s="53" t="s">
        <v>47</v>
      </c>
      <c r="E420" s="53" t="s">
        <v>558</v>
      </c>
      <c r="F420" s="52">
        <v>100</v>
      </c>
      <c r="G420" s="54">
        <v>44851.4</v>
      </c>
    </row>
    <row r="421" spans="1:7" ht="31.5">
      <c r="A421" s="51" t="s">
        <v>55</v>
      </c>
      <c r="B421" s="53"/>
      <c r="C421" s="53" t="s">
        <v>34</v>
      </c>
      <c r="D421" s="53" t="s">
        <v>47</v>
      </c>
      <c r="E421" s="53" t="s">
        <v>558</v>
      </c>
      <c r="F421" s="52">
        <v>200</v>
      </c>
      <c r="G421" s="54">
        <v>7911.4</v>
      </c>
    </row>
    <row r="422" spans="1:7" ht="15.75">
      <c r="A422" s="51" t="s">
        <v>25</v>
      </c>
      <c r="B422" s="53"/>
      <c r="C422" s="53" t="s">
        <v>34</v>
      </c>
      <c r="D422" s="53" t="s">
        <v>47</v>
      </c>
      <c r="E422" s="53" t="s">
        <v>558</v>
      </c>
      <c r="F422" s="52">
        <v>800</v>
      </c>
      <c r="G422" s="54">
        <v>213</v>
      </c>
    </row>
    <row r="423" spans="1:7" ht="31.5">
      <c r="A423" s="51" t="s">
        <v>87</v>
      </c>
      <c r="B423" s="53"/>
      <c r="C423" s="53" t="s">
        <v>34</v>
      </c>
      <c r="D423" s="53" t="s">
        <v>47</v>
      </c>
      <c r="E423" s="52" t="s">
        <v>19</v>
      </c>
      <c r="F423" s="52"/>
      <c r="G423" s="54">
        <f>G424</f>
        <v>2200</v>
      </c>
    </row>
    <row r="424" spans="1:7" ht="31.5">
      <c r="A424" s="51" t="s">
        <v>88</v>
      </c>
      <c r="B424" s="53"/>
      <c r="C424" s="53" t="s">
        <v>34</v>
      </c>
      <c r="D424" s="53" t="s">
        <v>47</v>
      </c>
      <c r="E424" s="52" t="s">
        <v>20</v>
      </c>
      <c r="F424" s="52"/>
      <c r="G424" s="54">
        <f>G425</f>
        <v>2200</v>
      </c>
    </row>
    <row r="425" spans="1:7" ht="31.5">
      <c r="A425" s="51" t="s">
        <v>48</v>
      </c>
      <c r="B425" s="53"/>
      <c r="C425" s="53" t="s">
        <v>34</v>
      </c>
      <c r="D425" s="53" t="s">
        <v>47</v>
      </c>
      <c r="E425" s="52" t="s">
        <v>49</v>
      </c>
      <c r="F425" s="52"/>
      <c r="G425" s="54">
        <f>SUM(G426)</f>
        <v>2200</v>
      </c>
    </row>
    <row r="426" spans="1:7" ht="15.75">
      <c r="A426" s="51" t="s">
        <v>50</v>
      </c>
      <c r="B426" s="53"/>
      <c r="C426" s="53" t="s">
        <v>34</v>
      </c>
      <c r="D426" s="53" t="s">
        <v>47</v>
      </c>
      <c r="E426" s="52" t="s">
        <v>51</v>
      </c>
      <c r="F426" s="52"/>
      <c r="G426" s="54">
        <f>G427</f>
        <v>2200</v>
      </c>
    </row>
    <row r="427" spans="1:7" ht="31.5">
      <c r="A427" s="51" t="s">
        <v>52</v>
      </c>
      <c r="B427" s="53"/>
      <c r="C427" s="53" t="s">
        <v>34</v>
      </c>
      <c r="D427" s="53" t="s">
        <v>47</v>
      </c>
      <c r="E427" s="52" t="s">
        <v>53</v>
      </c>
      <c r="F427" s="52"/>
      <c r="G427" s="54">
        <f>G428+G429</f>
        <v>2200</v>
      </c>
    </row>
    <row r="428" spans="1:7" ht="47.25">
      <c r="A428" s="51" t="s">
        <v>54</v>
      </c>
      <c r="B428" s="53"/>
      <c r="C428" s="53" t="s">
        <v>34</v>
      </c>
      <c r="D428" s="53" t="s">
        <v>47</v>
      </c>
      <c r="E428" s="52" t="s">
        <v>53</v>
      </c>
      <c r="F428" s="52">
        <v>100</v>
      </c>
      <c r="G428" s="54">
        <v>1190</v>
      </c>
    </row>
    <row r="429" spans="1:7" ht="31.5">
      <c r="A429" s="51" t="s">
        <v>55</v>
      </c>
      <c r="B429" s="53"/>
      <c r="C429" s="53" t="s">
        <v>34</v>
      </c>
      <c r="D429" s="53" t="s">
        <v>47</v>
      </c>
      <c r="E429" s="52" t="s">
        <v>53</v>
      </c>
      <c r="F429" s="52">
        <v>200</v>
      </c>
      <c r="G429" s="54">
        <v>1010</v>
      </c>
    </row>
    <row r="430" spans="1:7" ht="15.75">
      <c r="A430" s="51" t="s">
        <v>56</v>
      </c>
      <c r="B430" s="53"/>
      <c r="C430" s="53" t="s">
        <v>34</v>
      </c>
      <c r="D430" s="53" t="s">
        <v>57</v>
      </c>
      <c r="E430" s="52"/>
      <c r="F430" s="52"/>
      <c r="G430" s="54">
        <f>G487+G512+G431+G516</f>
        <v>716735.2000000001</v>
      </c>
    </row>
    <row r="431" spans="1:7" ht="31.5">
      <c r="A431" s="51" t="s">
        <v>553</v>
      </c>
      <c r="B431" s="53"/>
      <c r="C431" s="53" t="s">
        <v>34</v>
      </c>
      <c r="D431" s="53" t="s">
        <v>57</v>
      </c>
      <c r="E431" s="53" t="s">
        <v>539</v>
      </c>
      <c r="F431" s="52"/>
      <c r="G431" s="54">
        <f>G432+G437</f>
        <v>707874.4</v>
      </c>
    </row>
    <row r="432" spans="1:7" ht="15.75">
      <c r="A432" s="51" t="s">
        <v>559</v>
      </c>
      <c r="B432" s="53"/>
      <c r="C432" s="53" t="s">
        <v>34</v>
      </c>
      <c r="D432" s="53" t="s">
        <v>57</v>
      </c>
      <c r="E432" s="53" t="s">
        <v>540</v>
      </c>
      <c r="F432" s="52"/>
      <c r="G432" s="54">
        <f>G433</f>
        <v>91135.7</v>
      </c>
    </row>
    <row r="433" spans="1:7" ht="78.75">
      <c r="A433" s="51" t="s">
        <v>316</v>
      </c>
      <c r="B433" s="53"/>
      <c r="C433" s="53" t="s">
        <v>34</v>
      </c>
      <c r="D433" s="53" t="s">
        <v>57</v>
      </c>
      <c r="E433" s="53" t="s">
        <v>541</v>
      </c>
      <c r="F433" s="52"/>
      <c r="G433" s="54">
        <f>G434</f>
        <v>91135.7</v>
      </c>
    </row>
    <row r="434" spans="1:7" ht="110.25">
      <c r="A434" s="51" t="s">
        <v>560</v>
      </c>
      <c r="B434" s="53"/>
      <c r="C434" s="53" t="s">
        <v>34</v>
      </c>
      <c r="D434" s="53" t="s">
        <v>57</v>
      </c>
      <c r="E434" s="53" t="s">
        <v>561</v>
      </c>
      <c r="F434" s="52"/>
      <c r="G434" s="54">
        <f>G435+G436</f>
        <v>91135.7</v>
      </c>
    </row>
    <row r="435" spans="1:7" ht="31.5">
      <c r="A435" s="51" t="s">
        <v>55</v>
      </c>
      <c r="B435" s="53"/>
      <c r="C435" s="53" t="s">
        <v>34</v>
      </c>
      <c r="D435" s="53" t="s">
        <v>57</v>
      </c>
      <c r="E435" s="53" t="s">
        <v>561</v>
      </c>
      <c r="F435" s="52">
        <v>200</v>
      </c>
      <c r="G435" s="54">
        <v>1241.9</v>
      </c>
    </row>
    <row r="436" spans="1:7" ht="15.75">
      <c r="A436" s="51" t="s">
        <v>45</v>
      </c>
      <c r="B436" s="53"/>
      <c r="C436" s="53" t="s">
        <v>34</v>
      </c>
      <c r="D436" s="53" t="s">
        <v>57</v>
      </c>
      <c r="E436" s="53" t="s">
        <v>561</v>
      </c>
      <c r="F436" s="52">
        <v>300</v>
      </c>
      <c r="G436" s="54">
        <v>89893.8</v>
      </c>
    </row>
    <row r="437" spans="1:7" ht="31.5">
      <c r="A437" s="51" t="s">
        <v>562</v>
      </c>
      <c r="B437" s="53"/>
      <c r="C437" s="53" t="s">
        <v>34</v>
      </c>
      <c r="D437" s="53" t="s">
        <v>57</v>
      </c>
      <c r="E437" s="53" t="s">
        <v>563</v>
      </c>
      <c r="F437" s="52"/>
      <c r="G437" s="54">
        <f>G438</f>
        <v>616738.7000000001</v>
      </c>
    </row>
    <row r="438" spans="1:7" ht="78.75">
      <c r="A438" s="51" t="s">
        <v>316</v>
      </c>
      <c r="B438" s="53"/>
      <c r="C438" s="53" t="s">
        <v>34</v>
      </c>
      <c r="D438" s="53" t="s">
        <v>57</v>
      </c>
      <c r="E438" s="53" t="s">
        <v>564</v>
      </c>
      <c r="F438" s="52"/>
      <c r="G438" s="54">
        <f>G439+G442+G445+G448+G451+G454+G457+G460+G463+G466+G469+G472+G475+G478+G481+G484</f>
        <v>616738.7000000001</v>
      </c>
    </row>
    <row r="439" spans="1:7" ht="47.25">
      <c r="A439" s="51" t="s">
        <v>565</v>
      </c>
      <c r="B439" s="53"/>
      <c r="C439" s="53" t="s">
        <v>34</v>
      </c>
      <c r="D439" s="53" t="s">
        <v>57</v>
      </c>
      <c r="E439" s="53" t="s">
        <v>566</v>
      </c>
      <c r="F439" s="52"/>
      <c r="G439" s="54">
        <f>G440+G441</f>
        <v>171422.19999999998</v>
      </c>
    </row>
    <row r="440" spans="1:7" ht="31.5">
      <c r="A440" s="51" t="s">
        <v>55</v>
      </c>
      <c r="B440" s="53"/>
      <c r="C440" s="53" t="s">
        <v>34</v>
      </c>
      <c r="D440" s="53" t="s">
        <v>57</v>
      </c>
      <c r="E440" s="53" t="s">
        <v>566</v>
      </c>
      <c r="F440" s="52">
        <v>200</v>
      </c>
      <c r="G440" s="54">
        <v>2555.4</v>
      </c>
    </row>
    <row r="441" spans="1:7" ht="15.75">
      <c r="A441" s="51" t="s">
        <v>45</v>
      </c>
      <c r="B441" s="53"/>
      <c r="C441" s="53" t="s">
        <v>34</v>
      </c>
      <c r="D441" s="53" t="s">
        <v>57</v>
      </c>
      <c r="E441" s="53" t="s">
        <v>566</v>
      </c>
      <c r="F441" s="52">
        <v>300</v>
      </c>
      <c r="G441" s="54">
        <v>168866.8</v>
      </c>
    </row>
    <row r="442" spans="1:7" ht="47.25">
      <c r="A442" s="51" t="s">
        <v>567</v>
      </c>
      <c r="B442" s="53"/>
      <c r="C442" s="53" t="s">
        <v>34</v>
      </c>
      <c r="D442" s="53" t="s">
        <v>57</v>
      </c>
      <c r="E442" s="53" t="s">
        <v>568</v>
      </c>
      <c r="F442" s="53"/>
      <c r="G442" s="54">
        <f>G443+G444</f>
        <v>8404.2</v>
      </c>
    </row>
    <row r="443" spans="1:7" ht="31.5">
      <c r="A443" s="51" t="s">
        <v>55</v>
      </c>
      <c r="B443" s="53"/>
      <c r="C443" s="53" t="s">
        <v>34</v>
      </c>
      <c r="D443" s="53" t="s">
        <v>57</v>
      </c>
      <c r="E443" s="53" t="s">
        <v>568</v>
      </c>
      <c r="F443" s="53" t="s">
        <v>100</v>
      </c>
      <c r="G443" s="54">
        <v>125.5</v>
      </c>
    </row>
    <row r="444" spans="1:7" ht="15.75">
      <c r="A444" s="51" t="s">
        <v>45</v>
      </c>
      <c r="B444" s="53"/>
      <c r="C444" s="53" t="s">
        <v>34</v>
      </c>
      <c r="D444" s="53" t="s">
        <v>57</v>
      </c>
      <c r="E444" s="53" t="s">
        <v>568</v>
      </c>
      <c r="F444" s="53" t="s">
        <v>108</v>
      </c>
      <c r="G444" s="54">
        <v>8278.7</v>
      </c>
    </row>
    <row r="445" spans="1:7" ht="31.5">
      <c r="A445" s="51" t="s">
        <v>569</v>
      </c>
      <c r="B445" s="53"/>
      <c r="C445" s="53" t="s">
        <v>34</v>
      </c>
      <c r="D445" s="53" t="s">
        <v>57</v>
      </c>
      <c r="E445" s="53" t="s">
        <v>570</v>
      </c>
      <c r="F445" s="53"/>
      <c r="G445" s="54">
        <f>G446+G447</f>
        <v>105759.9</v>
      </c>
    </row>
    <row r="446" spans="1:7" ht="31.5">
      <c r="A446" s="51" t="s">
        <v>55</v>
      </c>
      <c r="B446" s="53"/>
      <c r="C446" s="53" t="s">
        <v>34</v>
      </c>
      <c r="D446" s="53" t="s">
        <v>57</v>
      </c>
      <c r="E446" s="53" t="s">
        <v>570</v>
      </c>
      <c r="F446" s="53" t="s">
        <v>100</v>
      </c>
      <c r="G446" s="54">
        <v>1574.4</v>
      </c>
    </row>
    <row r="447" spans="1:7" ht="15.75">
      <c r="A447" s="51" t="s">
        <v>45</v>
      </c>
      <c r="B447" s="53"/>
      <c r="C447" s="53" t="s">
        <v>34</v>
      </c>
      <c r="D447" s="53" t="s">
        <v>57</v>
      </c>
      <c r="E447" s="53" t="s">
        <v>570</v>
      </c>
      <c r="F447" s="53" t="s">
        <v>108</v>
      </c>
      <c r="G447" s="54">
        <v>104185.5</v>
      </c>
    </row>
    <row r="448" spans="1:7" ht="47.25">
      <c r="A448" s="51" t="s">
        <v>571</v>
      </c>
      <c r="B448" s="53"/>
      <c r="C448" s="53" t="s">
        <v>34</v>
      </c>
      <c r="D448" s="53" t="s">
        <v>57</v>
      </c>
      <c r="E448" s="53" t="s">
        <v>572</v>
      </c>
      <c r="F448" s="53"/>
      <c r="G448" s="54">
        <f>G449+G450</f>
        <v>710.9</v>
      </c>
    </row>
    <row r="449" spans="1:7" ht="31.5">
      <c r="A449" s="51" t="s">
        <v>55</v>
      </c>
      <c r="B449" s="53"/>
      <c r="C449" s="53" t="s">
        <v>34</v>
      </c>
      <c r="D449" s="53" t="s">
        <v>57</v>
      </c>
      <c r="E449" s="53" t="s">
        <v>572</v>
      </c>
      <c r="F449" s="53" t="s">
        <v>100</v>
      </c>
      <c r="G449" s="54">
        <v>10.9</v>
      </c>
    </row>
    <row r="450" spans="1:7" ht="15.75">
      <c r="A450" s="51" t="s">
        <v>45</v>
      </c>
      <c r="B450" s="53"/>
      <c r="C450" s="53" t="s">
        <v>34</v>
      </c>
      <c r="D450" s="53" t="s">
        <v>57</v>
      </c>
      <c r="E450" s="53" t="s">
        <v>572</v>
      </c>
      <c r="F450" s="53" t="s">
        <v>108</v>
      </c>
      <c r="G450" s="54">
        <v>700</v>
      </c>
    </row>
    <row r="451" spans="1:7" ht="47.25">
      <c r="A451" s="51" t="s">
        <v>573</v>
      </c>
      <c r="B451" s="53"/>
      <c r="C451" s="53" t="s">
        <v>34</v>
      </c>
      <c r="D451" s="53" t="s">
        <v>57</v>
      </c>
      <c r="E451" s="53" t="s">
        <v>574</v>
      </c>
      <c r="F451" s="53"/>
      <c r="G451" s="54">
        <f>G452+G453</f>
        <v>90</v>
      </c>
    </row>
    <row r="452" spans="1:7" ht="31.5">
      <c r="A452" s="51" t="s">
        <v>55</v>
      </c>
      <c r="B452" s="53"/>
      <c r="C452" s="53" t="s">
        <v>34</v>
      </c>
      <c r="D452" s="53" t="s">
        <v>57</v>
      </c>
      <c r="E452" s="53" t="s">
        <v>574</v>
      </c>
      <c r="F452" s="53" t="s">
        <v>100</v>
      </c>
      <c r="G452" s="54">
        <v>1.5</v>
      </c>
    </row>
    <row r="453" spans="1:7" ht="15.75">
      <c r="A453" s="51" t="s">
        <v>45</v>
      </c>
      <c r="B453" s="53"/>
      <c r="C453" s="53" t="s">
        <v>34</v>
      </c>
      <c r="D453" s="53" t="s">
        <v>57</v>
      </c>
      <c r="E453" s="53" t="s">
        <v>574</v>
      </c>
      <c r="F453" s="53" t="s">
        <v>108</v>
      </c>
      <c r="G453" s="54">
        <v>88.5</v>
      </c>
    </row>
    <row r="454" spans="1:7" ht="63">
      <c r="A454" s="51" t="s">
        <v>575</v>
      </c>
      <c r="B454" s="53"/>
      <c r="C454" s="53" t="s">
        <v>34</v>
      </c>
      <c r="D454" s="53" t="s">
        <v>57</v>
      </c>
      <c r="E454" s="53" t="s">
        <v>576</v>
      </c>
      <c r="F454" s="53"/>
      <c r="G454" s="54">
        <f>G455+G456</f>
        <v>3260.2000000000003</v>
      </c>
    </row>
    <row r="455" spans="1:7" ht="31.5">
      <c r="A455" s="51" t="s">
        <v>55</v>
      </c>
      <c r="B455" s="53"/>
      <c r="C455" s="53" t="s">
        <v>34</v>
      </c>
      <c r="D455" s="53" t="s">
        <v>57</v>
      </c>
      <c r="E455" s="53" t="s">
        <v>576</v>
      </c>
      <c r="F455" s="53" t="s">
        <v>100</v>
      </c>
      <c r="G455" s="54">
        <v>80.9</v>
      </c>
    </row>
    <row r="456" spans="1:7" ht="15.75">
      <c r="A456" s="51" t="s">
        <v>45</v>
      </c>
      <c r="B456" s="53"/>
      <c r="C456" s="53" t="s">
        <v>34</v>
      </c>
      <c r="D456" s="53" t="s">
        <v>57</v>
      </c>
      <c r="E456" s="53" t="s">
        <v>576</v>
      </c>
      <c r="F456" s="53" t="s">
        <v>108</v>
      </c>
      <c r="G456" s="54">
        <v>3179.3</v>
      </c>
    </row>
    <row r="457" spans="1:7" ht="31.5">
      <c r="A457" s="51" t="s">
        <v>577</v>
      </c>
      <c r="B457" s="53"/>
      <c r="C457" s="53" t="s">
        <v>34</v>
      </c>
      <c r="D457" s="53" t="s">
        <v>57</v>
      </c>
      <c r="E457" s="53" t="s">
        <v>578</v>
      </c>
      <c r="F457" s="53"/>
      <c r="G457" s="54">
        <f>G458+G459</f>
        <v>160047.2</v>
      </c>
    </row>
    <row r="458" spans="1:7" ht="31.5">
      <c r="A458" s="51" t="s">
        <v>55</v>
      </c>
      <c r="B458" s="53"/>
      <c r="C458" s="53" t="s">
        <v>34</v>
      </c>
      <c r="D458" s="53" t="s">
        <v>57</v>
      </c>
      <c r="E458" s="53" t="s">
        <v>578</v>
      </c>
      <c r="F458" s="53" t="s">
        <v>100</v>
      </c>
      <c r="G458" s="54">
        <v>2373.6</v>
      </c>
    </row>
    <row r="459" spans="1:7" ht="15.75">
      <c r="A459" s="51" t="s">
        <v>45</v>
      </c>
      <c r="B459" s="53"/>
      <c r="C459" s="53" t="s">
        <v>34</v>
      </c>
      <c r="D459" s="53" t="s">
        <v>57</v>
      </c>
      <c r="E459" s="53" t="s">
        <v>578</v>
      </c>
      <c r="F459" s="53" t="s">
        <v>108</v>
      </c>
      <c r="G459" s="54">
        <v>157673.6</v>
      </c>
    </row>
    <row r="460" spans="1:7" ht="31.5">
      <c r="A460" s="51" t="s">
        <v>579</v>
      </c>
      <c r="B460" s="53"/>
      <c r="C460" s="53" t="s">
        <v>34</v>
      </c>
      <c r="D460" s="53" t="s">
        <v>57</v>
      </c>
      <c r="E460" s="53" t="s">
        <v>580</v>
      </c>
      <c r="F460" s="53"/>
      <c r="G460" s="54">
        <f>G461+G462</f>
        <v>1971.5</v>
      </c>
    </row>
    <row r="461" spans="1:7" ht="31.5">
      <c r="A461" s="51" t="s">
        <v>55</v>
      </c>
      <c r="B461" s="53"/>
      <c r="C461" s="53" t="s">
        <v>34</v>
      </c>
      <c r="D461" s="53" t="s">
        <v>57</v>
      </c>
      <c r="E461" s="53" t="s">
        <v>580</v>
      </c>
      <c r="F461" s="53" t="s">
        <v>100</v>
      </c>
      <c r="G461" s="54">
        <v>29</v>
      </c>
    </row>
    <row r="462" spans="1:7" ht="15.75">
      <c r="A462" s="51" t="s">
        <v>45</v>
      </c>
      <c r="B462" s="53"/>
      <c r="C462" s="53" t="s">
        <v>34</v>
      </c>
      <c r="D462" s="53" t="s">
        <v>57</v>
      </c>
      <c r="E462" s="53" t="s">
        <v>580</v>
      </c>
      <c r="F462" s="53" t="s">
        <v>108</v>
      </c>
      <c r="G462" s="54">
        <v>1942.5</v>
      </c>
    </row>
    <row r="463" spans="1:7" ht="47.25">
      <c r="A463" s="51" t="s">
        <v>581</v>
      </c>
      <c r="B463" s="53"/>
      <c r="C463" s="53" t="s">
        <v>34</v>
      </c>
      <c r="D463" s="53" t="s">
        <v>57</v>
      </c>
      <c r="E463" s="53" t="s">
        <v>582</v>
      </c>
      <c r="F463" s="53"/>
      <c r="G463" s="54">
        <f>G464+G465</f>
        <v>12809.8</v>
      </c>
    </row>
    <row r="464" spans="1:7" ht="31.5">
      <c r="A464" s="51" t="s">
        <v>55</v>
      </c>
      <c r="B464" s="53"/>
      <c r="C464" s="53" t="s">
        <v>34</v>
      </c>
      <c r="D464" s="53" t="s">
        <v>57</v>
      </c>
      <c r="E464" s="53" t="s">
        <v>582</v>
      </c>
      <c r="F464" s="53" t="s">
        <v>100</v>
      </c>
      <c r="G464" s="54">
        <v>189.3</v>
      </c>
    </row>
    <row r="465" spans="1:7" ht="15.75">
      <c r="A465" s="51" t="s">
        <v>45</v>
      </c>
      <c r="B465" s="53"/>
      <c r="C465" s="53" t="s">
        <v>34</v>
      </c>
      <c r="D465" s="53" t="s">
        <v>57</v>
      </c>
      <c r="E465" s="53" t="s">
        <v>582</v>
      </c>
      <c r="F465" s="53" t="s">
        <v>108</v>
      </c>
      <c r="G465" s="54">
        <v>12620.5</v>
      </c>
    </row>
    <row r="466" spans="1:7" ht="31.5">
      <c r="A466" s="51" t="s">
        <v>583</v>
      </c>
      <c r="B466" s="53"/>
      <c r="C466" s="53" t="s">
        <v>34</v>
      </c>
      <c r="D466" s="53" t="s">
        <v>57</v>
      </c>
      <c r="E466" s="53" t="s">
        <v>584</v>
      </c>
      <c r="F466" s="53"/>
      <c r="G466" s="54">
        <f>G467+G468</f>
        <v>127639.90000000001</v>
      </c>
    </row>
    <row r="467" spans="1:7" ht="31.5">
      <c r="A467" s="51" t="s">
        <v>55</v>
      </c>
      <c r="B467" s="53"/>
      <c r="C467" s="53" t="s">
        <v>34</v>
      </c>
      <c r="D467" s="53" t="s">
        <v>57</v>
      </c>
      <c r="E467" s="53" t="s">
        <v>584</v>
      </c>
      <c r="F467" s="53" t="s">
        <v>100</v>
      </c>
      <c r="G467" s="54">
        <v>1886.3</v>
      </c>
    </row>
    <row r="468" spans="1:7" ht="15.75">
      <c r="A468" s="51" t="s">
        <v>45</v>
      </c>
      <c r="B468" s="53"/>
      <c r="C468" s="53" t="s">
        <v>34</v>
      </c>
      <c r="D468" s="53" t="s">
        <v>57</v>
      </c>
      <c r="E468" s="53" t="s">
        <v>584</v>
      </c>
      <c r="F468" s="53" t="s">
        <v>108</v>
      </c>
      <c r="G468" s="54">
        <v>125753.6</v>
      </c>
    </row>
    <row r="469" spans="1:7" ht="94.5">
      <c r="A469" s="51" t="s">
        <v>585</v>
      </c>
      <c r="B469" s="53"/>
      <c r="C469" s="53" t="s">
        <v>34</v>
      </c>
      <c r="D469" s="53" t="s">
        <v>57</v>
      </c>
      <c r="E469" s="53" t="s">
        <v>586</v>
      </c>
      <c r="F469" s="53"/>
      <c r="G469" s="54">
        <f>G470+G471</f>
        <v>6</v>
      </c>
    </row>
    <row r="470" spans="1:7" ht="31.5">
      <c r="A470" s="51" t="s">
        <v>55</v>
      </c>
      <c r="B470" s="53"/>
      <c r="C470" s="53" t="s">
        <v>34</v>
      </c>
      <c r="D470" s="53" t="s">
        <v>57</v>
      </c>
      <c r="E470" s="53" t="s">
        <v>586</v>
      </c>
      <c r="F470" s="53" t="s">
        <v>100</v>
      </c>
      <c r="G470" s="54">
        <v>0.1</v>
      </c>
    </row>
    <row r="471" spans="1:7" ht="15.75">
      <c r="A471" s="51" t="s">
        <v>45</v>
      </c>
      <c r="B471" s="53"/>
      <c r="C471" s="53" t="s">
        <v>34</v>
      </c>
      <c r="D471" s="53" t="s">
        <v>57</v>
      </c>
      <c r="E471" s="53" t="s">
        <v>586</v>
      </c>
      <c r="F471" s="53" t="s">
        <v>108</v>
      </c>
      <c r="G471" s="54">
        <v>5.9</v>
      </c>
    </row>
    <row r="472" spans="1:7" ht="47.25">
      <c r="A472" s="51" t="s">
        <v>587</v>
      </c>
      <c r="B472" s="53"/>
      <c r="C472" s="53" t="s">
        <v>34</v>
      </c>
      <c r="D472" s="53" t="s">
        <v>57</v>
      </c>
      <c r="E472" s="53" t="s">
        <v>588</v>
      </c>
      <c r="F472" s="53"/>
      <c r="G472" s="54">
        <f>G473+G474</f>
        <v>2553.2999999999997</v>
      </c>
    </row>
    <row r="473" spans="1:7" ht="31.5">
      <c r="A473" s="51" t="s">
        <v>55</v>
      </c>
      <c r="B473" s="53"/>
      <c r="C473" s="53" t="s">
        <v>34</v>
      </c>
      <c r="D473" s="53" t="s">
        <v>57</v>
      </c>
      <c r="E473" s="53" t="s">
        <v>588</v>
      </c>
      <c r="F473" s="53" t="s">
        <v>100</v>
      </c>
      <c r="G473" s="54">
        <v>28.7</v>
      </c>
    </row>
    <row r="474" spans="1:7" ht="15.75">
      <c r="A474" s="51" t="s">
        <v>45</v>
      </c>
      <c r="B474" s="53"/>
      <c r="C474" s="53" t="s">
        <v>34</v>
      </c>
      <c r="D474" s="53" t="s">
        <v>57</v>
      </c>
      <c r="E474" s="53" t="s">
        <v>588</v>
      </c>
      <c r="F474" s="53" t="s">
        <v>108</v>
      </c>
      <c r="G474" s="54">
        <v>2524.6</v>
      </c>
    </row>
    <row r="475" spans="1:7" ht="63">
      <c r="A475" s="51" t="s">
        <v>589</v>
      </c>
      <c r="B475" s="53"/>
      <c r="C475" s="53" t="s">
        <v>34</v>
      </c>
      <c r="D475" s="53" t="s">
        <v>57</v>
      </c>
      <c r="E475" s="53" t="s">
        <v>590</v>
      </c>
      <c r="F475" s="53"/>
      <c r="G475" s="54">
        <f>G476+G477</f>
        <v>1635.2</v>
      </c>
    </row>
    <row r="476" spans="1:7" ht="31.5">
      <c r="A476" s="51" t="s">
        <v>55</v>
      </c>
      <c r="B476" s="53"/>
      <c r="C476" s="53" t="s">
        <v>34</v>
      </c>
      <c r="D476" s="53" t="s">
        <v>57</v>
      </c>
      <c r="E476" s="53" t="s">
        <v>590</v>
      </c>
      <c r="F476" s="53" t="s">
        <v>100</v>
      </c>
      <c r="G476" s="54">
        <v>28.4</v>
      </c>
    </row>
    <row r="477" spans="1:7" ht="15.75">
      <c r="A477" s="51" t="s">
        <v>45</v>
      </c>
      <c r="B477" s="53"/>
      <c r="C477" s="53" t="s">
        <v>34</v>
      </c>
      <c r="D477" s="53" t="s">
        <v>57</v>
      </c>
      <c r="E477" s="53" t="s">
        <v>590</v>
      </c>
      <c r="F477" s="53" t="s">
        <v>108</v>
      </c>
      <c r="G477" s="54">
        <v>1606.8</v>
      </c>
    </row>
    <row r="478" spans="1:7" ht="15.75">
      <c r="A478" s="51" t="s">
        <v>591</v>
      </c>
      <c r="B478" s="53"/>
      <c r="C478" s="53" t="s">
        <v>34</v>
      </c>
      <c r="D478" s="53" t="s">
        <v>57</v>
      </c>
      <c r="E478" s="53" t="s">
        <v>592</v>
      </c>
      <c r="F478" s="53"/>
      <c r="G478" s="54">
        <f>G479+G480</f>
        <v>69.3</v>
      </c>
    </row>
    <row r="479" spans="1:7" ht="31.5">
      <c r="A479" s="51" t="s">
        <v>55</v>
      </c>
      <c r="B479" s="53"/>
      <c r="C479" s="53" t="s">
        <v>34</v>
      </c>
      <c r="D479" s="53" t="s">
        <v>57</v>
      </c>
      <c r="E479" s="53" t="s">
        <v>592</v>
      </c>
      <c r="F479" s="53" t="s">
        <v>100</v>
      </c>
      <c r="G479" s="54">
        <v>1</v>
      </c>
    </row>
    <row r="480" spans="1:7" ht="15.75">
      <c r="A480" s="51" t="s">
        <v>45</v>
      </c>
      <c r="B480" s="53"/>
      <c r="C480" s="53" t="s">
        <v>34</v>
      </c>
      <c r="D480" s="53" t="s">
        <v>57</v>
      </c>
      <c r="E480" s="53" t="s">
        <v>592</v>
      </c>
      <c r="F480" s="53" t="s">
        <v>108</v>
      </c>
      <c r="G480" s="54">
        <v>68.3</v>
      </c>
    </row>
    <row r="481" spans="1:7" ht="47.25">
      <c r="A481" s="51" t="s">
        <v>593</v>
      </c>
      <c r="B481" s="53"/>
      <c r="C481" s="53" t="s">
        <v>34</v>
      </c>
      <c r="D481" s="53" t="s">
        <v>57</v>
      </c>
      <c r="E481" s="53" t="s">
        <v>594</v>
      </c>
      <c r="F481" s="53"/>
      <c r="G481" s="54">
        <f>G482+G483</f>
        <v>400.9</v>
      </c>
    </row>
    <row r="482" spans="1:7" ht="31.5">
      <c r="A482" s="51" t="s">
        <v>55</v>
      </c>
      <c r="B482" s="53"/>
      <c r="C482" s="53" t="s">
        <v>34</v>
      </c>
      <c r="D482" s="53" t="s">
        <v>57</v>
      </c>
      <c r="E482" s="53" t="s">
        <v>594</v>
      </c>
      <c r="F482" s="53" t="s">
        <v>100</v>
      </c>
      <c r="G482" s="54">
        <v>5.2</v>
      </c>
    </row>
    <row r="483" spans="1:7" ht="15.75">
      <c r="A483" s="51" t="s">
        <v>45</v>
      </c>
      <c r="B483" s="53"/>
      <c r="C483" s="53" t="s">
        <v>34</v>
      </c>
      <c r="D483" s="53" t="s">
        <v>57</v>
      </c>
      <c r="E483" s="53" t="s">
        <v>594</v>
      </c>
      <c r="F483" s="53" t="s">
        <v>108</v>
      </c>
      <c r="G483" s="54">
        <v>395.7</v>
      </c>
    </row>
    <row r="484" spans="1:7" ht="31.5">
      <c r="A484" s="51" t="s">
        <v>704</v>
      </c>
      <c r="B484" s="53"/>
      <c r="C484" s="53" t="s">
        <v>34</v>
      </c>
      <c r="D484" s="53" t="s">
        <v>57</v>
      </c>
      <c r="E484" s="53" t="s">
        <v>705</v>
      </c>
      <c r="F484" s="53"/>
      <c r="G484" s="54">
        <f>SUM(G485:G486)</f>
        <v>19958.2</v>
      </c>
    </row>
    <row r="485" spans="1:7" ht="31.5">
      <c r="A485" s="51" t="s">
        <v>55</v>
      </c>
      <c r="B485" s="53"/>
      <c r="C485" s="53" t="s">
        <v>34</v>
      </c>
      <c r="D485" s="53" t="s">
        <v>57</v>
      </c>
      <c r="E485" s="53" t="s">
        <v>705</v>
      </c>
      <c r="F485" s="53" t="s">
        <v>100</v>
      </c>
      <c r="G485" s="54">
        <v>491.5</v>
      </c>
    </row>
    <row r="486" spans="1:7" ht="15.75">
      <c r="A486" s="51" t="s">
        <v>45</v>
      </c>
      <c r="B486" s="53"/>
      <c r="C486" s="53" t="s">
        <v>34</v>
      </c>
      <c r="D486" s="53" t="s">
        <v>57</v>
      </c>
      <c r="E486" s="53" t="s">
        <v>705</v>
      </c>
      <c r="F486" s="53" t="s">
        <v>108</v>
      </c>
      <c r="G486" s="54">
        <v>19466.7</v>
      </c>
    </row>
    <row r="487" spans="1:7" ht="31.5">
      <c r="A487" s="51" t="s">
        <v>87</v>
      </c>
      <c r="B487" s="53"/>
      <c r="C487" s="53" t="s">
        <v>34</v>
      </c>
      <c r="D487" s="53" t="s">
        <v>57</v>
      </c>
      <c r="E487" s="52" t="s">
        <v>19</v>
      </c>
      <c r="F487" s="52"/>
      <c r="G487" s="54">
        <f>G488+G499+G504</f>
        <v>5260.8</v>
      </c>
    </row>
    <row r="488" spans="1:7" ht="31.5">
      <c r="A488" s="51" t="s">
        <v>88</v>
      </c>
      <c r="B488" s="53"/>
      <c r="C488" s="53" t="s">
        <v>34</v>
      </c>
      <c r="D488" s="53" t="s">
        <v>57</v>
      </c>
      <c r="E488" s="52" t="s">
        <v>20</v>
      </c>
      <c r="F488" s="52"/>
      <c r="G488" s="54">
        <f>G489</f>
        <v>3823.5000000000005</v>
      </c>
    </row>
    <row r="489" spans="1:7" ht="15.75">
      <c r="A489" s="51" t="s">
        <v>38</v>
      </c>
      <c r="B489" s="53"/>
      <c r="C489" s="53" t="s">
        <v>34</v>
      </c>
      <c r="D489" s="53" t="s">
        <v>57</v>
      </c>
      <c r="E489" s="52" t="s">
        <v>39</v>
      </c>
      <c r="F489" s="52"/>
      <c r="G489" s="54">
        <f>SUM(G490+G495)</f>
        <v>3823.5000000000005</v>
      </c>
    </row>
    <row r="490" spans="1:7" ht="15.75">
      <c r="A490" s="51" t="s">
        <v>58</v>
      </c>
      <c r="B490" s="53"/>
      <c r="C490" s="53" t="s">
        <v>34</v>
      </c>
      <c r="D490" s="53" t="s">
        <v>57</v>
      </c>
      <c r="E490" s="52" t="s">
        <v>59</v>
      </c>
      <c r="F490" s="52"/>
      <c r="G490" s="54">
        <f>G491+G493</f>
        <v>2602.1000000000004</v>
      </c>
    </row>
    <row r="491" spans="1:7" ht="15.75">
      <c r="A491" s="51" t="s">
        <v>60</v>
      </c>
      <c r="B491" s="53"/>
      <c r="C491" s="53" t="s">
        <v>34</v>
      </c>
      <c r="D491" s="53" t="s">
        <v>57</v>
      </c>
      <c r="E491" s="52" t="s">
        <v>61</v>
      </c>
      <c r="F491" s="52"/>
      <c r="G491" s="54">
        <f>G492</f>
        <v>1218.7</v>
      </c>
    </row>
    <row r="492" spans="1:7" ht="15.75">
      <c r="A492" s="51" t="s">
        <v>45</v>
      </c>
      <c r="B492" s="53"/>
      <c r="C492" s="53" t="s">
        <v>34</v>
      </c>
      <c r="D492" s="53" t="s">
        <v>57</v>
      </c>
      <c r="E492" s="52" t="s">
        <v>61</v>
      </c>
      <c r="F492" s="52">
        <v>300</v>
      </c>
      <c r="G492" s="54">
        <v>1218.7</v>
      </c>
    </row>
    <row r="493" spans="1:7" ht="31.5">
      <c r="A493" s="51" t="s">
        <v>62</v>
      </c>
      <c r="B493" s="53"/>
      <c r="C493" s="53" t="s">
        <v>34</v>
      </c>
      <c r="D493" s="53" t="s">
        <v>57</v>
      </c>
      <c r="E493" s="52" t="s">
        <v>63</v>
      </c>
      <c r="F493" s="52"/>
      <c r="G493" s="54">
        <f>G494</f>
        <v>1383.4</v>
      </c>
    </row>
    <row r="494" spans="1:7" ht="15.75">
      <c r="A494" s="51" t="s">
        <v>45</v>
      </c>
      <c r="B494" s="53"/>
      <c r="C494" s="53" t="s">
        <v>34</v>
      </c>
      <c r="D494" s="53" t="s">
        <v>57</v>
      </c>
      <c r="E494" s="52" t="s">
        <v>63</v>
      </c>
      <c r="F494" s="52">
        <v>300</v>
      </c>
      <c r="G494" s="54">
        <v>1383.4</v>
      </c>
    </row>
    <row r="495" spans="1:7" ht="15.75">
      <c r="A495" s="51" t="s">
        <v>64</v>
      </c>
      <c r="B495" s="53"/>
      <c r="C495" s="53" t="s">
        <v>34</v>
      </c>
      <c r="D495" s="53" t="s">
        <v>57</v>
      </c>
      <c r="E495" s="52" t="s">
        <v>65</v>
      </c>
      <c r="F495" s="52"/>
      <c r="G495" s="54">
        <f>G496</f>
        <v>1221.4</v>
      </c>
    </row>
    <row r="496" spans="1:7" ht="15.75">
      <c r="A496" s="51" t="s">
        <v>66</v>
      </c>
      <c r="B496" s="53"/>
      <c r="C496" s="53" t="s">
        <v>34</v>
      </c>
      <c r="D496" s="53" t="s">
        <v>57</v>
      </c>
      <c r="E496" s="52" t="s">
        <v>67</v>
      </c>
      <c r="F496" s="52"/>
      <c r="G496" s="54">
        <f>G497+G498</f>
        <v>1221.4</v>
      </c>
    </row>
    <row r="497" spans="1:7" ht="31.5">
      <c r="A497" s="51" t="s">
        <v>55</v>
      </c>
      <c r="B497" s="53"/>
      <c r="C497" s="53" t="s">
        <v>34</v>
      </c>
      <c r="D497" s="53" t="s">
        <v>57</v>
      </c>
      <c r="E497" s="52" t="s">
        <v>67</v>
      </c>
      <c r="F497" s="52">
        <v>200</v>
      </c>
      <c r="G497" s="54">
        <v>819.4</v>
      </c>
    </row>
    <row r="498" spans="1:7" ht="15.75">
      <c r="A498" s="51" t="s">
        <v>45</v>
      </c>
      <c r="B498" s="53"/>
      <c r="C498" s="53" t="s">
        <v>34</v>
      </c>
      <c r="D498" s="53" t="s">
        <v>57</v>
      </c>
      <c r="E498" s="52" t="s">
        <v>67</v>
      </c>
      <c r="F498" s="52">
        <v>300</v>
      </c>
      <c r="G498" s="54">
        <v>402</v>
      </c>
    </row>
    <row r="499" spans="1:7" ht="15.75">
      <c r="A499" s="51" t="s">
        <v>90</v>
      </c>
      <c r="B499" s="53"/>
      <c r="C499" s="53" t="s">
        <v>34</v>
      </c>
      <c r="D499" s="53" t="s">
        <v>57</v>
      </c>
      <c r="E499" s="52" t="s">
        <v>68</v>
      </c>
      <c r="F499" s="52"/>
      <c r="G499" s="54">
        <f>G500</f>
        <v>150.5</v>
      </c>
    </row>
    <row r="500" spans="1:7" ht="15.75">
      <c r="A500" s="51" t="s">
        <v>38</v>
      </c>
      <c r="B500" s="53"/>
      <c r="C500" s="53" t="s">
        <v>34</v>
      </c>
      <c r="D500" s="53" t="s">
        <v>57</v>
      </c>
      <c r="E500" s="52" t="s">
        <v>69</v>
      </c>
      <c r="F500" s="52"/>
      <c r="G500" s="54">
        <f>G501</f>
        <v>150.5</v>
      </c>
    </row>
    <row r="501" spans="1:7" ht="15.75">
      <c r="A501" s="51" t="s">
        <v>40</v>
      </c>
      <c r="B501" s="53"/>
      <c r="C501" s="53" t="s">
        <v>34</v>
      </c>
      <c r="D501" s="53" t="s">
        <v>57</v>
      </c>
      <c r="E501" s="52" t="s">
        <v>70</v>
      </c>
      <c r="F501" s="52"/>
      <c r="G501" s="54">
        <f>G502+G503</f>
        <v>150.5</v>
      </c>
    </row>
    <row r="502" spans="1:7" ht="31.5">
      <c r="A502" s="51" t="s">
        <v>55</v>
      </c>
      <c r="B502" s="53"/>
      <c r="C502" s="53" t="s">
        <v>34</v>
      </c>
      <c r="D502" s="53" t="s">
        <v>57</v>
      </c>
      <c r="E502" s="52" t="s">
        <v>70</v>
      </c>
      <c r="F502" s="52">
        <v>200</v>
      </c>
      <c r="G502" s="54">
        <v>83.5</v>
      </c>
    </row>
    <row r="503" spans="1:7" ht="15.75">
      <c r="A503" s="51" t="s">
        <v>45</v>
      </c>
      <c r="B503" s="53"/>
      <c r="C503" s="53" t="s">
        <v>34</v>
      </c>
      <c r="D503" s="53" t="s">
        <v>57</v>
      </c>
      <c r="E503" s="52" t="s">
        <v>70</v>
      </c>
      <c r="F503" s="52">
        <v>300</v>
      </c>
      <c r="G503" s="54">
        <v>67</v>
      </c>
    </row>
    <row r="504" spans="1:7" ht="15.75">
      <c r="A504" s="51" t="s">
        <v>91</v>
      </c>
      <c r="B504" s="53"/>
      <c r="C504" s="53" t="s">
        <v>34</v>
      </c>
      <c r="D504" s="53" t="s">
        <v>57</v>
      </c>
      <c r="E504" s="52" t="s">
        <v>71</v>
      </c>
      <c r="F504" s="52"/>
      <c r="G504" s="54">
        <f>G508+G505</f>
        <v>1286.8</v>
      </c>
    </row>
    <row r="505" spans="1:7" ht="15.75">
      <c r="A505" s="51" t="s">
        <v>38</v>
      </c>
      <c r="B505" s="53"/>
      <c r="C505" s="53" t="s">
        <v>34</v>
      </c>
      <c r="D505" s="53" t="s">
        <v>57</v>
      </c>
      <c r="E505" s="52" t="s">
        <v>677</v>
      </c>
      <c r="F505" s="52"/>
      <c r="G505" s="54">
        <f>G506</f>
        <v>411.8</v>
      </c>
    </row>
    <row r="506" spans="1:7" ht="15.75">
      <c r="A506" s="51" t="s">
        <v>40</v>
      </c>
      <c r="B506" s="53"/>
      <c r="C506" s="53" t="s">
        <v>34</v>
      </c>
      <c r="D506" s="53" t="s">
        <v>57</v>
      </c>
      <c r="E506" s="52" t="s">
        <v>678</v>
      </c>
      <c r="F506" s="52"/>
      <c r="G506" s="54">
        <f>SUM(G507)</f>
        <v>411.8</v>
      </c>
    </row>
    <row r="507" spans="1:7" ht="31.5">
      <c r="A507" s="51" t="s">
        <v>55</v>
      </c>
      <c r="B507" s="53"/>
      <c r="C507" s="53" t="s">
        <v>34</v>
      </c>
      <c r="D507" s="53" t="s">
        <v>57</v>
      </c>
      <c r="E507" s="52" t="s">
        <v>678</v>
      </c>
      <c r="F507" s="52">
        <v>200</v>
      </c>
      <c r="G507" s="54">
        <v>411.8</v>
      </c>
    </row>
    <row r="508" spans="1:7" ht="31.5">
      <c r="A508" s="51" t="s">
        <v>72</v>
      </c>
      <c r="B508" s="53"/>
      <c r="C508" s="53" t="s">
        <v>34</v>
      </c>
      <c r="D508" s="53" t="s">
        <v>57</v>
      </c>
      <c r="E508" s="52" t="s">
        <v>73</v>
      </c>
      <c r="F508" s="52"/>
      <c r="G508" s="54">
        <f>G509</f>
        <v>875</v>
      </c>
    </row>
    <row r="509" spans="1:7" ht="15.75">
      <c r="A509" s="51" t="s">
        <v>40</v>
      </c>
      <c r="B509" s="53"/>
      <c r="C509" s="53" t="s">
        <v>34</v>
      </c>
      <c r="D509" s="53" t="s">
        <v>57</v>
      </c>
      <c r="E509" s="52" t="s">
        <v>74</v>
      </c>
      <c r="F509" s="52"/>
      <c r="G509" s="54">
        <f>SUM(G510:G511)</f>
        <v>875</v>
      </c>
    </row>
    <row r="510" spans="1:7" ht="31.5" hidden="1">
      <c r="A510" s="51" t="s">
        <v>55</v>
      </c>
      <c r="B510" s="53"/>
      <c r="C510" s="53" t="s">
        <v>34</v>
      </c>
      <c r="D510" s="53" t="s">
        <v>57</v>
      </c>
      <c r="E510" s="52" t="s">
        <v>74</v>
      </c>
      <c r="F510" s="52">
        <v>200</v>
      </c>
      <c r="G510" s="54"/>
    </row>
    <row r="511" spans="1:7" ht="31.5">
      <c r="A511" s="51" t="s">
        <v>75</v>
      </c>
      <c r="B511" s="53"/>
      <c r="C511" s="53" t="s">
        <v>34</v>
      </c>
      <c r="D511" s="53" t="s">
        <v>57</v>
      </c>
      <c r="E511" s="52" t="s">
        <v>74</v>
      </c>
      <c r="F511" s="52">
        <v>600</v>
      </c>
      <c r="G511" s="54">
        <v>875</v>
      </c>
    </row>
    <row r="512" spans="1:7" ht="47.25">
      <c r="A512" s="51" t="s">
        <v>92</v>
      </c>
      <c r="B512" s="53"/>
      <c r="C512" s="53" t="s">
        <v>34</v>
      </c>
      <c r="D512" s="53" t="s">
        <v>57</v>
      </c>
      <c r="E512" s="52" t="s">
        <v>76</v>
      </c>
      <c r="F512" s="52"/>
      <c r="G512" s="54">
        <f>G513</f>
        <v>3600</v>
      </c>
    </row>
    <row r="513" spans="1:7" ht="15.75">
      <c r="A513" s="51" t="s">
        <v>38</v>
      </c>
      <c r="B513" s="53"/>
      <c r="C513" s="53" t="s">
        <v>34</v>
      </c>
      <c r="D513" s="53" t="s">
        <v>57</v>
      </c>
      <c r="E513" s="52" t="s">
        <v>77</v>
      </c>
      <c r="F513" s="52"/>
      <c r="G513" s="54">
        <f>SUM(G514)</f>
        <v>3600</v>
      </c>
    </row>
    <row r="514" spans="1:7" ht="31.5">
      <c r="A514" s="51" t="s">
        <v>78</v>
      </c>
      <c r="B514" s="53"/>
      <c r="C514" s="53" t="s">
        <v>34</v>
      </c>
      <c r="D514" s="53" t="s">
        <v>57</v>
      </c>
      <c r="E514" s="52" t="s">
        <v>79</v>
      </c>
      <c r="F514" s="52"/>
      <c r="G514" s="54">
        <f>G515</f>
        <v>3600</v>
      </c>
    </row>
    <row r="515" spans="1:7" ht="29.25" customHeight="1">
      <c r="A515" s="51" t="s">
        <v>55</v>
      </c>
      <c r="B515" s="53"/>
      <c r="C515" s="53" t="s">
        <v>34</v>
      </c>
      <c r="D515" s="53" t="s">
        <v>57</v>
      </c>
      <c r="E515" s="52" t="s">
        <v>79</v>
      </c>
      <c r="F515" s="52">
        <v>200</v>
      </c>
      <c r="G515" s="54">
        <v>3600</v>
      </c>
    </row>
    <row r="516" spans="1:7" ht="47.25" hidden="1">
      <c r="A516" s="51" t="s">
        <v>706</v>
      </c>
      <c r="B516" s="53"/>
      <c r="C516" s="53" t="s">
        <v>34</v>
      </c>
      <c r="D516" s="53" t="s">
        <v>57</v>
      </c>
      <c r="E516" s="52" t="s">
        <v>708</v>
      </c>
      <c r="F516" s="52"/>
      <c r="G516" s="54">
        <f>SUM(G517)</f>
        <v>0</v>
      </c>
    </row>
    <row r="517" spans="1:7" ht="15.75" hidden="1">
      <c r="A517" s="51" t="s">
        <v>38</v>
      </c>
      <c r="B517" s="53"/>
      <c r="C517" s="53" t="s">
        <v>34</v>
      </c>
      <c r="D517" s="53" t="s">
        <v>57</v>
      </c>
      <c r="E517" s="52" t="s">
        <v>709</v>
      </c>
      <c r="F517" s="52"/>
      <c r="G517" s="54">
        <f>SUM(G518)</f>
        <v>0</v>
      </c>
    </row>
    <row r="518" spans="1:7" ht="15.75" hidden="1">
      <c r="A518" s="51" t="s">
        <v>58</v>
      </c>
      <c r="B518" s="53"/>
      <c r="C518" s="53" t="s">
        <v>34</v>
      </c>
      <c r="D518" s="53" t="s">
        <v>57</v>
      </c>
      <c r="E518" s="52" t="s">
        <v>710</v>
      </c>
      <c r="F518" s="52"/>
      <c r="G518" s="54">
        <f>SUM(G519)</f>
        <v>0</v>
      </c>
    </row>
    <row r="519" spans="1:7" ht="78.75" hidden="1">
      <c r="A519" s="51" t="s">
        <v>707</v>
      </c>
      <c r="B519" s="53"/>
      <c r="C519" s="53" t="s">
        <v>34</v>
      </c>
      <c r="D519" s="53" t="s">
        <v>57</v>
      </c>
      <c r="E519" s="52" t="s">
        <v>711</v>
      </c>
      <c r="F519" s="52"/>
      <c r="G519" s="54">
        <f>SUM(G520)</f>
        <v>0</v>
      </c>
    </row>
    <row r="520" spans="1:7" ht="15.75" hidden="1">
      <c r="A520" s="51" t="s">
        <v>45</v>
      </c>
      <c r="B520" s="53"/>
      <c r="C520" s="53" t="s">
        <v>34</v>
      </c>
      <c r="D520" s="53" t="s">
        <v>57</v>
      </c>
      <c r="E520" s="52" t="s">
        <v>711</v>
      </c>
      <c r="F520" s="52">
        <v>300</v>
      </c>
      <c r="G520" s="54"/>
    </row>
    <row r="521" spans="1:7" ht="15.75">
      <c r="A521" s="51" t="s">
        <v>208</v>
      </c>
      <c r="B521" s="53"/>
      <c r="C521" s="53" t="s">
        <v>34</v>
      </c>
      <c r="D521" s="53" t="s">
        <v>16</v>
      </c>
      <c r="E521" s="52"/>
      <c r="F521" s="52"/>
      <c r="G521" s="54">
        <f>G522+G545</f>
        <v>198108.7</v>
      </c>
    </row>
    <row r="522" spans="1:7" ht="31.5">
      <c r="A522" s="51" t="s">
        <v>553</v>
      </c>
      <c r="B522" s="53"/>
      <c r="C522" s="53" t="s">
        <v>34</v>
      </c>
      <c r="D522" s="53" t="s">
        <v>16</v>
      </c>
      <c r="E522" s="53" t="s">
        <v>539</v>
      </c>
      <c r="F522" s="52"/>
      <c r="G522" s="54">
        <f>G523</f>
        <v>198069.7</v>
      </c>
    </row>
    <row r="523" spans="1:7" ht="15.75">
      <c r="A523" s="51" t="s">
        <v>559</v>
      </c>
      <c r="B523" s="53"/>
      <c r="C523" s="53" t="s">
        <v>34</v>
      </c>
      <c r="D523" s="53" t="s">
        <v>16</v>
      </c>
      <c r="E523" s="53" t="s">
        <v>540</v>
      </c>
      <c r="F523" s="52"/>
      <c r="G523" s="54">
        <f>G524</f>
        <v>198069.7</v>
      </c>
    </row>
    <row r="524" spans="1:7" ht="78.75">
      <c r="A524" s="51" t="s">
        <v>316</v>
      </c>
      <c r="B524" s="53"/>
      <c r="C524" s="53" t="s">
        <v>34</v>
      </c>
      <c r="D524" s="53" t="s">
        <v>16</v>
      </c>
      <c r="E524" s="53" t="s">
        <v>541</v>
      </c>
      <c r="F524" s="52"/>
      <c r="G524" s="54">
        <f>G525+G530+G533+G536+G539+G542</f>
        <v>198069.7</v>
      </c>
    </row>
    <row r="525" spans="1:7" ht="47.25">
      <c r="A525" s="51" t="s">
        <v>595</v>
      </c>
      <c r="B525" s="53"/>
      <c r="C525" s="53" t="s">
        <v>34</v>
      </c>
      <c r="D525" s="53" t="s">
        <v>16</v>
      </c>
      <c r="E525" s="52" t="s">
        <v>596</v>
      </c>
      <c r="F525" s="52"/>
      <c r="G525" s="54">
        <f>G526+G527+G529+G528</f>
        <v>65262.4</v>
      </c>
    </row>
    <row r="526" spans="1:7" ht="47.25">
      <c r="A526" s="51" t="s">
        <v>54</v>
      </c>
      <c r="B526" s="53"/>
      <c r="C526" s="53" t="s">
        <v>34</v>
      </c>
      <c r="D526" s="53" t="s">
        <v>16</v>
      </c>
      <c r="E526" s="52" t="s">
        <v>596</v>
      </c>
      <c r="F526" s="52">
        <v>100</v>
      </c>
      <c r="G526" s="54">
        <v>43974.5</v>
      </c>
    </row>
    <row r="527" spans="1:7" ht="31.5">
      <c r="A527" s="51" t="s">
        <v>55</v>
      </c>
      <c r="B527" s="53"/>
      <c r="C527" s="53" t="s">
        <v>34</v>
      </c>
      <c r="D527" s="53" t="s">
        <v>16</v>
      </c>
      <c r="E527" s="52" t="s">
        <v>596</v>
      </c>
      <c r="F527" s="52">
        <v>200</v>
      </c>
      <c r="G527" s="54">
        <v>20564.6</v>
      </c>
    </row>
    <row r="528" spans="1:7" ht="15.75">
      <c r="A528" s="51" t="s">
        <v>45</v>
      </c>
      <c r="B528" s="53"/>
      <c r="C528" s="53" t="s">
        <v>34</v>
      </c>
      <c r="D528" s="53" t="s">
        <v>16</v>
      </c>
      <c r="E528" s="52" t="s">
        <v>596</v>
      </c>
      <c r="F528" s="52">
        <v>300</v>
      </c>
      <c r="G528" s="54">
        <v>185.5</v>
      </c>
    </row>
    <row r="529" spans="1:7" ht="15.75">
      <c r="A529" s="51" t="s">
        <v>25</v>
      </c>
      <c r="B529" s="53"/>
      <c r="C529" s="53" t="s">
        <v>34</v>
      </c>
      <c r="D529" s="53" t="s">
        <v>16</v>
      </c>
      <c r="E529" s="52" t="s">
        <v>596</v>
      </c>
      <c r="F529" s="52">
        <v>800</v>
      </c>
      <c r="G529" s="54">
        <v>537.8</v>
      </c>
    </row>
    <row r="530" spans="1:7" ht="47.25">
      <c r="A530" s="51" t="s">
        <v>597</v>
      </c>
      <c r="B530" s="53"/>
      <c r="C530" s="53" t="s">
        <v>34</v>
      </c>
      <c r="D530" s="53" t="s">
        <v>16</v>
      </c>
      <c r="E530" s="52" t="s">
        <v>598</v>
      </c>
      <c r="F530" s="52"/>
      <c r="G530" s="54">
        <f>G531+G532</f>
        <v>14118.5</v>
      </c>
    </row>
    <row r="531" spans="1:7" ht="31.5">
      <c r="A531" s="51" t="s">
        <v>55</v>
      </c>
      <c r="B531" s="53"/>
      <c r="C531" s="53" t="s">
        <v>34</v>
      </c>
      <c r="D531" s="53" t="s">
        <v>16</v>
      </c>
      <c r="E531" s="52" t="s">
        <v>598</v>
      </c>
      <c r="F531" s="52">
        <v>200</v>
      </c>
      <c r="G531" s="54">
        <v>197.1</v>
      </c>
    </row>
    <row r="532" spans="1:7" ht="15.75">
      <c r="A532" s="51" t="s">
        <v>45</v>
      </c>
      <c r="B532" s="53"/>
      <c r="C532" s="53" t="s">
        <v>34</v>
      </c>
      <c r="D532" s="53" t="s">
        <v>16</v>
      </c>
      <c r="E532" s="52" t="s">
        <v>598</v>
      </c>
      <c r="F532" s="52">
        <v>300</v>
      </c>
      <c r="G532" s="54">
        <v>13921.4</v>
      </c>
    </row>
    <row r="533" spans="1:7" ht="31.5">
      <c r="A533" s="51" t="s">
        <v>599</v>
      </c>
      <c r="B533" s="53"/>
      <c r="C533" s="53" t="s">
        <v>34</v>
      </c>
      <c r="D533" s="53" t="s">
        <v>16</v>
      </c>
      <c r="E533" s="52" t="s">
        <v>600</v>
      </c>
      <c r="F533" s="52"/>
      <c r="G533" s="54">
        <f>G534+G535</f>
        <v>52185.4</v>
      </c>
    </row>
    <row r="534" spans="1:7" ht="31.5">
      <c r="A534" s="51" t="s">
        <v>55</v>
      </c>
      <c r="B534" s="53"/>
      <c r="C534" s="53" t="s">
        <v>34</v>
      </c>
      <c r="D534" s="53" t="s">
        <v>16</v>
      </c>
      <c r="E534" s="52" t="s">
        <v>600</v>
      </c>
      <c r="F534" s="52">
        <v>200</v>
      </c>
      <c r="G534" s="54">
        <v>775.3</v>
      </c>
    </row>
    <row r="535" spans="1:7" ht="15.75">
      <c r="A535" s="51" t="s">
        <v>45</v>
      </c>
      <c r="B535" s="53"/>
      <c r="C535" s="53" t="s">
        <v>34</v>
      </c>
      <c r="D535" s="53" t="s">
        <v>16</v>
      </c>
      <c r="E535" s="52" t="s">
        <v>600</v>
      </c>
      <c r="F535" s="52">
        <v>300</v>
      </c>
      <c r="G535" s="54">
        <v>51410.1</v>
      </c>
    </row>
    <row r="536" spans="1:7" ht="47.25">
      <c r="A536" s="51" t="s">
        <v>601</v>
      </c>
      <c r="B536" s="53"/>
      <c r="C536" s="53" t="s">
        <v>34</v>
      </c>
      <c r="D536" s="53" t="s">
        <v>16</v>
      </c>
      <c r="E536" s="52" t="s">
        <v>602</v>
      </c>
      <c r="F536" s="52"/>
      <c r="G536" s="54">
        <f>G537+G538</f>
        <v>5357.2</v>
      </c>
    </row>
    <row r="537" spans="1:7" ht="31.5">
      <c r="A537" s="51" t="s">
        <v>55</v>
      </c>
      <c r="B537" s="53"/>
      <c r="C537" s="53" t="s">
        <v>34</v>
      </c>
      <c r="D537" s="53" t="s">
        <v>16</v>
      </c>
      <c r="E537" s="52" t="s">
        <v>602</v>
      </c>
      <c r="F537" s="52">
        <v>200</v>
      </c>
      <c r="G537" s="54">
        <v>79.2</v>
      </c>
    </row>
    <row r="538" spans="1:7" ht="15.75">
      <c r="A538" s="51" t="s">
        <v>45</v>
      </c>
      <c r="B538" s="53"/>
      <c r="C538" s="53" t="s">
        <v>34</v>
      </c>
      <c r="D538" s="53" t="s">
        <v>16</v>
      </c>
      <c r="E538" s="52" t="s">
        <v>602</v>
      </c>
      <c r="F538" s="52">
        <v>300</v>
      </c>
      <c r="G538" s="54">
        <v>5278</v>
      </c>
    </row>
    <row r="539" spans="1:7" ht="78.75">
      <c r="A539" s="51" t="s">
        <v>603</v>
      </c>
      <c r="B539" s="53"/>
      <c r="C539" s="53" t="s">
        <v>34</v>
      </c>
      <c r="D539" s="53" t="s">
        <v>16</v>
      </c>
      <c r="E539" s="52" t="s">
        <v>604</v>
      </c>
      <c r="F539" s="52"/>
      <c r="G539" s="54">
        <f>G540+G541</f>
        <v>51036</v>
      </c>
    </row>
    <row r="540" spans="1:7" ht="31.5">
      <c r="A540" s="51" t="s">
        <v>55</v>
      </c>
      <c r="B540" s="53"/>
      <c r="C540" s="53" t="s">
        <v>34</v>
      </c>
      <c r="D540" s="53" t="s">
        <v>16</v>
      </c>
      <c r="E540" s="52" t="s">
        <v>604</v>
      </c>
      <c r="F540" s="52">
        <v>200</v>
      </c>
      <c r="G540" s="54">
        <v>753.9</v>
      </c>
    </row>
    <row r="541" spans="1:7" ht="15.75">
      <c r="A541" s="51" t="s">
        <v>45</v>
      </c>
      <c r="B541" s="53"/>
      <c r="C541" s="53" t="s">
        <v>34</v>
      </c>
      <c r="D541" s="53" t="s">
        <v>16</v>
      </c>
      <c r="E541" s="52" t="s">
        <v>604</v>
      </c>
      <c r="F541" s="52">
        <v>300</v>
      </c>
      <c r="G541" s="54">
        <v>50282.1</v>
      </c>
    </row>
    <row r="542" spans="1:7" ht="63">
      <c r="A542" s="51" t="s">
        <v>605</v>
      </c>
      <c r="B542" s="53"/>
      <c r="C542" s="53" t="s">
        <v>34</v>
      </c>
      <c r="D542" s="53" t="s">
        <v>16</v>
      </c>
      <c r="E542" s="52" t="s">
        <v>606</v>
      </c>
      <c r="F542" s="52"/>
      <c r="G542" s="54">
        <f>G543+G544</f>
        <v>10110.199999999999</v>
      </c>
    </row>
    <row r="543" spans="1:7" ht="31.5">
      <c r="A543" s="51" t="s">
        <v>55</v>
      </c>
      <c r="B543" s="53"/>
      <c r="C543" s="53" t="s">
        <v>34</v>
      </c>
      <c r="D543" s="53" t="s">
        <v>16</v>
      </c>
      <c r="E543" s="52" t="s">
        <v>606</v>
      </c>
      <c r="F543" s="52">
        <v>200</v>
      </c>
      <c r="G543" s="54">
        <v>149.9</v>
      </c>
    </row>
    <row r="544" spans="1:7" ht="15.75">
      <c r="A544" s="51" t="s">
        <v>45</v>
      </c>
      <c r="B544" s="53"/>
      <c r="C544" s="53" t="s">
        <v>34</v>
      </c>
      <c r="D544" s="53" t="s">
        <v>16</v>
      </c>
      <c r="E544" s="52" t="s">
        <v>606</v>
      </c>
      <c r="F544" s="52">
        <v>300</v>
      </c>
      <c r="G544" s="54">
        <v>9960.3</v>
      </c>
    </row>
    <row r="545" spans="1:7" ht="31.5">
      <c r="A545" s="51" t="s">
        <v>87</v>
      </c>
      <c r="B545" s="53"/>
      <c r="C545" s="53" t="s">
        <v>34</v>
      </c>
      <c r="D545" s="53" t="s">
        <v>16</v>
      </c>
      <c r="E545" s="52" t="s">
        <v>19</v>
      </c>
      <c r="F545" s="52"/>
      <c r="G545" s="54">
        <f>SUM(G546)</f>
        <v>39</v>
      </c>
    </row>
    <row r="546" spans="1:7" ht="31.5">
      <c r="A546" s="51" t="s">
        <v>88</v>
      </c>
      <c r="B546" s="53"/>
      <c r="C546" s="53" t="s">
        <v>34</v>
      </c>
      <c r="D546" s="53" t="s">
        <v>16</v>
      </c>
      <c r="E546" s="52" t="s">
        <v>20</v>
      </c>
      <c r="F546" s="52"/>
      <c r="G546" s="54">
        <f>G547</f>
        <v>39</v>
      </c>
    </row>
    <row r="547" spans="1:7" ht="31.5">
      <c r="A547" s="51" t="s">
        <v>48</v>
      </c>
      <c r="B547" s="53"/>
      <c r="C547" s="53" t="s">
        <v>34</v>
      </c>
      <c r="D547" s="53" t="s">
        <v>16</v>
      </c>
      <c r="E547" s="52" t="s">
        <v>49</v>
      </c>
      <c r="F547" s="52"/>
      <c r="G547" s="54">
        <f>G548</f>
        <v>39</v>
      </c>
    </row>
    <row r="548" spans="1:7" ht="15.75">
      <c r="A548" s="51" t="s">
        <v>714</v>
      </c>
      <c r="B548" s="53"/>
      <c r="C548" s="53" t="s">
        <v>34</v>
      </c>
      <c r="D548" s="53" t="s">
        <v>16</v>
      </c>
      <c r="E548" s="52" t="s">
        <v>715</v>
      </c>
      <c r="F548" s="52"/>
      <c r="G548" s="54">
        <f>G549</f>
        <v>39</v>
      </c>
    </row>
    <row r="549" spans="1:7" ht="31.5">
      <c r="A549" s="51" t="s">
        <v>52</v>
      </c>
      <c r="B549" s="53"/>
      <c r="C549" s="53" t="s">
        <v>34</v>
      </c>
      <c r="D549" s="53" t="s">
        <v>16</v>
      </c>
      <c r="E549" s="52" t="s">
        <v>716</v>
      </c>
      <c r="F549" s="52"/>
      <c r="G549" s="54">
        <f>G550</f>
        <v>39</v>
      </c>
    </row>
    <row r="550" spans="1:7" ht="31.5">
      <c r="A550" s="51" t="s">
        <v>55</v>
      </c>
      <c r="B550" s="53"/>
      <c r="C550" s="53" t="s">
        <v>34</v>
      </c>
      <c r="D550" s="53" t="s">
        <v>16</v>
      </c>
      <c r="E550" s="52" t="s">
        <v>716</v>
      </c>
      <c r="F550" s="52">
        <v>200</v>
      </c>
      <c r="G550" s="54">
        <v>39</v>
      </c>
    </row>
    <row r="551" spans="1:7" ht="15.75">
      <c r="A551" s="51" t="s">
        <v>80</v>
      </c>
      <c r="B551" s="53"/>
      <c r="C551" s="53" t="s">
        <v>34</v>
      </c>
      <c r="D551" s="53" t="s">
        <v>81</v>
      </c>
      <c r="E551" s="52"/>
      <c r="F551" s="52"/>
      <c r="G551" s="54">
        <f>G568+G552</f>
        <v>30592.899999999998</v>
      </c>
    </row>
    <row r="552" spans="1:7" ht="31.5">
      <c r="A552" s="51" t="s">
        <v>553</v>
      </c>
      <c r="B552" s="53"/>
      <c r="C552" s="53" t="s">
        <v>34</v>
      </c>
      <c r="D552" s="53" t="s">
        <v>81</v>
      </c>
      <c r="E552" s="53" t="s">
        <v>539</v>
      </c>
      <c r="F552" s="52"/>
      <c r="G552" s="54">
        <f>G553+G558+G562</f>
        <v>26987.8</v>
      </c>
    </row>
    <row r="553" spans="1:7" ht="15.75">
      <c r="A553" s="51" t="s">
        <v>559</v>
      </c>
      <c r="B553" s="53"/>
      <c r="C553" s="53" t="s">
        <v>34</v>
      </c>
      <c r="D553" s="53" t="s">
        <v>81</v>
      </c>
      <c r="E553" s="53" t="s">
        <v>540</v>
      </c>
      <c r="F553" s="52"/>
      <c r="G553" s="54">
        <f>G554</f>
        <v>5528</v>
      </c>
    </row>
    <row r="554" spans="1:7" ht="78.75">
      <c r="A554" s="51" t="s">
        <v>316</v>
      </c>
      <c r="B554" s="53"/>
      <c r="C554" s="53" t="s">
        <v>34</v>
      </c>
      <c r="D554" s="53" t="s">
        <v>81</v>
      </c>
      <c r="E554" s="53" t="s">
        <v>541</v>
      </c>
      <c r="F554" s="52"/>
      <c r="G554" s="54">
        <f>G555</f>
        <v>5528</v>
      </c>
    </row>
    <row r="555" spans="1:7" ht="15.75">
      <c r="A555" s="51" t="s">
        <v>607</v>
      </c>
      <c r="B555" s="53"/>
      <c r="C555" s="53" t="s">
        <v>34</v>
      </c>
      <c r="D555" s="53" t="s">
        <v>81</v>
      </c>
      <c r="E555" s="52" t="s">
        <v>608</v>
      </c>
      <c r="F555" s="52"/>
      <c r="G555" s="54">
        <f>G556+G557</f>
        <v>5528</v>
      </c>
    </row>
    <row r="556" spans="1:7" ht="47.25">
      <c r="A556" s="51" t="s">
        <v>54</v>
      </c>
      <c r="B556" s="53"/>
      <c r="C556" s="53" t="s">
        <v>34</v>
      </c>
      <c r="D556" s="53" t="s">
        <v>81</v>
      </c>
      <c r="E556" s="52" t="s">
        <v>608</v>
      </c>
      <c r="F556" s="52">
        <v>100</v>
      </c>
      <c r="G556" s="54">
        <v>4948.6</v>
      </c>
    </row>
    <row r="557" spans="1:7" ht="31.5">
      <c r="A557" s="51" t="s">
        <v>55</v>
      </c>
      <c r="B557" s="53"/>
      <c r="C557" s="53" t="s">
        <v>34</v>
      </c>
      <c r="D557" s="53" t="s">
        <v>81</v>
      </c>
      <c r="E557" s="52" t="s">
        <v>608</v>
      </c>
      <c r="F557" s="52">
        <v>200</v>
      </c>
      <c r="G557" s="54">
        <v>579.4</v>
      </c>
    </row>
    <row r="558" spans="1:7" ht="31.5">
      <c r="A558" s="51" t="s">
        <v>562</v>
      </c>
      <c r="B558" s="53"/>
      <c r="C558" s="53" t="s">
        <v>34</v>
      </c>
      <c r="D558" s="53" t="s">
        <v>81</v>
      </c>
      <c r="E558" s="52" t="s">
        <v>563</v>
      </c>
      <c r="F558" s="52"/>
      <c r="G558" s="54">
        <f>G559</f>
        <v>4237.2</v>
      </c>
    </row>
    <row r="559" spans="1:7" ht="31.5">
      <c r="A559" s="51" t="s">
        <v>609</v>
      </c>
      <c r="B559" s="53"/>
      <c r="C559" s="53" t="s">
        <v>34</v>
      </c>
      <c r="D559" s="53" t="s">
        <v>81</v>
      </c>
      <c r="E559" s="52" t="s">
        <v>610</v>
      </c>
      <c r="F559" s="52"/>
      <c r="G559" s="54">
        <f>G560+G561</f>
        <v>4237.2</v>
      </c>
    </row>
    <row r="560" spans="1:7" ht="47.25">
      <c r="A560" s="51" t="s">
        <v>54</v>
      </c>
      <c r="B560" s="53"/>
      <c r="C560" s="53" t="s">
        <v>34</v>
      </c>
      <c r="D560" s="53" t="s">
        <v>81</v>
      </c>
      <c r="E560" s="52" t="s">
        <v>610</v>
      </c>
      <c r="F560" s="52">
        <v>100</v>
      </c>
      <c r="G560" s="54">
        <v>3602.4</v>
      </c>
    </row>
    <row r="561" spans="1:7" ht="31.5">
      <c r="A561" s="51" t="s">
        <v>55</v>
      </c>
      <c r="B561" s="53"/>
      <c r="C561" s="53" t="s">
        <v>34</v>
      </c>
      <c r="D561" s="53" t="s">
        <v>81</v>
      </c>
      <c r="E561" s="52" t="s">
        <v>610</v>
      </c>
      <c r="F561" s="52">
        <v>200</v>
      </c>
      <c r="G561" s="54">
        <v>634.8</v>
      </c>
    </row>
    <row r="562" spans="1:7" ht="31.5">
      <c r="A562" s="51" t="s">
        <v>554</v>
      </c>
      <c r="B562" s="53"/>
      <c r="C562" s="53" t="s">
        <v>34</v>
      </c>
      <c r="D562" s="53" t="s">
        <v>81</v>
      </c>
      <c r="E562" s="53" t="s">
        <v>555</v>
      </c>
      <c r="F562" s="52"/>
      <c r="G562" s="54">
        <f>G563</f>
        <v>17222.6</v>
      </c>
    </row>
    <row r="563" spans="1:7" ht="47.25">
      <c r="A563" s="51" t="s">
        <v>611</v>
      </c>
      <c r="B563" s="53"/>
      <c r="C563" s="53" t="s">
        <v>34</v>
      </c>
      <c r="D563" s="53" t="s">
        <v>81</v>
      </c>
      <c r="E563" s="52" t="s">
        <v>612</v>
      </c>
      <c r="F563" s="52"/>
      <c r="G563" s="54">
        <f>G564</f>
        <v>17222.6</v>
      </c>
    </row>
    <row r="564" spans="1:7" ht="31.5">
      <c r="A564" s="51" t="s">
        <v>613</v>
      </c>
      <c r="B564" s="53"/>
      <c r="C564" s="53" t="s">
        <v>34</v>
      </c>
      <c r="D564" s="53" t="s">
        <v>81</v>
      </c>
      <c r="E564" s="52" t="s">
        <v>614</v>
      </c>
      <c r="F564" s="52"/>
      <c r="G564" s="54">
        <f>G565+G566+G567</f>
        <v>17222.6</v>
      </c>
    </row>
    <row r="565" spans="1:7" ht="47.25">
      <c r="A565" s="51" t="s">
        <v>54</v>
      </c>
      <c r="B565" s="53"/>
      <c r="C565" s="53" t="s">
        <v>34</v>
      </c>
      <c r="D565" s="53" t="s">
        <v>81</v>
      </c>
      <c r="E565" s="52" t="s">
        <v>614</v>
      </c>
      <c r="F565" s="52">
        <v>100</v>
      </c>
      <c r="G565" s="54">
        <v>14583.1</v>
      </c>
    </row>
    <row r="566" spans="1:7" ht="31.5">
      <c r="A566" s="51" t="s">
        <v>55</v>
      </c>
      <c r="B566" s="53"/>
      <c r="C566" s="53" t="s">
        <v>34</v>
      </c>
      <c r="D566" s="53" t="s">
        <v>81</v>
      </c>
      <c r="E566" s="52" t="s">
        <v>614</v>
      </c>
      <c r="F566" s="52">
        <v>200</v>
      </c>
      <c r="G566" s="54">
        <v>2321.2</v>
      </c>
    </row>
    <row r="567" spans="1:7" ht="15.75">
      <c r="A567" s="51" t="s">
        <v>25</v>
      </c>
      <c r="B567" s="53"/>
      <c r="C567" s="53" t="s">
        <v>34</v>
      </c>
      <c r="D567" s="53" t="s">
        <v>81</v>
      </c>
      <c r="E567" s="52" t="s">
        <v>614</v>
      </c>
      <c r="F567" s="52">
        <v>800</v>
      </c>
      <c r="G567" s="54">
        <v>318.3</v>
      </c>
    </row>
    <row r="568" spans="1:7" ht="31.5">
      <c r="A568" s="51" t="s">
        <v>87</v>
      </c>
      <c r="B568" s="53"/>
      <c r="C568" s="53" t="s">
        <v>34</v>
      </c>
      <c r="D568" s="53" t="s">
        <v>81</v>
      </c>
      <c r="E568" s="52" t="s">
        <v>19</v>
      </c>
      <c r="F568" s="52"/>
      <c r="G568" s="54">
        <f>G569</f>
        <v>3605.1</v>
      </c>
    </row>
    <row r="569" spans="1:7" ht="47.25">
      <c r="A569" s="51" t="s">
        <v>93</v>
      </c>
      <c r="B569" s="53"/>
      <c r="C569" s="53" t="s">
        <v>34</v>
      </c>
      <c r="D569" s="53" t="s">
        <v>81</v>
      </c>
      <c r="E569" s="52" t="s">
        <v>82</v>
      </c>
      <c r="F569" s="52"/>
      <c r="G569" s="54">
        <f>G570</f>
        <v>3605.1</v>
      </c>
    </row>
    <row r="570" spans="1:7" ht="31.5">
      <c r="A570" s="51" t="s">
        <v>83</v>
      </c>
      <c r="B570" s="53"/>
      <c r="C570" s="53" t="s">
        <v>34</v>
      </c>
      <c r="D570" s="53" t="s">
        <v>81</v>
      </c>
      <c r="E570" s="52" t="s">
        <v>84</v>
      </c>
      <c r="F570" s="52"/>
      <c r="G570" s="54">
        <f>G571</f>
        <v>3605.1</v>
      </c>
    </row>
    <row r="571" spans="1:7" ht="15.75">
      <c r="A571" s="51" t="s">
        <v>85</v>
      </c>
      <c r="B571" s="53"/>
      <c r="C571" s="53" t="s">
        <v>34</v>
      </c>
      <c r="D571" s="53" t="s">
        <v>81</v>
      </c>
      <c r="E571" s="52" t="s">
        <v>86</v>
      </c>
      <c r="F571" s="52"/>
      <c r="G571" s="54">
        <f>G572+G573</f>
        <v>3605.1</v>
      </c>
    </row>
    <row r="572" spans="1:7" ht="47.25">
      <c r="A572" s="51" t="s">
        <v>54</v>
      </c>
      <c r="B572" s="53"/>
      <c r="C572" s="53" t="s">
        <v>34</v>
      </c>
      <c r="D572" s="53" t="s">
        <v>81</v>
      </c>
      <c r="E572" s="52" t="s">
        <v>86</v>
      </c>
      <c r="F572" s="52">
        <v>100</v>
      </c>
      <c r="G572" s="54">
        <v>3593.1</v>
      </c>
    </row>
    <row r="573" spans="1:7" ht="31.5">
      <c r="A573" s="51" t="s">
        <v>55</v>
      </c>
      <c r="B573" s="53"/>
      <c r="C573" s="53" t="s">
        <v>34</v>
      </c>
      <c r="D573" s="53" t="s">
        <v>81</v>
      </c>
      <c r="E573" s="52" t="s">
        <v>86</v>
      </c>
      <c r="F573" s="52">
        <v>200</v>
      </c>
      <c r="G573" s="54">
        <v>12</v>
      </c>
    </row>
    <row r="574" spans="1:7" s="122" customFormat="1" ht="31.5">
      <c r="A574" s="119" t="s">
        <v>675</v>
      </c>
      <c r="B574" s="96" t="s">
        <v>320</v>
      </c>
      <c r="C574" s="120"/>
      <c r="D574" s="120"/>
      <c r="E574" s="120"/>
      <c r="F574" s="120"/>
      <c r="G574" s="121">
        <f>G575</f>
        <v>94164.2</v>
      </c>
    </row>
    <row r="575" spans="1:7" ht="15.75">
      <c r="A575" s="51" t="s">
        <v>321</v>
      </c>
      <c r="B575" s="80"/>
      <c r="C575" s="80" t="s">
        <v>188</v>
      </c>
      <c r="D575" s="80"/>
      <c r="E575" s="80"/>
      <c r="F575" s="80"/>
      <c r="G575" s="64">
        <f>+G576+G623+G633</f>
        <v>94164.2</v>
      </c>
    </row>
    <row r="576" spans="1:7" ht="15.75">
      <c r="A576" s="51" t="s">
        <v>322</v>
      </c>
      <c r="B576" s="80"/>
      <c r="C576" s="80" t="s">
        <v>188</v>
      </c>
      <c r="D576" s="80" t="s">
        <v>37</v>
      </c>
      <c r="E576" s="80"/>
      <c r="F576" s="80"/>
      <c r="G576" s="64">
        <f>+G577</f>
        <v>83198.40000000001</v>
      </c>
    </row>
    <row r="577" spans="1:7" ht="31.5">
      <c r="A577" s="51" t="s">
        <v>323</v>
      </c>
      <c r="B577" s="80"/>
      <c r="C577" s="80" t="s">
        <v>188</v>
      </c>
      <c r="D577" s="80" t="s">
        <v>37</v>
      </c>
      <c r="E577" s="80" t="s">
        <v>324</v>
      </c>
      <c r="F577" s="80"/>
      <c r="G577" s="64">
        <f>G578+G584+G598+G602</f>
        <v>83198.40000000001</v>
      </c>
    </row>
    <row r="578" spans="1:7" ht="31.5">
      <c r="A578" s="51" t="s">
        <v>425</v>
      </c>
      <c r="B578" s="80"/>
      <c r="C578" s="80" t="s">
        <v>188</v>
      </c>
      <c r="D578" s="80" t="s">
        <v>37</v>
      </c>
      <c r="E578" s="80" t="s">
        <v>325</v>
      </c>
      <c r="F578" s="80"/>
      <c r="G578" s="64">
        <f>G579</f>
        <v>5631.1</v>
      </c>
    </row>
    <row r="579" spans="1:7" ht="31.5">
      <c r="A579" s="51" t="s">
        <v>48</v>
      </c>
      <c r="B579" s="80"/>
      <c r="C579" s="80" t="s">
        <v>188</v>
      </c>
      <c r="D579" s="80" t="s">
        <v>37</v>
      </c>
      <c r="E579" s="80" t="s">
        <v>326</v>
      </c>
      <c r="F579" s="80"/>
      <c r="G579" s="64">
        <f>G580</f>
        <v>5631.1</v>
      </c>
    </row>
    <row r="580" spans="1:7" ht="15.75">
      <c r="A580" s="51" t="s">
        <v>327</v>
      </c>
      <c r="B580" s="80"/>
      <c r="C580" s="80" t="s">
        <v>188</v>
      </c>
      <c r="D580" s="80" t="s">
        <v>37</v>
      </c>
      <c r="E580" s="80" t="s">
        <v>328</v>
      </c>
      <c r="F580" s="80"/>
      <c r="G580" s="64">
        <f>G581+G582+G583</f>
        <v>5631.1</v>
      </c>
    </row>
    <row r="581" spans="1:7" ht="47.25">
      <c r="A581" s="70" t="s">
        <v>54</v>
      </c>
      <c r="B581" s="80"/>
      <c r="C581" s="80" t="s">
        <v>188</v>
      </c>
      <c r="D581" s="80" t="s">
        <v>37</v>
      </c>
      <c r="E581" s="80" t="s">
        <v>328</v>
      </c>
      <c r="F581" s="80" t="s">
        <v>98</v>
      </c>
      <c r="G581" s="64">
        <v>5023.2</v>
      </c>
    </row>
    <row r="582" spans="1:7" ht="31.5">
      <c r="A582" s="51" t="s">
        <v>55</v>
      </c>
      <c r="B582" s="80"/>
      <c r="C582" s="80" t="s">
        <v>188</v>
      </c>
      <c r="D582" s="80" t="s">
        <v>37</v>
      </c>
      <c r="E582" s="80" t="s">
        <v>328</v>
      </c>
      <c r="F582" s="80" t="s">
        <v>100</v>
      </c>
      <c r="G582" s="54">
        <v>606.1</v>
      </c>
    </row>
    <row r="583" spans="1:7" ht="15.75">
      <c r="A583" s="51" t="s">
        <v>25</v>
      </c>
      <c r="B583" s="80"/>
      <c r="C583" s="80" t="s">
        <v>188</v>
      </c>
      <c r="D583" s="80" t="s">
        <v>37</v>
      </c>
      <c r="E583" s="80" t="s">
        <v>328</v>
      </c>
      <c r="F583" s="80" t="s">
        <v>105</v>
      </c>
      <c r="G583" s="64">
        <v>1.8</v>
      </c>
    </row>
    <row r="584" spans="1:7" ht="31.5">
      <c r="A584" s="51" t="s">
        <v>341</v>
      </c>
      <c r="B584" s="80"/>
      <c r="C584" s="80" t="s">
        <v>188</v>
      </c>
      <c r="D584" s="80" t="s">
        <v>37</v>
      </c>
      <c r="E584" s="80" t="s">
        <v>329</v>
      </c>
      <c r="F584" s="80"/>
      <c r="G584" s="64">
        <f>G585</f>
        <v>5733</v>
      </c>
    </row>
    <row r="585" spans="1:7" ht="15.75">
      <c r="A585" s="51" t="s">
        <v>38</v>
      </c>
      <c r="B585" s="80"/>
      <c r="C585" s="80" t="s">
        <v>188</v>
      </c>
      <c r="D585" s="80" t="s">
        <v>37</v>
      </c>
      <c r="E585" s="80" t="s">
        <v>426</v>
      </c>
      <c r="F585" s="80"/>
      <c r="G585" s="64">
        <f>G586+G592+G596+G590+G594</f>
        <v>5733</v>
      </c>
    </row>
    <row r="586" spans="1:7" ht="15.75">
      <c r="A586" s="51" t="s">
        <v>327</v>
      </c>
      <c r="B586" s="80"/>
      <c r="C586" s="80" t="s">
        <v>188</v>
      </c>
      <c r="D586" s="80" t="s">
        <v>37</v>
      </c>
      <c r="E586" s="80" t="s">
        <v>427</v>
      </c>
      <c r="F586" s="80"/>
      <c r="G586" s="64">
        <f>+G587+G588+G589</f>
        <v>3424</v>
      </c>
    </row>
    <row r="587" spans="1:7" ht="59.25" customHeight="1">
      <c r="A587" s="70" t="s">
        <v>54</v>
      </c>
      <c r="B587" s="80"/>
      <c r="C587" s="80" t="s">
        <v>188</v>
      </c>
      <c r="D587" s="80" t="s">
        <v>37</v>
      </c>
      <c r="E587" s="80" t="s">
        <v>427</v>
      </c>
      <c r="F587" s="80" t="s">
        <v>98</v>
      </c>
      <c r="G587" s="64">
        <v>1484</v>
      </c>
    </row>
    <row r="588" spans="1:7" ht="30.75" customHeight="1">
      <c r="A588" s="51" t="s">
        <v>55</v>
      </c>
      <c r="B588" s="80"/>
      <c r="C588" s="80" t="s">
        <v>188</v>
      </c>
      <c r="D588" s="80" t="s">
        <v>37</v>
      </c>
      <c r="E588" s="80" t="s">
        <v>427</v>
      </c>
      <c r="F588" s="80" t="s">
        <v>100</v>
      </c>
      <c r="G588" s="64">
        <v>1820</v>
      </c>
    </row>
    <row r="589" spans="1:7" ht="31.5">
      <c r="A589" s="51" t="s">
        <v>282</v>
      </c>
      <c r="B589" s="80"/>
      <c r="C589" s="80" t="s">
        <v>188</v>
      </c>
      <c r="D589" s="80" t="s">
        <v>37</v>
      </c>
      <c r="E589" s="80" t="s">
        <v>427</v>
      </c>
      <c r="F589" s="80" t="s">
        <v>134</v>
      </c>
      <c r="G589" s="64">
        <v>120</v>
      </c>
    </row>
    <row r="590" spans="1:7" ht="47.25">
      <c r="A590" s="51" t="s">
        <v>682</v>
      </c>
      <c r="B590" s="80"/>
      <c r="C590" s="80" t="s">
        <v>188</v>
      </c>
      <c r="D590" s="80" t="s">
        <v>37</v>
      </c>
      <c r="E590" s="80" t="s">
        <v>683</v>
      </c>
      <c r="F590" s="80"/>
      <c r="G590" s="64">
        <f>SUM(G591)</f>
        <v>1760</v>
      </c>
    </row>
    <row r="591" spans="1:7" ht="31.5">
      <c r="A591" s="51" t="s">
        <v>282</v>
      </c>
      <c r="B591" s="80"/>
      <c r="C591" s="80" t="s">
        <v>188</v>
      </c>
      <c r="D591" s="80" t="s">
        <v>37</v>
      </c>
      <c r="E591" s="80" t="s">
        <v>683</v>
      </c>
      <c r="F591" s="80" t="s">
        <v>134</v>
      </c>
      <c r="G591" s="64">
        <v>1760</v>
      </c>
    </row>
    <row r="592" spans="1:7" ht="31.5">
      <c r="A592" s="51" t="s">
        <v>337</v>
      </c>
      <c r="B592" s="80"/>
      <c r="C592" s="80" t="s">
        <v>188</v>
      </c>
      <c r="D592" s="80" t="s">
        <v>37</v>
      </c>
      <c r="E592" s="80" t="s">
        <v>428</v>
      </c>
      <c r="F592" s="80"/>
      <c r="G592" s="64">
        <f>G593</f>
        <v>499</v>
      </c>
    </row>
    <row r="593" spans="1:7" ht="31.5">
      <c r="A593" s="51" t="s">
        <v>55</v>
      </c>
      <c r="B593" s="80"/>
      <c r="C593" s="80" t="s">
        <v>188</v>
      </c>
      <c r="D593" s="80" t="s">
        <v>37</v>
      </c>
      <c r="E593" s="80" t="s">
        <v>428</v>
      </c>
      <c r="F593" s="80" t="s">
        <v>100</v>
      </c>
      <c r="G593" s="64">
        <v>499</v>
      </c>
    </row>
    <row r="594" spans="1:7" ht="63">
      <c r="A594" s="102" t="s">
        <v>684</v>
      </c>
      <c r="B594" s="57"/>
      <c r="C594" s="57" t="s">
        <v>188</v>
      </c>
      <c r="D594" s="57" t="s">
        <v>37</v>
      </c>
      <c r="E594" s="57" t="s">
        <v>685</v>
      </c>
      <c r="F594" s="57"/>
      <c r="G594" s="60">
        <f>G595</f>
        <v>50</v>
      </c>
    </row>
    <row r="595" spans="1:7" ht="31.5">
      <c r="A595" s="102" t="s">
        <v>282</v>
      </c>
      <c r="B595" s="57"/>
      <c r="C595" s="57" t="s">
        <v>188</v>
      </c>
      <c r="D595" s="57" t="s">
        <v>37</v>
      </c>
      <c r="E595" s="57" t="s">
        <v>685</v>
      </c>
      <c r="F595" s="57" t="s">
        <v>134</v>
      </c>
      <c r="G595" s="60">
        <v>50</v>
      </c>
    </row>
    <row r="596" spans="1:7" ht="47.25" hidden="1">
      <c r="A596" s="51" t="s">
        <v>338</v>
      </c>
      <c r="B596" s="80"/>
      <c r="C596" s="80" t="s">
        <v>188</v>
      </c>
      <c r="D596" s="80" t="s">
        <v>37</v>
      </c>
      <c r="E596" s="80" t="s">
        <v>429</v>
      </c>
      <c r="F596" s="80"/>
      <c r="G596" s="64">
        <f>G597</f>
        <v>0</v>
      </c>
    </row>
    <row r="597" spans="1:7" ht="31.5" hidden="1">
      <c r="A597" s="51" t="s">
        <v>282</v>
      </c>
      <c r="B597" s="80"/>
      <c r="C597" s="80" t="s">
        <v>188</v>
      </c>
      <c r="D597" s="80" t="s">
        <v>37</v>
      </c>
      <c r="E597" s="80" t="s">
        <v>429</v>
      </c>
      <c r="F597" s="80" t="s">
        <v>134</v>
      </c>
      <c r="G597" s="64"/>
    </row>
    <row r="598" spans="1:7" ht="63">
      <c r="A598" s="51" t="s">
        <v>339</v>
      </c>
      <c r="B598" s="80"/>
      <c r="C598" s="80" t="s">
        <v>188</v>
      </c>
      <c r="D598" s="80" t="s">
        <v>37</v>
      </c>
      <c r="E598" s="86" t="s">
        <v>332</v>
      </c>
      <c r="F598" s="80"/>
      <c r="G598" s="64">
        <f>G599</f>
        <v>70364.3</v>
      </c>
    </row>
    <row r="599" spans="1:7" ht="31.5">
      <c r="A599" s="51" t="s">
        <v>330</v>
      </c>
      <c r="B599" s="80"/>
      <c r="C599" s="80" t="s">
        <v>188</v>
      </c>
      <c r="D599" s="80" t="s">
        <v>37</v>
      </c>
      <c r="E599" s="86" t="s">
        <v>430</v>
      </c>
      <c r="F599" s="80"/>
      <c r="G599" s="64">
        <f>G600</f>
        <v>70364.3</v>
      </c>
    </row>
    <row r="600" spans="1:7" ht="15.75">
      <c r="A600" s="51" t="s">
        <v>327</v>
      </c>
      <c r="B600" s="80"/>
      <c r="C600" s="80" t="s">
        <v>188</v>
      </c>
      <c r="D600" s="80" t="s">
        <v>37</v>
      </c>
      <c r="E600" s="86" t="s">
        <v>431</v>
      </c>
      <c r="F600" s="80"/>
      <c r="G600" s="64">
        <f>G601</f>
        <v>70364.3</v>
      </c>
    </row>
    <row r="601" spans="1:7" ht="31.5">
      <c r="A601" s="51" t="s">
        <v>75</v>
      </c>
      <c r="B601" s="80"/>
      <c r="C601" s="80" t="s">
        <v>188</v>
      </c>
      <c r="D601" s="80" t="s">
        <v>37</v>
      </c>
      <c r="E601" s="86" t="s">
        <v>431</v>
      </c>
      <c r="F601" s="80" t="s">
        <v>134</v>
      </c>
      <c r="G601" s="64">
        <v>70364.3</v>
      </c>
    </row>
    <row r="602" spans="1:7" ht="31.5">
      <c r="A602" s="51" t="s">
        <v>340</v>
      </c>
      <c r="B602" s="80"/>
      <c r="C602" s="80" t="s">
        <v>188</v>
      </c>
      <c r="D602" s="80" t="s">
        <v>37</v>
      </c>
      <c r="E602" s="80" t="s">
        <v>336</v>
      </c>
      <c r="F602" s="80"/>
      <c r="G602" s="64">
        <f>SUM(G603)</f>
        <v>1470</v>
      </c>
    </row>
    <row r="603" spans="1:7" ht="15.75">
      <c r="A603" s="51" t="s">
        <v>165</v>
      </c>
      <c r="B603" s="80"/>
      <c r="C603" s="80" t="s">
        <v>188</v>
      </c>
      <c r="D603" s="80" t="s">
        <v>37</v>
      </c>
      <c r="E603" s="80" t="s">
        <v>432</v>
      </c>
      <c r="F603" s="80"/>
      <c r="G603" s="64">
        <f>SUM(G604+G612+G615+G618)</f>
        <v>1470</v>
      </c>
    </row>
    <row r="604" spans="1:7" ht="31.5">
      <c r="A604" s="51" t="s">
        <v>526</v>
      </c>
      <c r="B604" s="80"/>
      <c r="C604" s="80" t="s">
        <v>188</v>
      </c>
      <c r="D604" s="80" t="s">
        <v>37</v>
      </c>
      <c r="E604" s="80" t="s">
        <v>527</v>
      </c>
      <c r="F604" s="80"/>
      <c r="G604" s="64">
        <f>G605+G607</f>
        <v>1000</v>
      </c>
    </row>
    <row r="605" spans="1:7" ht="15.75" hidden="1">
      <c r="A605" s="51" t="s">
        <v>327</v>
      </c>
      <c r="B605" s="80"/>
      <c r="C605" s="80" t="s">
        <v>188</v>
      </c>
      <c r="D605" s="80" t="s">
        <v>37</v>
      </c>
      <c r="E605" s="80" t="s">
        <v>528</v>
      </c>
      <c r="F605" s="80"/>
      <c r="G605" s="64">
        <f>G606</f>
        <v>0</v>
      </c>
    </row>
    <row r="606" spans="1:7" ht="29.25" customHeight="1" hidden="1">
      <c r="A606" s="51" t="s">
        <v>75</v>
      </c>
      <c r="B606" s="80"/>
      <c r="C606" s="80" t="s">
        <v>188</v>
      </c>
      <c r="D606" s="80" t="s">
        <v>37</v>
      </c>
      <c r="E606" s="80" t="s">
        <v>528</v>
      </c>
      <c r="F606" s="80" t="s">
        <v>134</v>
      </c>
      <c r="G606" s="64"/>
    </row>
    <row r="607" spans="1:7" ht="51.75" customHeight="1">
      <c r="A607" s="51" t="s">
        <v>682</v>
      </c>
      <c r="B607" s="80"/>
      <c r="C607" s="80" t="s">
        <v>188</v>
      </c>
      <c r="D607" s="80" t="s">
        <v>37</v>
      </c>
      <c r="E607" s="80" t="s">
        <v>686</v>
      </c>
      <c r="F607" s="80"/>
      <c r="G607" s="64">
        <f>SUM(G608)</f>
        <v>1000</v>
      </c>
    </row>
    <row r="608" spans="1:7" ht="29.25" customHeight="1">
      <c r="A608" s="51" t="s">
        <v>282</v>
      </c>
      <c r="B608" s="80"/>
      <c r="C608" s="80" t="s">
        <v>188</v>
      </c>
      <c r="D608" s="80" t="s">
        <v>37</v>
      </c>
      <c r="E608" s="80" t="s">
        <v>686</v>
      </c>
      <c r="F608" s="80" t="s">
        <v>134</v>
      </c>
      <c r="G608" s="64">
        <v>1000</v>
      </c>
    </row>
    <row r="609" spans="1:7" ht="29.25" customHeight="1" hidden="1">
      <c r="A609" s="51"/>
      <c r="B609" s="80"/>
      <c r="C609" s="80"/>
      <c r="D609" s="80"/>
      <c r="E609" s="80"/>
      <c r="F609" s="80"/>
      <c r="G609" s="64"/>
    </row>
    <row r="610" spans="1:7" ht="29.25" customHeight="1" hidden="1">
      <c r="A610" s="51"/>
      <c r="B610" s="80"/>
      <c r="C610" s="80"/>
      <c r="D610" s="80"/>
      <c r="E610" s="80"/>
      <c r="F610" s="80"/>
      <c r="G610" s="64"/>
    </row>
    <row r="611" spans="1:7" ht="29.25" customHeight="1" hidden="1">
      <c r="A611" s="51"/>
      <c r="B611" s="80"/>
      <c r="C611" s="80"/>
      <c r="D611" s="80"/>
      <c r="E611" s="80"/>
      <c r="F611" s="80"/>
      <c r="G611" s="64"/>
    </row>
    <row r="612" spans="1:7" ht="23.25" customHeight="1" hidden="1">
      <c r="A612" s="51" t="s">
        <v>333</v>
      </c>
      <c r="B612" s="80"/>
      <c r="C612" s="80" t="s">
        <v>188</v>
      </c>
      <c r="D612" s="80" t="s">
        <v>37</v>
      </c>
      <c r="E612" s="80" t="s">
        <v>433</v>
      </c>
      <c r="F612" s="80"/>
      <c r="G612" s="64">
        <f>G613</f>
        <v>0</v>
      </c>
    </row>
    <row r="613" spans="1:7" ht="15.75" hidden="1">
      <c r="A613" s="51" t="s">
        <v>327</v>
      </c>
      <c r="B613" s="80"/>
      <c r="C613" s="80" t="s">
        <v>188</v>
      </c>
      <c r="D613" s="80" t="s">
        <v>37</v>
      </c>
      <c r="E613" s="80" t="s">
        <v>434</v>
      </c>
      <c r="F613" s="80"/>
      <c r="G613" s="64">
        <f>G614</f>
        <v>0</v>
      </c>
    </row>
    <row r="614" spans="1:7" ht="31.5" hidden="1">
      <c r="A614" s="51" t="s">
        <v>75</v>
      </c>
      <c r="B614" s="80"/>
      <c r="C614" s="80" t="s">
        <v>188</v>
      </c>
      <c r="D614" s="80" t="s">
        <v>37</v>
      </c>
      <c r="E614" s="80" t="s">
        <v>434</v>
      </c>
      <c r="F614" s="80" t="s">
        <v>134</v>
      </c>
      <c r="G614" s="64"/>
    </row>
    <row r="615" spans="1:7" ht="31.5" hidden="1">
      <c r="A615" s="51" t="s">
        <v>334</v>
      </c>
      <c r="B615" s="80"/>
      <c r="C615" s="80" t="s">
        <v>188</v>
      </c>
      <c r="D615" s="80" t="s">
        <v>37</v>
      </c>
      <c r="E615" s="80" t="s">
        <v>435</v>
      </c>
      <c r="F615" s="80"/>
      <c r="G615" s="64">
        <f>+G616</f>
        <v>0</v>
      </c>
    </row>
    <row r="616" spans="1:7" ht="15.75" hidden="1">
      <c r="A616" s="51" t="s">
        <v>327</v>
      </c>
      <c r="B616" s="80"/>
      <c r="C616" s="80" t="s">
        <v>188</v>
      </c>
      <c r="D616" s="80" t="s">
        <v>37</v>
      </c>
      <c r="E616" s="80" t="s">
        <v>436</v>
      </c>
      <c r="F616" s="80"/>
      <c r="G616" s="64">
        <f>G617</f>
        <v>0</v>
      </c>
    </row>
    <row r="617" spans="1:7" ht="31.5" hidden="1">
      <c r="A617" s="51" t="s">
        <v>75</v>
      </c>
      <c r="B617" s="80"/>
      <c r="C617" s="80" t="s">
        <v>188</v>
      </c>
      <c r="D617" s="80" t="s">
        <v>37</v>
      </c>
      <c r="E617" s="80" t="s">
        <v>436</v>
      </c>
      <c r="F617" s="80" t="s">
        <v>134</v>
      </c>
      <c r="G617" s="64"/>
    </row>
    <row r="618" spans="1:7" ht="18.75" customHeight="1">
      <c r="A618" s="51" t="s">
        <v>335</v>
      </c>
      <c r="B618" s="80"/>
      <c r="C618" s="80" t="s">
        <v>188</v>
      </c>
      <c r="D618" s="80" t="s">
        <v>37</v>
      </c>
      <c r="E618" s="80" t="s">
        <v>437</v>
      </c>
      <c r="F618" s="80"/>
      <c r="G618" s="64">
        <f>+G621+G619</f>
        <v>470</v>
      </c>
    </row>
    <row r="619" spans="1:7" ht="52.5" customHeight="1">
      <c r="A619" s="51" t="s">
        <v>682</v>
      </c>
      <c r="B619" s="80"/>
      <c r="C619" s="80" t="s">
        <v>188</v>
      </c>
      <c r="D619" s="80" t="s">
        <v>37</v>
      </c>
      <c r="E619" s="80" t="s">
        <v>687</v>
      </c>
      <c r="F619" s="80"/>
      <c r="G619" s="64">
        <f>SUM(G620)</f>
        <v>470</v>
      </c>
    </row>
    <row r="620" spans="1:7" ht="30.75" customHeight="1">
      <c r="A620" s="51" t="s">
        <v>282</v>
      </c>
      <c r="B620" s="80"/>
      <c r="C620" s="80" t="s">
        <v>188</v>
      </c>
      <c r="D620" s="80" t="s">
        <v>37</v>
      </c>
      <c r="E620" s="80" t="s">
        <v>687</v>
      </c>
      <c r="F620" s="80" t="s">
        <v>134</v>
      </c>
      <c r="G620" s="64">
        <v>470</v>
      </c>
    </row>
    <row r="621" spans="1:7" ht="15.75" hidden="1">
      <c r="A621" s="51" t="s">
        <v>327</v>
      </c>
      <c r="B621" s="80"/>
      <c r="C621" s="80" t="s">
        <v>188</v>
      </c>
      <c r="D621" s="80" t="s">
        <v>37</v>
      </c>
      <c r="E621" s="80" t="s">
        <v>438</v>
      </c>
      <c r="F621" s="80"/>
      <c r="G621" s="64">
        <f>G622</f>
        <v>0</v>
      </c>
    </row>
    <row r="622" spans="1:7" ht="15.75" hidden="1">
      <c r="A622" s="51" t="s">
        <v>331</v>
      </c>
      <c r="B622" s="80"/>
      <c r="C622" s="80" t="s">
        <v>188</v>
      </c>
      <c r="D622" s="80" t="s">
        <v>37</v>
      </c>
      <c r="E622" s="80" t="s">
        <v>438</v>
      </c>
      <c r="F622" s="80" t="s">
        <v>134</v>
      </c>
      <c r="G622" s="64"/>
    </row>
    <row r="623" spans="1:7" ht="15.75">
      <c r="A623" s="51" t="s">
        <v>210</v>
      </c>
      <c r="B623" s="80"/>
      <c r="C623" s="57" t="s">
        <v>188</v>
      </c>
      <c r="D623" s="57" t="s">
        <v>47</v>
      </c>
      <c r="E623" s="80"/>
      <c r="F623" s="80"/>
      <c r="G623" s="64">
        <f>SUM(G624)</f>
        <v>9432.599999999999</v>
      </c>
    </row>
    <row r="624" spans="1:7" ht="31.5">
      <c r="A624" s="77" t="s">
        <v>688</v>
      </c>
      <c r="B624" s="57"/>
      <c r="C624" s="57" t="s">
        <v>188</v>
      </c>
      <c r="D624" s="57" t="s">
        <v>47</v>
      </c>
      <c r="E624" s="57" t="s">
        <v>689</v>
      </c>
      <c r="F624" s="57"/>
      <c r="G624" s="60">
        <f>G625+G629</f>
        <v>9432.599999999999</v>
      </c>
    </row>
    <row r="625" spans="1:7" ht="31.5">
      <c r="A625" s="77" t="s">
        <v>690</v>
      </c>
      <c r="B625" s="57"/>
      <c r="C625" s="57" t="s">
        <v>188</v>
      </c>
      <c r="D625" s="57" t="s">
        <v>47</v>
      </c>
      <c r="E625" s="57" t="s">
        <v>691</v>
      </c>
      <c r="F625" s="57"/>
      <c r="G625" s="64">
        <f>+G626</f>
        <v>8728.3</v>
      </c>
    </row>
    <row r="626" spans="1:7" ht="47.25">
      <c r="A626" s="77" t="s">
        <v>699</v>
      </c>
      <c r="B626" s="57"/>
      <c r="C626" s="57" t="s">
        <v>188</v>
      </c>
      <c r="D626" s="57" t="s">
        <v>47</v>
      </c>
      <c r="E626" s="57" t="s">
        <v>692</v>
      </c>
      <c r="F626" s="57"/>
      <c r="G626" s="64">
        <f>+G627</f>
        <v>8728.3</v>
      </c>
    </row>
    <row r="627" spans="1:7" ht="15.75">
      <c r="A627" s="77" t="s">
        <v>693</v>
      </c>
      <c r="B627" s="57"/>
      <c r="C627" s="57" t="s">
        <v>188</v>
      </c>
      <c r="D627" s="57" t="s">
        <v>47</v>
      </c>
      <c r="E627" s="57" t="s">
        <v>694</v>
      </c>
      <c r="F627" s="57"/>
      <c r="G627" s="64">
        <f>+G628</f>
        <v>8728.3</v>
      </c>
    </row>
    <row r="628" spans="1:7" ht="31.5">
      <c r="A628" s="77" t="s">
        <v>75</v>
      </c>
      <c r="B628" s="57"/>
      <c r="C628" s="57" t="s">
        <v>188</v>
      </c>
      <c r="D628" s="57" t="s">
        <v>47</v>
      </c>
      <c r="E628" s="57" t="s">
        <v>694</v>
      </c>
      <c r="F628" s="57" t="s">
        <v>134</v>
      </c>
      <c r="G628" s="64">
        <f>8728.3</f>
        <v>8728.3</v>
      </c>
    </row>
    <row r="629" spans="1:7" ht="15.75">
      <c r="A629" s="77" t="s">
        <v>695</v>
      </c>
      <c r="B629" s="57"/>
      <c r="C629" s="57" t="s">
        <v>188</v>
      </c>
      <c r="D629" s="57" t="s">
        <v>47</v>
      </c>
      <c r="E629" s="57" t="s">
        <v>696</v>
      </c>
      <c r="F629" s="57"/>
      <c r="G629" s="64">
        <f>G630</f>
        <v>704.3</v>
      </c>
    </row>
    <row r="630" spans="1:7" ht="47.25">
      <c r="A630" s="77" t="s">
        <v>611</v>
      </c>
      <c r="B630" s="57"/>
      <c r="C630" s="57" t="s">
        <v>188</v>
      </c>
      <c r="D630" s="57" t="s">
        <v>47</v>
      </c>
      <c r="E630" s="57" t="s">
        <v>697</v>
      </c>
      <c r="F630" s="57"/>
      <c r="G630" s="64">
        <f>+G631</f>
        <v>704.3</v>
      </c>
    </row>
    <row r="631" spans="1:7" ht="15.75">
      <c r="A631" s="77" t="s">
        <v>693</v>
      </c>
      <c r="B631" s="57"/>
      <c r="C631" s="57" t="s">
        <v>188</v>
      </c>
      <c r="D631" s="57" t="s">
        <v>47</v>
      </c>
      <c r="E631" s="57" t="s">
        <v>698</v>
      </c>
      <c r="F631" s="57"/>
      <c r="G631" s="60">
        <f>+G632</f>
        <v>704.3</v>
      </c>
    </row>
    <row r="632" spans="1:7" ht="31.5">
      <c r="A632" s="77" t="s">
        <v>282</v>
      </c>
      <c r="B632" s="57"/>
      <c r="C632" s="57" t="s">
        <v>188</v>
      </c>
      <c r="D632" s="57" t="s">
        <v>47</v>
      </c>
      <c r="E632" s="57" t="s">
        <v>698</v>
      </c>
      <c r="F632" s="57" t="s">
        <v>134</v>
      </c>
      <c r="G632" s="60">
        <v>704.3</v>
      </c>
    </row>
    <row r="633" spans="1:7" ht="15.75">
      <c r="A633" s="77" t="s">
        <v>211</v>
      </c>
      <c r="B633" s="57"/>
      <c r="C633" s="57" t="s">
        <v>188</v>
      </c>
      <c r="D633" s="57" t="s">
        <v>57</v>
      </c>
      <c r="E633" s="57"/>
      <c r="F633" s="57"/>
      <c r="G633" s="60">
        <f>SUM(G634)</f>
        <v>1533.2</v>
      </c>
    </row>
    <row r="634" spans="1:7" ht="31.5">
      <c r="A634" s="77" t="s">
        <v>688</v>
      </c>
      <c r="B634" s="57"/>
      <c r="C634" s="57" t="s">
        <v>188</v>
      </c>
      <c r="D634" s="57" t="s">
        <v>57</v>
      </c>
      <c r="E634" s="57" t="s">
        <v>689</v>
      </c>
      <c r="F634" s="57"/>
      <c r="G634" s="60">
        <f>SUM(G636)</f>
        <v>1533.2</v>
      </c>
    </row>
    <row r="635" spans="1:7" ht="15.75">
      <c r="A635" s="77" t="s">
        <v>765</v>
      </c>
      <c r="B635" s="57"/>
      <c r="C635" s="57" t="s">
        <v>188</v>
      </c>
      <c r="D635" s="57" t="s">
        <v>57</v>
      </c>
      <c r="E635" s="57" t="s">
        <v>762</v>
      </c>
      <c r="F635" s="57"/>
      <c r="G635" s="60"/>
    </row>
    <row r="636" spans="1:7" ht="47.25">
      <c r="A636" s="77" t="s">
        <v>611</v>
      </c>
      <c r="B636" s="57"/>
      <c r="C636" s="57" t="s">
        <v>188</v>
      </c>
      <c r="D636" s="57" t="s">
        <v>57</v>
      </c>
      <c r="E636" s="57" t="s">
        <v>763</v>
      </c>
      <c r="F636" s="57"/>
      <c r="G636" s="60">
        <f>SUM(G637)</f>
        <v>1533.2</v>
      </c>
    </row>
    <row r="637" spans="1:7" ht="15.75">
      <c r="A637" s="77" t="s">
        <v>693</v>
      </c>
      <c r="B637" s="57"/>
      <c r="C637" s="57" t="s">
        <v>188</v>
      </c>
      <c r="D637" s="57" t="s">
        <v>57</v>
      </c>
      <c r="E637" s="57" t="s">
        <v>764</v>
      </c>
      <c r="F637" s="57"/>
      <c r="G637" s="60">
        <f>SUM(G638)</f>
        <v>1533.2</v>
      </c>
    </row>
    <row r="638" spans="1:7" ht="31.5">
      <c r="A638" s="77" t="s">
        <v>282</v>
      </c>
      <c r="B638" s="57"/>
      <c r="C638" s="57" t="s">
        <v>188</v>
      </c>
      <c r="D638" s="57" t="s">
        <v>57</v>
      </c>
      <c r="E638" s="57" t="s">
        <v>764</v>
      </c>
      <c r="F638" s="57" t="s">
        <v>134</v>
      </c>
      <c r="G638" s="60">
        <v>1533.2</v>
      </c>
    </row>
    <row r="639" spans="1:7" s="122" customFormat="1" ht="15.75">
      <c r="A639" s="119" t="s">
        <v>441</v>
      </c>
      <c r="B639" s="96" t="s">
        <v>442</v>
      </c>
      <c r="C639" s="120"/>
      <c r="D639" s="120"/>
      <c r="E639" s="57"/>
      <c r="F639" s="120"/>
      <c r="G639" s="121">
        <f>G640+G801</f>
        <v>1858523.0999999999</v>
      </c>
    </row>
    <row r="640" spans="1:7" ht="15.75">
      <c r="A640" s="51" t="s">
        <v>123</v>
      </c>
      <c r="B640" s="80"/>
      <c r="C640" s="80" t="s">
        <v>124</v>
      </c>
      <c r="D640" s="80"/>
      <c r="E640" s="80"/>
      <c r="F640" s="80"/>
      <c r="G640" s="64">
        <f>G641+G682+G746+G757+G783</f>
        <v>1808035.9</v>
      </c>
    </row>
    <row r="641" spans="1:7" ht="15.75">
      <c r="A641" s="51" t="s">
        <v>199</v>
      </c>
      <c r="B641" s="80"/>
      <c r="C641" s="80" t="s">
        <v>124</v>
      </c>
      <c r="D641" s="80" t="s">
        <v>37</v>
      </c>
      <c r="E641" s="80"/>
      <c r="F641" s="80"/>
      <c r="G641" s="64">
        <f>G651+G642</f>
        <v>710699.3999999999</v>
      </c>
    </row>
    <row r="642" spans="1:7" ht="31.5">
      <c r="A642" s="51" t="s">
        <v>615</v>
      </c>
      <c r="B642" s="80"/>
      <c r="C642" s="80" t="s">
        <v>124</v>
      </c>
      <c r="D642" s="80" t="s">
        <v>37</v>
      </c>
      <c r="E642" s="132" t="s">
        <v>616</v>
      </c>
      <c r="F642" s="126"/>
      <c r="G642" s="64">
        <f>G646+G643</f>
        <v>477990.1</v>
      </c>
    </row>
    <row r="643" spans="1:7" ht="47.25">
      <c r="A643" s="77" t="s">
        <v>611</v>
      </c>
      <c r="B643" s="80"/>
      <c r="C643" s="80" t="s">
        <v>124</v>
      </c>
      <c r="D643" s="80" t="s">
        <v>37</v>
      </c>
      <c r="E643" s="132" t="s">
        <v>773</v>
      </c>
      <c r="F643" s="126"/>
      <c r="G643" s="64">
        <f>SUM(G644)</f>
        <v>5850</v>
      </c>
    </row>
    <row r="644" spans="1:7" ht="63">
      <c r="A644" s="163" t="s">
        <v>775</v>
      </c>
      <c r="B644" s="80"/>
      <c r="C644" s="80" t="s">
        <v>124</v>
      </c>
      <c r="D644" s="80" t="s">
        <v>37</v>
      </c>
      <c r="E644" s="132" t="s">
        <v>774</v>
      </c>
      <c r="F644" s="126"/>
      <c r="G644" s="64">
        <f>SUM(G645)</f>
        <v>5850</v>
      </c>
    </row>
    <row r="645" spans="1:7" ht="31.5">
      <c r="A645" s="77" t="s">
        <v>282</v>
      </c>
      <c r="B645" s="80"/>
      <c r="C645" s="80" t="s">
        <v>124</v>
      </c>
      <c r="D645" s="80" t="s">
        <v>37</v>
      </c>
      <c r="E645" s="132" t="s">
        <v>774</v>
      </c>
      <c r="F645" s="126">
        <v>600</v>
      </c>
      <c r="G645" s="64">
        <v>5850</v>
      </c>
    </row>
    <row r="646" spans="1:7" ht="78.75">
      <c r="A646" s="51" t="s">
        <v>617</v>
      </c>
      <c r="B646" s="80"/>
      <c r="C646" s="80" t="s">
        <v>124</v>
      </c>
      <c r="D646" s="80" t="s">
        <v>37</v>
      </c>
      <c r="E646" s="132" t="s">
        <v>618</v>
      </c>
      <c r="F646" s="126"/>
      <c r="G646" s="64">
        <f>G647</f>
        <v>472140.1</v>
      </c>
    </row>
    <row r="647" spans="1:7" ht="47.25">
      <c r="A647" s="51" t="s">
        <v>619</v>
      </c>
      <c r="B647" s="80"/>
      <c r="C647" s="80" t="s">
        <v>124</v>
      </c>
      <c r="D647" s="80" t="s">
        <v>37</v>
      </c>
      <c r="E647" s="132" t="s">
        <v>620</v>
      </c>
      <c r="F647" s="126"/>
      <c r="G647" s="64">
        <f>G648+G649+G650</f>
        <v>472140.1</v>
      </c>
    </row>
    <row r="648" spans="1:7" ht="47.25">
      <c r="A648" s="51" t="s">
        <v>54</v>
      </c>
      <c r="B648" s="80"/>
      <c r="C648" s="80" t="s">
        <v>124</v>
      </c>
      <c r="D648" s="80" t="s">
        <v>37</v>
      </c>
      <c r="E648" s="133" t="s">
        <v>620</v>
      </c>
      <c r="F648" s="80" t="s">
        <v>98</v>
      </c>
      <c r="G648" s="64">
        <v>75732.6</v>
      </c>
    </row>
    <row r="649" spans="1:7" ht="31.5">
      <c r="A649" s="51" t="s">
        <v>55</v>
      </c>
      <c r="B649" s="80"/>
      <c r="C649" s="80" t="s">
        <v>124</v>
      </c>
      <c r="D649" s="80" t="s">
        <v>37</v>
      </c>
      <c r="E649" s="133" t="s">
        <v>620</v>
      </c>
      <c r="F649" s="80" t="s">
        <v>100</v>
      </c>
      <c r="G649" s="64">
        <f>916.1+1468.3</f>
        <v>2384.4</v>
      </c>
    </row>
    <row r="650" spans="1:7" ht="31.5">
      <c r="A650" s="51" t="s">
        <v>282</v>
      </c>
      <c r="B650" s="80"/>
      <c r="C650" s="80" t="s">
        <v>124</v>
      </c>
      <c r="D650" s="80" t="s">
        <v>37</v>
      </c>
      <c r="E650" s="133" t="s">
        <v>620</v>
      </c>
      <c r="F650" s="80" t="s">
        <v>134</v>
      </c>
      <c r="G650" s="64">
        <v>394023.1</v>
      </c>
    </row>
    <row r="651" spans="1:7" ht="31.5">
      <c r="A651" s="51" t="s">
        <v>443</v>
      </c>
      <c r="B651" s="80"/>
      <c r="C651" s="80" t="s">
        <v>124</v>
      </c>
      <c r="D651" s="80" t="s">
        <v>37</v>
      </c>
      <c r="E651" s="52" t="s">
        <v>444</v>
      </c>
      <c r="F651" s="80"/>
      <c r="G651" s="64">
        <f>G652+G662+G665+G674+G678</f>
        <v>232709.3</v>
      </c>
    </row>
    <row r="652" spans="1:7" ht="15.75">
      <c r="A652" s="51" t="s">
        <v>38</v>
      </c>
      <c r="B652" s="80"/>
      <c r="C652" s="80" t="s">
        <v>124</v>
      </c>
      <c r="D652" s="80" t="s">
        <v>37</v>
      </c>
      <c r="E652" s="86" t="s">
        <v>445</v>
      </c>
      <c r="F652" s="80"/>
      <c r="G652" s="64">
        <f>SUM(G658+G660)+G653</f>
        <v>1493</v>
      </c>
    </row>
    <row r="653" spans="1:7" ht="15.75">
      <c r="A653" s="51" t="s">
        <v>452</v>
      </c>
      <c r="B653" s="80"/>
      <c r="C653" s="80" t="s">
        <v>124</v>
      </c>
      <c r="D653" s="80" t="s">
        <v>37</v>
      </c>
      <c r="E653" s="85" t="s">
        <v>621</v>
      </c>
      <c r="F653" s="80"/>
      <c r="G653" s="64">
        <f>SUM(G654:G657)</f>
        <v>843</v>
      </c>
    </row>
    <row r="654" spans="1:7" ht="47.25" hidden="1">
      <c r="A654" s="51" t="s">
        <v>54</v>
      </c>
      <c r="B654" s="80"/>
      <c r="C654" s="80" t="s">
        <v>124</v>
      </c>
      <c r="D654" s="80" t="s">
        <v>37</v>
      </c>
      <c r="E654" s="85" t="s">
        <v>621</v>
      </c>
      <c r="F654" s="80" t="s">
        <v>98</v>
      </c>
      <c r="G654" s="64"/>
    </row>
    <row r="655" spans="1:7" ht="31.5">
      <c r="A655" s="51" t="s">
        <v>55</v>
      </c>
      <c r="B655" s="80"/>
      <c r="C655" s="80" t="s">
        <v>124</v>
      </c>
      <c r="D655" s="80" t="s">
        <v>37</v>
      </c>
      <c r="E655" s="85" t="s">
        <v>621</v>
      </c>
      <c r="F655" s="80" t="s">
        <v>100</v>
      </c>
      <c r="G655" s="64">
        <v>114</v>
      </c>
    </row>
    <row r="656" spans="1:7" ht="15.75">
      <c r="A656" s="51" t="s">
        <v>45</v>
      </c>
      <c r="B656" s="80"/>
      <c r="C656" s="80" t="s">
        <v>124</v>
      </c>
      <c r="D656" s="80" t="s">
        <v>37</v>
      </c>
      <c r="E656" s="85" t="s">
        <v>621</v>
      </c>
      <c r="F656" s="80" t="s">
        <v>108</v>
      </c>
      <c r="G656" s="64">
        <v>6</v>
      </c>
    </row>
    <row r="657" spans="1:7" ht="31.5">
      <c r="A657" s="51" t="s">
        <v>282</v>
      </c>
      <c r="B657" s="80"/>
      <c r="C657" s="80" t="s">
        <v>124</v>
      </c>
      <c r="D657" s="80" t="s">
        <v>37</v>
      </c>
      <c r="E657" s="85" t="s">
        <v>621</v>
      </c>
      <c r="F657" s="80" t="s">
        <v>134</v>
      </c>
      <c r="G657" s="64">
        <f>183+540</f>
        <v>723</v>
      </c>
    </row>
    <row r="658" spans="1:7" ht="31.5" hidden="1">
      <c r="A658" s="51" t="s">
        <v>446</v>
      </c>
      <c r="B658" s="80"/>
      <c r="C658" s="80" t="s">
        <v>124</v>
      </c>
      <c r="D658" s="80" t="s">
        <v>37</v>
      </c>
      <c r="E658" s="52" t="s">
        <v>447</v>
      </c>
      <c r="F658" s="80"/>
      <c r="G658" s="64">
        <f>G659</f>
        <v>0</v>
      </c>
    </row>
    <row r="659" spans="1:7" ht="15.75" hidden="1">
      <c r="A659" s="51" t="s">
        <v>45</v>
      </c>
      <c r="B659" s="80"/>
      <c r="C659" s="80" t="s">
        <v>124</v>
      </c>
      <c r="D659" s="80" t="s">
        <v>37</v>
      </c>
      <c r="E659" s="52" t="s">
        <v>447</v>
      </c>
      <c r="F659" s="80" t="s">
        <v>108</v>
      </c>
      <c r="G659" s="64">
        <v>0</v>
      </c>
    </row>
    <row r="660" spans="1:7" ht="94.5">
      <c r="A660" s="51" t="s">
        <v>448</v>
      </c>
      <c r="B660" s="80"/>
      <c r="C660" s="80" t="s">
        <v>124</v>
      </c>
      <c r="D660" s="80" t="s">
        <v>37</v>
      </c>
      <c r="E660" s="86" t="s">
        <v>449</v>
      </c>
      <c r="F660" s="80"/>
      <c r="G660" s="64">
        <f>G661</f>
        <v>650</v>
      </c>
    </row>
    <row r="661" spans="1:7" ht="31.5">
      <c r="A661" s="51" t="s">
        <v>75</v>
      </c>
      <c r="B661" s="80"/>
      <c r="C661" s="80" t="s">
        <v>124</v>
      </c>
      <c r="D661" s="80" t="s">
        <v>37</v>
      </c>
      <c r="E661" s="86" t="s">
        <v>449</v>
      </c>
      <c r="F661" s="80" t="s">
        <v>134</v>
      </c>
      <c r="G661" s="64">
        <v>650</v>
      </c>
    </row>
    <row r="662" spans="1:7" ht="47.25">
      <c r="A662" s="51" t="s">
        <v>29</v>
      </c>
      <c r="B662" s="80"/>
      <c r="C662" s="80" t="s">
        <v>124</v>
      </c>
      <c r="D662" s="80" t="s">
        <v>37</v>
      </c>
      <c r="E662" s="52" t="s">
        <v>450</v>
      </c>
      <c r="F662" s="80"/>
      <c r="G662" s="64">
        <f>SUM(G663)</f>
        <v>185380.7</v>
      </c>
    </row>
    <row r="663" spans="1:7" ht="15.75">
      <c r="A663" s="51" t="s">
        <v>452</v>
      </c>
      <c r="B663" s="80"/>
      <c r="C663" s="80" t="s">
        <v>124</v>
      </c>
      <c r="D663" s="80" t="s">
        <v>37</v>
      </c>
      <c r="E663" s="52" t="s">
        <v>453</v>
      </c>
      <c r="F663" s="80"/>
      <c r="G663" s="64">
        <f>G664</f>
        <v>185380.7</v>
      </c>
    </row>
    <row r="664" spans="1:7" ht="29.25" customHeight="1">
      <c r="A664" s="51" t="s">
        <v>75</v>
      </c>
      <c r="B664" s="80"/>
      <c r="C664" s="80" t="s">
        <v>124</v>
      </c>
      <c r="D664" s="80" t="s">
        <v>37</v>
      </c>
      <c r="E664" s="52" t="s">
        <v>453</v>
      </c>
      <c r="F664" s="80" t="s">
        <v>134</v>
      </c>
      <c r="G664" s="64">
        <v>185380.7</v>
      </c>
    </row>
    <row r="665" spans="1:7" ht="15.75">
      <c r="A665" s="51" t="s">
        <v>165</v>
      </c>
      <c r="B665" s="80"/>
      <c r="C665" s="80" t="s">
        <v>124</v>
      </c>
      <c r="D665" s="80" t="s">
        <v>37</v>
      </c>
      <c r="E665" s="52" t="s">
        <v>516</v>
      </c>
      <c r="F665" s="80"/>
      <c r="G665" s="64">
        <f>SUM(G666)</f>
        <v>554.3</v>
      </c>
    </row>
    <row r="666" spans="1:7" ht="14.25" customHeight="1">
      <c r="A666" s="51" t="s">
        <v>452</v>
      </c>
      <c r="B666" s="80"/>
      <c r="C666" s="80" t="s">
        <v>124</v>
      </c>
      <c r="D666" s="80" t="s">
        <v>37</v>
      </c>
      <c r="E666" s="52" t="s">
        <v>454</v>
      </c>
      <c r="F666" s="80"/>
      <c r="G666" s="64">
        <f>SUM(G667+G669+G671)</f>
        <v>554.3</v>
      </c>
    </row>
    <row r="667" spans="1:7" ht="15.75" hidden="1">
      <c r="A667" s="51" t="s">
        <v>455</v>
      </c>
      <c r="B667" s="80"/>
      <c r="C667" s="80" t="s">
        <v>124</v>
      </c>
      <c r="D667" s="80" t="s">
        <v>37</v>
      </c>
      <c r="E667" s="52" t="s">
        <v>456</v>
      </c>
      <c r="F667" s="80"/>
      <c r="G667" s="64">
        <f>G668</f>
        <v>0</v>
      </c>
    </row>
    <row r="668" spans="1:7" ht="31.5" hidden="1">
      <c r="A668" s="51" t="s">
        <v>75</v>
      </c>
      <c r="B668" s="80"/>
      <c r="C668" s="80" t="s">
        <v>124</v>
      </c>
      <c r="D668" s="80" t="s">
        <v>37</v>
      </c>
      <c r="E668" s="52" t="s">
        <v>456</v>
      </c>
      <c r="F668" s="80" t="s">
        <v>134</v>
      </c>
      <c r="G668" s="64">
        <v>0</v>
      </c>
    </row>
    <row r="669" spans="1:7" ht="31.5">
      <c r="A669" s="51" t="s">
        <v>457</v>
      </c>
      <c r="B669" s="80"/>
      <c r="C669" s="80" t="s">
        <v>124</v>
      </c>
      <c r="D669" s="80" t="s">
        <v>37</v>
      </c>
      <c r="E669" s="52" t="s">
        <v>458</v>
      </c>
      <c r="F669" s="80"/>
      <c r="G669" s="64">
        <f>G670</f>
        <v>146</v>
      </c>
    </row>
    <row r="670" spans="1:7" ht="31.5">
      <c r="A670" s="51" t="s">
        <v>75</v>
      </c>
      <c r="B670" s="80"/>
      <c r="C670" s="80" t="s">
        <v>124</v>
      </c>
      <c r="D670" s="80" t="s">
        <v>37</v>
      </c>
      <c r="E670" s="52" t="s">
        <v>458</v>
      </c>
      <c r="F670" s="80" t="s">
        <v>134</v>
      </c>
      <c r="G670" s="64">
        <v>146</v>
      </c>
    </row>
    <row r="671" spans="1:7" ht="15.75">
      <c r="A671" s="51" t="s">
        <v>459</v>
      </c>
      <c r="B671" s="80"/>
      <c r="C671" s="80" t="s">
        <v>124</v>
      </c>
      <c r="D671" s="80" t="s">
        <v>37</v>
      </c>
      <c r="E671" s="52" t="s">
        <v>460</v>
      </c>
      <c r="F671" s="80"/>
      <c r="G671" s="64">
        <f>G672</f>
        <v>408.3</v>
      </c>
    </row>
    <row r="672" spans="1:7" ht="31.5">
      <c r="A672" s="51" t="s">
        <v>75</v>
      </c>
      <c r="B672" s="80"/>
      <c r="C672" s="80" t="s">
        <v>124</v>
      </c>
      <c r="D672" s="80" t="s">
        <v>37</v>
      </c>
      <c r="E672" s="52" t="s">
        <v>460</v>
      </c>
      <c r="F672" s="80" t="s">
        <v>134</v>
      </c>
      <c r="G672" s="64">
        <v>408.3</v>
      </c>
    </row>
    <row r="673" spans="1:7" ht="31.5">
      <c r="A673" s="51" t="s">
        <v>48</v>
      </c>
      <c r="B673" s="80"/>
      <c r="C673" s="80" t="s">
        <v>124</v>
      </c>
      <c r="D673" s="80" t="s">
        <v>37</v>
      </c>
      <c r="E673" s="52" t="s">
        <v>461</v>
      </c>
      <c r="F673" s="80"/>
      <c r="G673" s="64">
        <f>SUM(G674)</f>
        <v>43027.9</v>
      </c>
    </row>
    <row r="674" spans="1:7" ht="15.75">
      <c r="A674" s="51" t="s">
        <v>452</v>
      </c>
      <c r="B674" s="52"/>
      <c r="C674" s="80" t="s">
        <v>124</v>
      </c>
      <c r="D674" s="80" t="s">
        <v>37</v>
      </c>
      <c r="E674" s="52" t="s">
        <v>462</v>
      </c>
      <c r="F674" s="80"/>
      <c r="G674" s="64">
        <f>G675+G676+G677</f>
        <v>43027.9</v>
      </c>
    </row>
    <row r="675" spans="1:7" ht="47.25">
      <c r="A675" s="70" t="s">
        <v>54</v>
      </c>
      <c r="B675" s="80"/>
      <c r="C675" s="80" t="s">
        <v>124</v>
      </c>
      <c r="D675" s="80" t="s">
        <v>37</v>
      </c>
      <c r="E675" s="52" t="s">
        <v>462</v>
      </c>
      <c r="F675" s="80" t="s">
        <v>98</v>
      </c>
      <c r="G675" s="64">
        <v>12926.9</v>
      </c>
    </row>
    <row r="676" spans="1:7" ht="31.5">
      <c r="A676" s="51" t="s">
        <v>55</v>
      </c>
      <c r="B676" s="80"/>
      <c r="C676" s="80" t="s">
        <v>124</v>
      </c>
      <c r="D676" s="80" t="s">
        <v>37</v>
      </c>
      <c r="E676" s="52" t="s">
        <v>462</v>
      </c>
      <c r="F676" s="80" t="s">
        <v>100</v>
      </c>
      <c r="G676" s="64">
        <v>28504.9</v>
      </c>
    </row>
    <row r="677" spans="1:7" ht="15.75">
      <c r="A677" s="51" t="s">
        <v>25</v>
      </c>
      <c r="B677" s="80"/>
      <c r="C677" s="80" t="s">
        <v>124</v>
      </c>
      <c r="D677" s="80" t="s">
        <v>37</v>
      </c>
      <c r="E677" s="52" t="s">
        <v>462</v>
      </c>
      <c r="F677" s="80" t="s">
        <v>105</v>
      </c>
      <c r="G677" s="64">
        <v>1596.1</v>
      </c>
    </row>
    <row r="678" spans="1:7" ht="31.5">
      <c r="A678" s="51" t="s">
        <v>463</v>
      </c>
      <c r="B678" s="80"/>
      <c r="C678" s="80" t="s">
        <v>124</v>
      </c>
      <c r="D678" s="80" t="s">
        <v>37</v>
      </c>
      <c r="E678" s="52" t="s">
        <v>464</v>
      </c>
      <c r="F678" s="80"/>
      <c r="G678" s="64">
        <f>G679</f>
        <v>2253.4</v>
      </c>
    </row>
    <row r="679" spans="1:7" ht="15.75">
      <c r="A679" s="51" t="s">
        <v>38</v>
      </c>
      <c r="B679" s="80"/>
      <c r="C679" s="80" t="s">
        <v>124</v>
      </c>
      <c r="D679" s="80" t="s">
        <v>37</v>
      </c>
      <c r="E679" s="52" t="s">
        <v>465</v>
      </c>
      <c r="F679" s="80"/>
      <c r="G679" s="64">
        <f>SUM(G680:G681)</f>
        <v>2253.4</v>
      </c>
    </row>
    <row r="680" spans="1:7" ht="31.5">
      <c r="A680" s="51" t="s">
        <v>55</v>
      </c>
      <c r="B680" s="80"/>
      <c r="C680" s="80" t="s">
        <v>124</v>
      </c>
      <c r="D680" s="80" t="s">
        <v>37</v>
      </c>
      <c r="E680" s="52" t="s">
        <v>465</v>
      </c>
      <c r="F680" s="80" t="s">
        <v>100</v>
      </c>
      <c r="G680" s="64">
        <v>733</v>
      </c>
    </row>
    <row r="681" spans="1:7" ht="31.5">
      <c r="A681" s="51" t="s">
        <v>75</v>
      </c>
      <c r="B681" s="80"/>
      <c r="C681" s="80" t="s">
        <v>124</v>
      </c>
      <c r="D681" s="80" t="s">
        <v>37</v>
      </c>
      <c r="E681" s="52" t="s">
        <v>465</v>
      </c>
      <c r="F681" s="80" t="s">
        <v>134</v>
      </c>
      <c r="G681" s="64">
        <v>1520.4</v>
      </c>
    </row>
    <row r="682" spans="1:7" ht="15.75">
      <c r="A682" s="51" t="s">
        <v>200</v>
      </c>
      <c r="B682" s="80"/>
      <c r="C682" s="80" t="s">
        <v>124</v>
      </c>
      <c r="D682" s="80" t="s">
        <v>47</v>
      </c>
      <c r="E682" s="86"/>
      <c r="F682" s="80"/>
      <c r="G682" s="64">
        <f>G698+G683</f>
        <v>984556.6000000001</v>
      </c>
    </row>
    <row r="683" spans="1:7" ht="31.5">
      <c r="A683" s="51" t="s">
        <v>243</v>
      </c>
      <c r="B683" s="80"/>
      <c r="C683" s="80" t="s">
        <v>124</v>
      </c>
      <c r="D683" s="80" t="s">
        <v>47</v>
      </c>
      <c r="E683" s="132" t="s">
        <v>244</v>
      </c>
      <c r="F683" s="126"/>
      <c r="G683" s="64">
        <f>G688+G684</f>
        <v>745964.7000000001</v>
      </c>
    </row>
    <row r="684" spans="1:7" ht="47.25">
      <c r="A684" s="77" t="s">
        <v>611</v>
      </c>
      <c r="B684" s="80"/>
      <c r="C684" s="80" t="s">
        <v>124</v>
      </c>
      <c r="D684" s="80" t="s">
        <v>47</v>
      </c>
      <c r="E684" s="132" t="s">
        <v>776</v>
      </c>
      <c r="F684" s="126"/>
      <c r="G684" s="64">
        <f>SUM(G685)</f>
        <v>4298.3</v>
      </c>
    </row>
    <row r="685" spans="1:7" ht="47.25">
      <c r="A685" s="163" t="s">
        <v>778</v>
      </c>
      <c r="B685" s="80"/>
      <c r="C685" s="80" t="s">
        <v>124</v>
      </c>
      <c r="D685" s="80" t="s">
        <v>47</v>
      </c>
      <c r="E685" s="132" t="s">
        <v>777</v>
      </c>
      <c r="F685" s="126"/>
      <c r="G685" s="64">
        <f>SUM(G686:G687)</f>
        <v>4298.3</v>
      </c>
    </row>
    <row r="686" spans="1:7" ht="31.5">
      <c r="A686" s="163" t="s">
        <v>55</v>
      </c>
      <c r="B686" s="80"/>
      <c r="C686" s="80" t="s">
        <v>124</v>
      </c>
      <c r="D686" s="80" t="s">
        <v>47</v>
      </c>
      <c r="E686" s="132" t="s">
        <v>777</v>
      </c>
      <c r="F686" s="80" t="s">
        <v>100</v>
      </c>
      <c r="G686" s="64">
        <v>2549</v>
      </c>
    </row>
    <row r="687" spans="1:7" ht="31.5">
      <c r="A687" s="163" t="s">
        <v>75</v>
      </c>
      <c r="B687" s="80"/>
      <c r="C687" s="80" t="s">
        <v>124</v>
      </c>
      <c r="D687" s="80" t="s">
        <v>47</v>
      </c>
      <c r="E687" s="132" t="s">
        <v>777</v>
      </c>
      <c r="F687" s="80" t="s">
        <v>134</v>
      </c>
      <c r="G687" s="64">
        <v>1749.3</v>
      </c>
    </row>
    <row r="688" spans="1:7" ht="78.75">
      <c r="A688" s="51" t="s">
        <v>316</v>
      </c>
      <c r="B688" s="80"/>
      <c r="C688" s="80" t="s">
        <v>124</v>
      </c>
      <c r="D688" s="80" t="s">
        <v>47</v>
      </c>
      <c r="E688" s="133" t="s">
        <v>246</v>
      </c>
      <c r="F688" s="80"/>
      <c r="G688" s="64">
        <f>G689+G691+G694</f>
        <v>741666.4</v>
      </c>
    </row>
    <row r="689" spans="1:7" ht="47.25">
      <c r="A689" s="51" t="s">
        <v>622</v>
      </c>
      <c r="B689" s="80"/>
      <c r="C689" s="80" t="s">
        <v>124</v>
      </c>
      <c r="D689" s="80" t="s">
        <v>47</v>
      </c>
      <c r="E689" s="133" t="s">
        <v>623</v>
      </c>
      <c r="F689" s="80"/>
      <c r="G689" s="64">
        <f>G690</f>
        <v>7284.8</v>
      </c>
    </row>
    <row r="690" spans="1:7" ht="31.5">
      <c r="A690" s="51" t="s">
        <v>133</v>
      </c>
      <c r="B690" s="80"/>
      <c r="C690" s="80" t="s">
        <v>124</v>
      </c>
      <c r="D690" s="80" t="s">
        <v>47</v>
      </c>
      <c r="E690" s="133" t="s">
        <v>623</v>
      </c>
      <c r="F690" s="80" t="s">
        <v>134</v>
      </c>
      <c r="G690" s="64">
        <v>7284.8</v>
      </c>
    </row>
    <row r="691" spans="1:7" ht="78.75">
      <c r="A691" s="51" t="s">
        <v>624</v>
      </c>
      <c r="B691" s="80"/>
      <c r="C691" s="80" t="s">
        <v>124</v>
      </c>
      <c r="D691" s="80" t="s">
        <v>47</v>
      </c>
      <c r="E691" s="133" t="s">
        <v>625</v>
      </c>
      <c r="F691" s="80"/>
      <c r="G691" s="64">
        <f>G692+G693</f>
        <v>47568.9</v>
      </c>
    </row>
    <row r="692" spans="1:7" ht="47.25">
      <c r="A692" s="70" t="s">
        <v>54</v>
      </c>
      <c r="B692" s="80"/>
      <c r="C692" s="80" t="s">
        <v>124</v>
      </c>
      <c r="D692" s="80" t="s">
        <v>47</v>
      </c>
      <c r="E692" s="133" t="s">
        <v>625</v>
      </c>
      <c r="F692" s="80" t="s">
        <v>98</v>
      </c>
      <c r="G692" s="64">
        <v>43729.4</v>
      </c>
    </row>
    <row r="693" spans="1:7" ht="31.5">
      <c r="A693" s="51" t="s">
        <v>55</v>
      </c>
      <c r="B693" s="80"/>
      <c r="C693" s="80" t="s">
        <v>124</v>
      </c>
      <c r="D693" s="80" t="s">
        <v>47</v>
      </c>
      <c r="E693" s="133" t="s">
        <v>625</v>
      </c>
      <c r="F693" s="80" t="s">
        <v>100</v>
      </c>
      <c r="G693" s="64">
        <v>3839.5</v>
      </c>
    </row>
    <row r="694" spans="1:7" ht="63">
      <c r="A694" s="51" t="s">
        <v>626</v>
      </c>
      <c r="B694" s="80"/>
      <c r="C694" s="80" t="s">
        <v>124</v>
      </c>
      <c r="D694" s="80" t="s">
        <v>47</v>
      </c>
      <c r="E694" s="133" t="s">
        <v>627</v>
      </c>
      <c r="F694" s="80"/>
      <c r="G694" s="64">
        <f>G695+G696+G697</f>
        <v>686812.7000000001</v>
      </c>
    </row>
    <row r="695" spans="1:7" ht="47.25">
      <c r="A695" s="51" t="s">
        <v>54</v>
      </c>
      <c r="B695" s="80"/>
      <c r="C695" s="80" t="s">
        <v>124</v>
      </c>
      <c r="D695" s="80" t="s">
        <v>47</v>
      </c>
      <c r="E695" s="133" t="s">
        <v>627</v>
      </c>
      <c r="F695" s="80" t="s">
        <v>98</v>
      </c>
      <c r="G695" s="64">
        <v>323748.9</v>
      </c>
    </row>
    <row r="696" spans="1:7" ht="31.5">
      <c r="A696" s="51" t="s">
        <v>55</v>
      </c>
      <c r="B696" s="80"/>
      <c r="C696" s="80" t="s">
        <v>124</v>
      </c>
      <c r="D696" s="80" t="s">
        <v>47</v>
      </c>
      <c r="E696" s="133" t="s">
        <v>627</v>
      </c>
      <c r="F696" s="80" t="s">
        <v>100</v>
      </c>
      <c r="G696" s="64">
        <v>4193.4</v>
      </c>
    </row>
    <row r="697" spans="1:7" ht="31.5">
      <c r="A697" s="51" t="s">
        <v>133</v>
      </c>
      <c r="B697" s="80"/>
      <c r="C697" s="80" t="s">
        <v>124</v>
      </c>
      <c r="D697" s="80" t="s">
        <v>47</v>
      </c>
      <c r="E697" s="133" t="s">
        <v>627</v>
      </c>
      <c r="F697" s="80" t="s">
        <v>134</v>
      </c>
      <c r="G697" s="64">
        <f>99102.9+259767.5</f>
        <v>358870.4</v>
      </c>
    </row>
    <row r="698" spans="1:7" ht="31.5">
      <c r="A698" s="51" t="s">
        <v>443</v>
      </c>
      <c r="B698" s="80"/>
      <c r="C698" s="80" t="s">
        <v>124</v>
      </c>
      <c r="D698" s="80" t="s">
        <v>47</v>
      </c>
      <c r="E698" s="52" t="s">
        <v>444</v>
      </c>
      <c r="F698" s="80"/>
      <c r="G698" s="64">
        <f>G699+G722+G725+G733+G742</f>
        <v>238591.90000000002</v>
      </c>
    </row>
    <row r="699" spans="1:7" ht="15.75">
      <c r="A699" s="51" t="s">
        <v>38</v>
      </c>
      <c r="B699" s="80"/>
      <c r="C699" s="80" t="s">
        <v>124</v>
      </c>
      <c r="D699" s="80" t="s">
        <v>47</v>
      </c>
      <c r="E699" s="86" t="s">
        <v>445</v>
      </c>
      <c r="F699" s="86"/>
      <c r="G699" s="64">
        <f>G705+G712+G720+G715+G717+G700+G708+G710</f>
        <v>13254.6</v>
      </c>
    </row>
    <row r="700" spans="1:7" ht="15.75">
      <c r="A700" s="51" t="s">
        <v>476</v>
      </c>
      <c r="B700" s="80"/>
      <c r="C700" s="80" t="s">
        <v>124</v>
      </c>
      <c r="D700" s="80" t="s">
        <v>47</v>
      </c>
      <c r="E700" s="85" t="s">
        <v>628</v>
      </c>
      <c r="F700" s="86"/>
      <c r="G700" s="64">
        <f>SUM(G701:G704)</f>
        <v>1148.4</v>
      </c>
    </row>
    <row r="701" spans="1:7" ht="47.25" hidden="1">
      <c r="A701" s="51" t="s">
        <v>54</v>
      </c>
      <c r="B701" s="80"/>
      <c r="C701" s="80" t="s">
        <v>124</v>
      </c>
      <c r="D701" s="80" t="s">
        <v>47</v>
      </c>
      <c r="E701" s="85" t="s">
        <v>628</v>
      </c>
      <c r="F701" s="86">
        <v>100</v>
      </c>
      <c r="G701" s="64"/>
    </row>
    <row r="702" spans="1:7" ht="31.5">
      <c r="A702" s="51" t="s">
        <v>55</v>
      </c>
      <c r="B702" s="80"/>
      <c r="C702" s="80" t="s">
        <v>124</v>
      </c>
      <c r="D702" s="80" t="s">
        <v>47</v>
      </c>
      <c r="E702" s="85" t="s">
        <v>628</v>
      </c>
      <c r="F702" s="86">
        <v>200</v>
      </c>
      <c r="G702" s="64">
        <v>714.7</v>
      </c>
    </row>
    <row r="703" spans="1:7" ht="15.75">
      <c r="A703" s="51" t="s">
        <v>45</v>
      </c>
      <c r="B703" s="80"/>
      <c r="C703" s="80" t="s">
        <v>124</v>
      </c>
      <c r="D703" s="80" t="s">
        <v>47</v>
      </c>
      <c r="E703" s="85" t="s">
        <v>628</v>
      </c>
      <c r="F703" s="86">
        <v>300</v>
      </c>
      <c r="G703" s="64">
        <v>50.8</v>
      </c>
    </row>
    <row r="704" spans="1:7" ht="29.25" customHeight="1">
      <c r="A704" s="51" t="s">
        <v>75</v>
      </c>
      <c r="B704" s="80"/>
      <c r="C704" s="80" t="s">
        <v>124</v>
      </c>
      <c r="D704" s="80" t="s">
        <v>47</v>
      </c>
      <c r="E704" s="85" t="s">
        <v>628</v>
      </c>
      <c r="F704" s="86">
        <v>600</v>
      </c>
      <c r="G704" s="64">
        <v>382.9</v>
      </c>
    </row>
    <row r="705" spans="1:7" ht="47.25" hidden="1">
      <c r="A705" s="51" t="s">
        <v>466</v>
      </c>
      <c r="B705" s="80"/>
      <c r="C705" s="80" t="s">
        <v>124</v>
      </c>
      <c r="D705" s="80" t="s">
        <v>47</v>
      </c>
      <c r="E705" s="86" t="s">
        <v>467</v>
      </c>
      <c r="F705" s="86"/>
      <c r="G705" s="64">
        <f>G706+G707</f>
        <v>0</v>
      </c>
    </row>
    <row r="706" spans="1:7" ht="31.5" hidden="1">
      <c r="A706" s="51" t="s">
        <v>55</v>
      </c>
      <c r="B706" s="80"/>
      <c r="C706" s="80" t="s">
        <v>124</v>
      </c>
      <c r="D706" s="80" t="s">
        <v>47</v>
      </c>
      <c r="E706" s="86" t="s">
        <v>467</v>
      </c>
      <c r="F706" s="86">
        <v>200</v>
      </c>
      <c r="G706" s="64">
        <v>0</v>
      </c>
    </row>
    <row r="707" spans="1:7" ht="31.5" hidden="1">
      <c r="A707" s="51" t="s">
        <v>75</v>
      </c>
      <c r="B707" s="80"/>
      <c r="C707" s="80" t="s">
        <v>124</v>
      </c>
      <c r="D707" s="80" t="s">
        <v>47</v>
      </c>
      <c r="E707" s="86" t="s">
        <v>467</v>
      </c>
      <c r="F707" s="86">
        <v>600</v>
      </c>
      <c r="G707" s="64">
        <v>0</v>
      </c>
    </row>
    <row r="708" spans="1:7" ht="15.75">
      <c r="A708" s="51" t="s">
        <v>483</v>
      </c>
      <c r="B708" s="80"/>
      <c r="C708" s="80" t="s">
        <v>124</v>
      </c>
      <c r="D708" s="80" t="s">
        <v>47</v>
      </c>
      <c r="E708" s="85" t="s">
        <v>629</v>
      </c>
      <c r="F708" s="86"/>
      <c r="G708" s="64">
        <f>G709</f>
        <v>18</v>
      </c>
    </row>
    <row r="709" spans="1:7" ht="31.5">
      <c r="A709" s="51" t="s">
        <v>55</v>
      </c>
      <c r="B709" s="80"/>
      <c r="C709" s="80" t="s">
        <v>498</v>
      </c>
      <c r="D709" s="80" t="s">
        <v>47</v>
      </c>
      <c r="E709" s="85" t="s">
        <v>629</v>
      </c>
      <c r="F709" s="86">
        <v>200</v>
      </c>
      <c r="G709" s="64">
        <v>18</v>
      </c>
    </row>
    <row r="710" spans="1:7" ht="47.25">
      <c r="A710" s="51" t="s">
        <v>655</v>
      </c>
      <c r="B710" s="80"/>
      <c r="C710" s="80" t="s">
        <v>498</v>
      </c>
      <c r="D710" s="80" t="s">
        <v>47</v>
      </c>
      <c r="E710" s="85" t="s">
        <v>656</v>
      </c>
      <c r="F710" s="86"/>
      <c r="G710" s="64">
        <f>G711</f>
        <v>250</v>
      </c>
    </row>
    <row r="711" spans="1:7" ht="31.5">
      <c r="A711" s="51" t="s">
        <v>75</v>
      </c>
      <c r="B711" s="80"/>
      <c r="C711" s="80" t="s">
        <v>498</v>
      </c>
      <c r="D711" s="80" t="s">
        <v>47</v>
      </c>
      <c r="E711" s="85" t="s">
        <v>656</v>
      </c>
      <c r="F711" s="86">
        <v>600</v>
      </c>
      <c r="G711" s="64">
        <v>250</v>
      </c>
    </row>
    <row r="712" spans="1:7" ht="63">
      <c r="A712" s="51" t="s">
        <v>468</v>
      </c>
      <c r="B712" s="80"/>
      <c r="C712" s="80" t="s">
        <v>124</v>
      </c>
      <c r="D712" s="80" t="s">
        <v>47</v>
      </c>
      <c r="E712" s="86" t="s">
        <v>469</v>
      </c>
      <c r="F712" s="86"/>
      <c r="G712" s="64">
        <f>G713+G714</f>
        <v>11788.2</v>
      </c>
    </row>
    <row r="713" spans="1:7" ht="31.5">
      <c r="A713" s="51" t="s">
        <v>55</v>
      </c>
      <c r="B713" s="80"/>
      <c r="C713" s="80" t="s">
        <v>124</v>
      </c>
      <c r="D713" s="80" t="s">
        <v>47</v>
      </c>
      <c r="E713" s="86" t="s">
        <v>469</v>
      </c>
      <c r="F713" s="86">
        <v>200</v>
      </c>
      <c r="G713" s="64">
        <v>6216</v>
      </c>
    </row>
    <row r="714" spans="1:7" ht="31.5">
      <c r="A714" s="51" t="s">
        <v>75</v>
      </c>
      <c r="B714" s="80"/>
      <c r="C714" s="80" t="s">
        <v>124</v>
      </c>
      <c r="D714" s="80" t="s">
        <v>47</v>
      </c>
      <c r="E714" s="86" t="s">
        <v>469</v>
      </c>
      <c r="F714" s="86">
        <v>600</v>
      </c>
      <c r="G714" s="64">
        <v>5572.2</v>
      </c>
    </row>
    <row r="715" spans="1:7" ht="47.25" hidden="1">
      <c r="A715" s="51" t="s">
        <v>472</v>
      </c>
      <c r="B715" s="80"/>
      <c r="C715" s="80" t="s">
        <v>124</v>
      </c>
      <c r="D715" s="80" t="s">
        <v>47</v>
      </c>
      <c r="E715" s="86" t="s">
        <v>473</v>
      </c>
      <c r="F715" s="86"/>
      <c r="G715" s="64">
        <f>G716</f>
        <v>0</v>
      </c>
    </row>
    <row r="716" spans="1:7" ht="31.5" hidden="1">
      <c r="A716" s="51" t="s">
        <v>55</v>
      </c>
      <c r="B716" s="80"/>
      <c r="C716" s="80" t="s">
        <v>124</v>
      </c>
      <c r="D716" s="80" t="s">
        <v>47</v>
      </c>
      <c r="E716" s="86" t="s">
        <v>473</v>
      </c>
      <c r="F716" s="86">
        <v>200</v>
      </c>
      <c r="G716" s="64"/>
    </row>
    <row r="717" spans="1:7" ht="78.75">
      <c r="A717" s="51" t="s">
        <v>474</v>
      </c>
      <c r="B717" s="80"/>
      <c r="C717" s="80" t="s">
        <v>124</v>
      </c>
      <c r="D717" s="80" t="s">
        <v>47</v>
      </c>
      <c r="E717" s="86" t="s">
        <v>475</v>
      </c>
      <c r="F717" s="86"/>
      <c r="G717" s="64">
        <f>G718+G719</f>
        <v>10</v>
      </c>
    </row>
    <row r="718" spans="1:7" ht="31.5">
      <c r="A718" s="51" t="s">
        <v>55</v>
      </c>
      <c r="B718" s="80"/>
      <c r="C718" s="80" t="s">
        <v>124</v>
      </c>
      <c r="D718" s="80" t="s">
        <v>47</v>
      </c>
      <c r="E718" s="86" t="s">
        <v>475</v>
      </c>
      <c r="F718" s="86">
        <v>200</v>
      </c>
      <c r="G718" s="64">
        <v>10</v>
      </c>
    </row>
    <row r="719" spans="1:7" ht="31.5" hidden="1">
      <c r="A719" s="51" t="s">
        <v>75</v>
      </c>
      <c r="B719" s="80"/>
      <c r="C719" s="80" t="s">
        <v>124</v>
      </c>
      <c r="D719" s="80" t="s">
        <v>47</v>
      </c>
      <c r="E719" s="86" t="s">
        <v>475</v>
      </c>
      <c r="F719" s="86">
        <v>600</v>
      </c>
      <c r="G719" s="64"/>
    </row>
    <row r="720" spans="1:7" ht="47.25">
      <c r="A720" s="51" t="s">
        <v>470</v>
      </c>
      <c r="B720" s="80"/>
      <c r="C720" s="80" t="s">
        <v>124</v>
      </c>
      <c r="D720" s="80" t="s">
        <v>47</v>
      </c>
      <c r="E720" s="86" t="s">
        <v>471</v>
      </c>
      <c r="F720" s="86"/>
      <c r="G720" s="64">
        <f>G721</f>
        <v>40</v>
      </c>
    </row>
    <row r="721" spans="1:7" ht="31.5">
      <c r="A721" s="51" t="s">
        <v>55</v>
      </c>
      <c r="B721" s="80"/>
      <c r="C721" s="80" t="s">
        <v>124</v>
      </c>
      <c r="D721" s="80" t="s">
        <v>47</v>
      </c>
      <c r="E721" s="86" t="s">
        <v>471</v>
      </c>
      <c r="F721" s="86">
        <v>200</v>
      </c>
      <c r="G721" s="64">
        <v>40</v>
      </c>
    </row>
    <row r="722" spans="1:7" ht="47.25">
      <c r="A722" s="51" t="s">
        <v>29</v>
      </c>
      <c r="B722" s="80"/>
      <c r="C722" s="80" t="s">
        <v>124</v>
      </c>
      <c r="D722" s="80" t="s">
        <v>47</v>
      </c>
      <c r="E722" s="86" t="s">
        <v>450</v>
      </c>
      <c r="F722" s="80"/>
      <c r="G722" s="64">
        <f>SUM(G723)</f>
        <v>109639</v>
      </c>
    </row>
    <row r="723" spans="1:7" ht="15.75">
      <c r="A723" s="51" t="s">
        <v>476</v>
      </c>
      <c r="B723" s="80"/>
      <c r="C723" s="80" t="s">
        <v>124</v>
      </c>
      <c r="D723" s="80" t="s">
        <v>47</v>
      </c>
      <c r="E723" s="86" t="s">
        <v>477</v>
      </c>
      <c r="F723" s="80"/>
      <c r="G723" s="64">
        <f>G724</f>
        <v>109639</v>
      </c>
    </row>
    <row r="724" spans="1:7" ht="31.5">
      <c r="A724" s="51" t="s">
        <v>75</v>
      </c>
      <c r="B724" s="80"/>
      <c r="C724" s="80" t="s">
        <v>124</v>
      </c>
      <c r="D724" s="80" t="s">
        <v>47</v>
      </c>
      <c r="E724" s="86" t="s">
        <v>477</v>
      </c>
      <c r="F724" s="80" t="s">
        <v>134</v>
      </c>
      <c r="G724" s="64">
        <v>109639</v>
      </c>
    </row>
    <row r="725" spans="1:7" ht="15.75">
      <c r="A725" s="51" t="s">
        <v>165</v>
      </c>
      <c r="B725" s="80"/>
      <c r="C725" s="80" t="s">
        <v>124</v>
      </c>
      <c r="D725" s="80" t="s">
        <v>47</v>
      </c>
      <c r="E725" s="52" t="s">
        <v>519</v>
      </c>
      <c r="F725" s="80"/>
      <c r="G725" s="64">
        <f>SUM(G726)</f>
        <v>148</v>
      </c>
    </row>
    <row r="726" spans="1:7" ht="14.25" customHeight="1">
      <c r="A726" s="51" t="s">
        <v>476</v>
      </c>
      <c r="B726" s="80"/>
      <c r="C726" s="80" t="s">
        <v>124</v>
      </c>
      <c r="D726" s="80" t="s">
        <v>47</v>
      </c>
      <c r="E726" s="52" t="s">
        <v>478</v>
      </c>
      <c r="F726" s="80"/>
      <c r="G726" s="64">
        <f>G728+G730+G732</f>
        <v>148</v>
      </c>
    </row>
    <row r="727" spans="1:7" ht="15.75" hidden="1">
      <c r="A727" s="51" t="s">
        <v>455</v>
      </c>
      <c r="B727" s="80"/>
      <c r="C727" s="80" t="s">
        <v>124</v>
      </c>
      <c r="D727" s="80" t="s">
        <v>47</v>
      </c>
      <c r="E727" s="52" t="s">
        <v>479</v>
      </c>
      <c r="F727" s="80"/>
      <c r="G727" s="64">
        <f>G728</f>
        <v>0</v>
      </c>
    </row>
    <row r="728" spans="1:7" ht="31.5" hidden="1">
      <c r="A728" s="51" t="s">
        <v>75</v>
      </c>
      <c r="B728" s="80"/>
      <c r="C728" s="80" t="s">
        <v>124</v>
      </c>
      <c r="D728" s="80" t="s">
        <v>47</v>
      </c>
      <c r="E728" s="52" t="s">
        <v>479</v>
      </c>
      <c r="F728" s="80" t="s">
        <v>134</v>
      </c>
      <c r="G728" s="64"/>
    </row>
    <row r="729" spans="1:7" ht="31.5">
      <c r="A729" s="51" t="s">
        <v>457</v>
      </c>
      <c r="B729" s="80"/>
      <c r="C729" s="80" t="s">
        <v>124</v>
      </c>
      <c r="D729" s="80" t="s">
        <v>47</v>
      </c>
      <c r="E729" s="52" t="s">
        <v>480</v>
      </c>
      <c r="F729" s="80"/>
      <c r="G729" s="64">
        <f>G730</f>
        <v>134</v>
      </c>
    </row>
    <row r="730" spans="1:7" ht="31.5">
      <c r="A730" s="51" t="s">
        <v>75</v>
      </c>
      <c r="B730" s="80"/>
      <c r="C730" s="80" t="s">
        <v>124</v>
      </c>
      <c r="D730" s="80" t="s">
        <v>47</v>
      </c>
      <c r="E730" s="52" t="s">
        <v>480</v>
      </c>
      <c r="F730" s="80" t="s">
        <v>134</v>
      </c>
      <c r="G730" s="64">
        <v>134</v>
      </c>
    </row>
    <row r="731" spans="1:7" ht="15.75">
      <c r="A731" s="51" t="s">
        <v>459</v>
      </c>
      <c r="B731" s="80"/>
      <c r="C731" s="80" t="s">
        <v>124</v>
      </c>
      <c r="D731" s="80" t="s">
        <v>47</v>
      </c>
      <c r="E731" s="52" t="s">
        <v>481</v>
      </c>
      <c r="F731" s="80"/>
      <c r="G731" s="64">
        <f>G732</f>
        <v>14</v>
      </c>
    </row>
    <row r="732" spans="1:7" ht="31.5">
      <c r="A732" s="51" t="s">
        <v>75</v>
      </c>
      <c r="B732" s="80"/>
      <c r="C732" s="80" t="s">
        <v>124</v>
      </c>
      <c r="D732" s="80" t="s">
        <v>47</v>
      </c>
      <c r="E732" s="52" t="s">
        <v>481</v>
      </c>
      <c r="F732" s="80" t="s">
        <v>134</v>
      </c>
      <c r="G732" s="64">
        <v>14</v>
      </c>
    </row>
    <row r="733" spans="1:7" ht="31.5">
      <c r="A733" s="51" t="s">
        <v>48</v>
      </c>
      <c r="B733" s="80"/>
      <c r="C733" s="80" t="s">
        <v>124</v>
      </c>
      <c r="D733" s="80" t="s">
        <v>47</v>
      </c>
      <c r="E733" s="52" t="s">
        <v>461</v>
      </c>
      <c r="F733" s="52"/>
      <c r="G733" s="64">
        <f>SUM(G734+G738)</f>
        <v>110671.00000000001</v>
      </c>
    </row>
    <row r="734" spans="1:7" ht="15.75">
      <c r="A734" s="51" t="s">
        <v>476</v>
      </c>
      <c r="B734" s="80"/>
      <c r="C734" s="80" t="s">
        <v>124</v>
      </c>
      <c r="D734" s="80" t="s">
        <v>47</v>
      </c>
      <c r="E734" s="52" t="s">
        <v>482</v>
      </c>
      <c r="F734" s="52"/>
      <c r="G734" s="64">
        <f>G735+G736+G737</f>
        <v>102631.20000000001</v>
      </c>
    </row>
    <row r="735" spans="1:7" ht="47.25">
      <c r="A735" s="70" t="s">
        <v>54</v>
      </c>
      <c r="B735" s="80"/>
      <c r="C735" s="80" t="s">
        <v>124</v>
      </c>
      <c r="D735" s="80" t="s">
        <v>47</v>
      </c>
      <c r="E735" s="52" t="s">
        <v>482</v>
      </c>
      <c r="F735" s="80" t="s">
        <v>98</v>
      </c>
      <c r="G735" s="64">
        <v>42767.8</v>
      </c>
    </row>
    <row r="736" spans="1:7" ht="31.5">
      <c r="A736" s="51" t="s">
        <v>55</v>
      </c>
      <c r="B736" s="80"/>
      <c r="C736" s="80" t="s">
        <v>124</v>
      </c>
      <c r="D736" s="80" t="s">
        <v>47</v>
      </c>
      <c r="E736" s="52" t="s">
        <v>482</v>
      </c>
      <c r="F736" s="80" t="s">
        <v>100</v>
      </c>
      <c r="G736" s="64">
        <v>45430.8</v>
      </c>
    </row>
    <row r="737" spans="1:7" ht="15.75">
      <c r="A737" s="51" t="s">
        <v>25</v>
      </c>
      <c r="B737" s="80"/>
      <c r="C737" s="80" t="s">
        <v>124</v>
      </c>
      <c r="D737" s="80" t="s">
        <v>47</v>
      </c>
      <c r="E737" s="52" t="s">
        <v>482</v>
      </c>
      <c r="F737" s="80" t="s">
        <v>105</v>
      </c>
      <c r="G737" s="64">
        <v>14432.6</v>
      </c>
    </row>
    <row r="738" spans="1:7" ht="15.75">
      <c r="A738" s="51" t="s">
        <v>483</v>
      </c>
      <c r="B738" s="80"/>
      <c r="C738" s="80" t="s">
        <v>124</v>
      </c>
      <c r="D738" s="80" t="s">
        <v>47</v>
      </c>
      <c r="E738" s="86" t="s">
        <v>484</v>
      </c>
      <c r="F738" s="86"/>
      <c r="G738" s="64">
        <f>G739+G740+G741</f>
        <v>8039.8</v>
      </c>
    </row>
    <row r="739" spans="1:7" ht="47.25">
      <c r="A739" s="70" t="s">
        <v>54</v>
      </c>
      <c r="B739" s="80"/>
      <c r="C739" s="80" t="s">
        <v>124</v>
      </c>
      <c r="D739" s="80" t="s">
        <v>47</v>
      </c>
      <c r="E739" s="86" t="s">
        <v>484</v>
      </c>
      <c r="F739" s="86">
        <v>100</v>
      </c>
      <c r="G739" s="64">
        <v>3238.4</v>
      </c>
    </row>
    <row r="740" spans="1:7" ht="31.5">
      <c r="A740" s="51" t="s">
        <v>55</v>
      </c>
      <c r="B740" s="80"/>
      <c r="C740" s="80" t="s">
        <v>124</v>
      </c>
      <c r="D740" s="80" t="s">
        <v>47</v>
      </c>
      <c r="E740" s="86" t="s">
        <v>484</v>
      </c>
      <c r="F740" s="86">
        <v>200</v>
      </c>
      <c r="G740" s="64">
        <v>3583.1</v>
      </c>
    </row>
    <row r="741" spans="1:7" ht="15.75">
      <c r="A741" s="51" t="s">
        <v>25</v>
      </c>
      <c r="B741" s="80"/>
      <c r="C741" s="80" t="s">
        <v>124</v>
      </c>
      <c r="D741" s="80" t="s">
        <v>47</v>
      </c>
      <c r="E741" s="86" t="s">
        <v>484</v>
      </c>
      <c r="F741" s="86">
        <v>800</v>
      </c>
      <c r="G741" s="64">
        <v>1218.3</v>
      </c>
    </row>
    <row r="742" spans="1:7" ht="31.5">
      <c r="A742" s="51" t="s">
        <v>463</v>
      </c>
      <c r="B742" s="80"/>
      <c r="C742" s="80" t="s">
        <v>124</v>
      </c>
      <c r="D742" s="80" t="s">
        <v>47</v>
      </c>
      <c r="E742" s="52" t="s">
        <v>464</v>
      </c>
      <c r="F742" s="80"/>
      <c r="G742" s="64">
        <f>G743</f>
        <v>4879.3</v>
      </c>
    </row>
    <row r="743" spans="1:7" ht="15.75">
      <c r="A743" s="51" t="s">
        <v>38</v>
      </c>
      <c r="B743" s="80"/>
      <c r="C743" s="80" t="s">
        <v>124</v>
      </c>
      <c r="D743" s="80" t="s">
        <v>47</v>
      </c>
      <c r="E743" s="52" t="s">
        <v>465</v>
      </c>
      <c r="F743" s="80"/>
      <c r="G743" s="64">
        <f>SUM(G744:G745)</f>
        <v>4879.3</v>
      </c>
    </row>
    <row r="744" spans="1:7" ht="31.5">
      <c r="A744" s="51" t="s">
        <v>55</v>
      </c>
      <c r="B744" s="80"/>
      <c r="C744" s="80" t="s">
        <v>124</v>
      </c>
      <c r="D744" s="80" t="s">
        <v>47</v>
      </c>
      <c r="E744" s="52" t="s">
        <v>465</v>
      </c>
      <c r="F744" s="80" t="s">
        <v>100</v>
      </c>
      <c r="G744" s="64">
        <v>2706</v>
      </c>
    </row>
    <row r="745" spans="1:7" ht="31.5">
      <c r="A745" s="51" t="s">
        <v>75</v>
      </c>
      <c r="B745" s="80"/>
      <c r="C745" s="80" t="s">
        <v>124</v>
      </c>
      <c r="D745" s="80" t="s">
        <v>47</v>
      </c>
      <c r="E745" s="52" t="s">
        <v>465</v>
      </c>
      <c r="F745" s="80" t="s">
        <v>134</v>
      </c>
      <c r="G745" s="64">
        <v>2173.3</v>
      </c>
    </row>
    <row r="746" spans="1:7" ht="15.75">
      <c r="A746" s="51" t="s">
        <v>125</v>
      </c>
      <c r="B746" s="80"/>
      <c r="C746" s="80" t="s">
        <v>124</v>
      </c>
      <c r="D746" s="80" t="s">
        <v>57</v>
      </c>
      <c r="E746" s="80"/>
      <c r="F746" s="80"/>
      <c r="G746" s="64">
        <f>G747</f>
        <v>58065.1</v>
      </c>
    </row>
    <row r="747" spans="1:7" ht="31.5">
      <c r="A747" s="51" t="s">
        <v>443</v>
      </c>
      <c r="B747" s="80"/>
      <c r="C747" s="80" t="s">
        <v>124</v>
      </c>
      <c r="D747" s="80" t="s">
        <v>57</v>
      </c>
      <c r="E747" s="134" t="s">
        <v>444</v>
      </c>
      <c r="F747" s="80"/>
      <c r="G747" s="64">
        <f>G751+G748+G754</f>
        <v>58065.1</v>
      </c>
    </row>
    <row r="748" spans="1:7" ht="15.75">
      <c r="A748" s="51" t="s">
        <v>38</v>
      </c>
      <c r="B748" s="80"/>
      <c r="C748" s="80" t="s">
        <v>124</v>
      </c>
      <c r="D748" s="80" t="s">
        <v>57</v>
      </c>
      <c r="E748" s="85" t="s">
        <v>445</v>
      </c>
      <c r="F748" s="80"/>
      <c r="G748" s="64">
        <f>G749</f>
        <v>10</v>
      </c>
    </row>
    <row r="749" spans="1:7" ht="15.75">
      <c r="A749" s="51" t="s">
        <v>485</v>
      </c>
      <c r="B749" s="80"/>
      <c r="C749" s="80" t="s">
        <v>124</v>
      </c>
      <c r="D749" s="80" t="s">
        <v>57</v>
      </c>
      <c r="E749" s="134" t="s">
        <v>630</v>
      </c>
      <c r="F749" s="80"/>
      <c r="G749" s="64">
        <f>G750</f>
        <v>10</v>
      </c>
    </row>
    <row r="750" spans="1:7" ht="31.5">
      <c r="A750" s="51" t="s">
        <v>75</v>
      </c>
      <c r="B750" s="80"/>
      <c r="C750" s="80" t="s">
        <v>124</v>
      </c>
      <c r="D750" s="80" t="s">
        <v>57</v>
      </c>
      <c r="E750" s="134" t="s">
        <v>630</v>
      </c>
      <c r="F750" s="80" t="s">
        <v>134</v>
      </c>
      <c r="G750" s="64">
        <v>10</v>
      </c>
    </row>
    <row r="751" spans="1:7" ht="47.25">
      <c r="A751" s="51" t="s">
        <v>29</v>
      </c>
      <c r="B751" s="80"/>
      <c r="C751" s="80" t="s">
        <v>124</v>
      </c>
      <c r="D751" s="80" t="s">
        <v>57</v>
      </c>
      <c r="E751" s="85" t="s">
        <v>450</v>
      </c>
      <c r="F751" s="80"/>
      <c r="G751" s="64">
        <f>SUM(G752)</f>
        <v>58055.1</v>
      </c>
    </row>
    <row r="752" spans="1:7" ht="15.75">
      <c r="A752" s="51" t="s">
        <v>485</v>
      </c>
      <c r="B752" s="80"/>
      <c r="C752" s="80" t="s">
        <v>124</v>
      </c>
      <c r="D752" s="80" t="s">
        <v>57</v>
      </c>
      <c r="E752" s="85" t="s">
        <v>486</v>
      </c>
      <c r="F752" s="80"/>
      <c r="G752" s="64">
        <f>G753</f>
        <v>58055.1</v>
      </c>
    </row>
    <row r="753" spans="1:7" ht="31.5">
      <c r="A753" s="51" t="s">
        <v>779</v>
      </c>
      <c r="B753" s="80"/>
      <c r="C753" s="80" t="s">
        <v>124</v>
      </c>
      <c r="D753" s="80" t="s">
        <v>57</v>
      </c>
      <c r="E753" s="85" t="s">
        <v>486</v>
      </c>
      <c r="F753" s="80" t="s">
        <v>134</v>
      </c>
      <c r="G753" s="64">
        <v>58055.1</v>
      </c>
    </row>
    <row r="754" spans="1:7" ht="31.5" hidden="1">
      <c r="A754" s="51" t="s">
        <v>463</v>
      </c>
      <c r="B754" s="80"/>
      <c r="C754" s="80" t="s">
        <v>124</v>
      </c>
      <c r="D754" s="80" t="s">
        <v>57</v>
      </c>
      <c r="E754" s="134" t="s">
        <v>464</v>
      </c>
      <c r="F754" s="80"/>
      <c r="G754" s="64">
        <f>G755</f>
        <v>0</v>
      </c>
    </row>
    <row r="755" spans="1:7" ht="15.75" hidden="1">
      <c r="A755" s="51" t="s">
        <v>38</v>
      </c>
      <c r="B755" s="80"/>
      <c r="C755" s="80" t="s">
        <v>124</v>
      </c>
      <c r="D755" s="80" t="s">
        <v>57</v>
      </c>
      <c r="E755" s="134" t="s">
        <v>465</v>
      </c>
      <c r="F755" s="80"/>
      <c r="G755" s="64">
        <f>SUM(G756)</f>
        <v>0</v>
      </c>
    </row>
    <row r="756" spans="1:7" ht="31.5" hidden="1">
      <c r="A756" s="51" t="s">
        <v>75</v>
      </c>
      <c r="B756" s="80"/>
      <c r="C756" s="80" t="s">
        <v>124</v>
      </c>
      <c r="D756" s="80" t="s">
        <v>57</v>
      </c>
      <c r="E756" s="134" t="s">
        <v>465</v>
      </c>
      <c r="F756" s="80" t="s">
        <v>134</v>
      </c>
      <c r="G756" s="64"/>
    </row>
    <row r="757" spans="1:7" ht="15.75">
      <c r="A757" s="51" t="s">
        <v>487</v>
      </c>
      <c r="B757" s="80"/>
      <c r="C757" s="80" t="s">
        <v>124</v>
      </c>
      <c r="D757" s="80" t="s">
        <v>124</v>
      </c>
      <c r="E757" s="80"/>
      <c r="F757" s="80"/>
      <c r="G757" s="64">
        <f>SUM(G758+G761+G764)</f>
        <v>9243.4</v>
      </c>
    </row>
    <row r="758" spans="1:7" ht="31.5">
      <c r="A758" s="51" t="s">
        <v>488</v>
      </c>
      <c r="B758" s="53"/>
      <c r="C758" s="53" t="s">
        <v>124</v>
      </c>
      <c r="D758" s="53" t="s">
        <v>124</v>
      </c>
      <c r="E758" s="53" t="s">
        <v>274</v>
      </c>
      <c r="F758" s="53"/>
      <c r="G758" s="54">
        <f>G759</f>
        <v>78</v>
      </c>
    </row>
    <row r="759" spans="1:7" ht="15.75">
      <c r="A759" s="51" t="s">
        <v>38</v>
      </c>
      <c r="B759" s="53"/>
      <c r="C759" s="53" t="s">
        <v>124</v>
      </c>
      <c r="D759" s="53" t="s">
        <v>124</v>
      </c>
      <c r="E759" s="53" t="s">
        <v>489</v>
      </c>
      <c r="F759" s="53"/>
      <c r="G759" s="54">
        <f>SUM(G760)</f>
        <v>78</v>
      </c>
    </row>
    <row r="760" spans="1:7" ht="31.5">
      <c r="A760" s="51" t="s">
        <v>55</v>
      </c>
      <c r="B760" s="53"/>
      <c r="C760" s="53" t="s">
        <v>124</v>
      </c>
      <c r="D760" s="53" t="s">
        <v>124</v>
      </c>
      <c r="E760" s="53" t="s">
        <v>489</v>
      </c>
      <c r="F760" s="53" t="s">
        <v>100</v>
      </c>
      <c r="G760" s="54">
        <v>78</v>
      </c>
    </row>
    <row r="761" spans="1:7" ht="47.25">
      <c r="A761" s="51" t="s">
        <v>491</v>
      </c>
      <c r="B761" s="53"/>
      <c r="C761" s="53" t="s">
        <v>124</v>
      </c>
      <c r="D761" s="53" t="s">
        <v>124</v>
      </c>
      <c r="E761" s="53" t="s">
        <v>492</v>
      </c>
      <c r="F761" s="53"/>
      <c r="G761" s="54">
        <f>G762</f>
        <v>78.5</v>
      </c>
    </row>
    <row r="762" spans="1:7" ht="15.75">
      <c r="A762" s="51" t="s">
        <v>38</v>
      </c>
      <c r="B762" s="53"/>
      <c r="C762" s="53" t="s">
        <v>124</v>
      </c>
      <c r="D762" s="53" t="s">
        <v>124</v>
      </c>
      <c r="E762" s="53" t="s">
        <v>493</v>
      </c>
      <c r="F762" s="53"/>
      <c r="G762" s="54">
        <f>SUM(G763)</f>
        <v>78.5</v>
      </c>
    </row>
    <row r="763" spans="1:7" ht="31.5">
      <c r="A763" s="51" t="s">
        <v>55</v>
      </c>
      <c r="B763" s="53"/>
      <c r="C763" s="53" t="s">
        <v>124</v>
      </c>
      <c r="D763" s="53" t="s">
        <v>124</v>
      </c>
      <c r="E763" s="53" t="s">
        <v>493</v>
      </c>
      <c r="F763" s="53" t="s">
        <v>100</v>
      </c>
      <c r="G763" s="54">
        <v>78.5</v>
      </c>
    </row>
    <row r="764" spans="1:7" ht="31.5">
      <c r="A764" s="51" t="s">
        <v>443</v>
      </c>
      <c r="B764" s="53"/>
      <c r="C764" s="53" t="s">
        <v>124</v>
      </c>
      <c r="D764" s="53" t="s">
        <v>124</v>
      </c>
      <c r="E764" s="52" t="s">
        <v>444</v>
      </c>
      <c r="F764" s="53"/>
      <c r="G764" s="54">
        <f>G765+G772</f>
        <v>9086.9</v>
      </c>
    </row>
    <row r="765" spans="1:7" ht="15.75">
      <c r="A765" s="51" t="s">
        <v>38</v>
      </c>
      <c r="B765" s="53"/>
      <c r="C765" s="53" t="s">
        <v>124</v>
      </c>
      <c r="D765" s="53" t="s">
        <v>124</v>
      </c>
      <c r="E765" s="52" t="s">
        <v>445</v>
      </c>
      <c r="F765" s="53"/>
      <c r="G765" s="54">
        <f>SUM(G766+G768)</f>
        <v>6000</v>
      </c>
    </row>
    <row r="766" spans="1:7" ht="15.75">
      <c r="A766" s="128" t="s">
        <v>495</v>
      </c>
      <c r="B766" s="80"/>
      <c r="C766" s="80" t="s">
        <v>124</v>
      </c>
      <c r="D766" s="80" t="s">
        <v>124</v>
      </c>
      <c r="E766" s="80" t="s">
        <v>496</v>
      </c>
      <c r="F766" s="53"/>
      <c r="G766" s="54">
        <f>G767</f>
        <v>3043.8</v>
      </c>
    </row>
    <row r="767" spans="1:7" ht="31.5">
      <c r="A767" s="51" t="s">
        <v>55</v>
      </c>
      <c r="B767" s="53"/>
      <c r="C767" s="53" t="s">
        <v>124</v>
      </c>
      <c r="D767" s="53" t="s">
        <v>124</v>
      </c>
      <c r="E767" s="86" t="s">
        <v>496</v>
      </c>
      <c r="F767" s="53" t="s">
        <v>100</v>
      </c>
      <c r="G767" s="54">
        <v>3043.8</v>
      </c>
    </row>
    <row r="768" spans="1:7" ht="47.25">
      <c r="A768" s="51" t="s">
        <v>497</v>
      </c>
      <c r="B768" s="53"/>
      <c r="C768" s="53" t="s">
        <v>498</v>
      </c>
      <c r="D768" s="53" t="s">
        <v>124</v>
      </c>
      <c r="E768" s="52" t="s">
        <v>499</v>
      </c>
      <c r="F768" s="53"/>
      <c r="G768" s="54">
        <f>SUM(G769:G771)</f>
        <v>2956.2000000000003</v>
      </c>
    </row>
    <row r="769" spans="1:7" ht="31.5">
      <c r="A769" s="51" t="s">
        <v>55</v>
      </c>
      <c r="B769" s="53"/>
      <c r="C769" s="53" t="s">
        <v>498</v>
      </c>
      <c r="D769" s="53" t="s">
        <v>124</v>
      </c>
      <c r="E769" s="52" t="s">
        <v>499</v>
      </c>
      <c r="F769" s="53" t="s">
        <v>100</v>
      </c>
      <c r="G769" s="54">
        <v>236.8</v>
      </c>
    </row>
    <row r="770" spans="1:7" ht="31.5">
      <c r="A770" s="163" t="s">
        <v>75</v>
      </c>
      <c r="B770" s="164"/>
      <c r="C770" s="164" t="s">
        <v>498</v>
      </c>
      <c r="D770" s="164" t="s">
        <v>124</v>
      </c>
      <c r="E770" s="52" t="s">
        <v>499</v>
      </c>
      <c r="F770" s="164" t="s">
        <v>134</v>
      </c>
      <c r="G770" s="54">
        <v>481.6</v>
      </c>
    </row>
    <row r="771" spans="1:7" ht="15.75">
      <c r="A771" s="163" t="s">
        <v>25</v>
      </c>
      <c r="B771" s="164"/>
      <c r="C771" s="164" t="s">
        <v>498</v>
      </c>
      <c r="D771" s="164" t="s">
        <v>124</v>
      </c>
      <c r="E771" s="52" t="s">
        <v>499</v>
      </c>
      <c r="F771" s="164" t="s">
        <v>105</v>
      </c>
      <c r="G771" s="54">
        <v>2237.8</v>
      </c>
    </row>
    <row r="772" spans="1:7" ht="31.5">
      <c r="A772" s="51" t="s">
        <v>500</v>
      </c>
      <c r="B772" s="80"/>
      <c r="C772" s="80" t="s">
        <v>124</v>
      </c>
      <c r="D772" s="80" t="s">
        <v>124</v>
      </c>
      <c r="E772" s="80" t="s">
        <v>501</v>
      </c>
      <c r="F772" s="80"/>
      <c r="G772" s="64">
        <f>G773+G778</f>
        <v>3086.9</v>
      </c>
    </row>
    <row r="773" spans="1:7" ht="15.75">
      <c r="A773" s="51" t="s">
        <v>38</v>
      </c>
      <c r="B773" s="80"/>
      <c r="C773" s="80" t="s">
        <v>124</v>
      </c>
      <c r="D773" s="80" t="s">
        <v>124</v>
      </c>
      <c r="E773" s="80" t="s">
        <v>502</v>
      </c>
      <c r="F773" s="80"/>
      <c r="G773" s="64">
        <f>G774+G776</f>
        <v>1100</v>
      </c>
    </row>
    <row r="774" spans="1:7" ht="31.5">
      <c r="A774" s="51" t="s">
        <v>503</v>
      </c>
      <c r="B774" s="52"/>
      <c r="C774" s="80" t="s">
        <v>124</v>
      </c>
      <c r="D774" s="80" t="s">
        <v>124</v>
      </c>
      <c r="E774" s="80" t="s">
        <v>504</v>
      </c>
      <c r="F774" s="80"/>
      <c r="G774" s="64">
        <f>G775</f>
        <v>800</v>
      </c>
    </row>
    <row r="775" spans="1:7" ht="31.5">
      <c r="A775" s="51" t="s">
        <v>55</v>
      </c>
      <c r="B775" s="52"/>
      <c r="C775" s="80" t="s">
        <v>124</v>
      </c>
      <c r="D775" s="80" t="s">
        <v>124</v>
      </c>
      <c r="E775" s="80" t="s">
        <v>504</v>
      </c>
      <c r="F775" s="80" t="s">
        <v>100</v>
      </c>
      <c r="G775" s="64">
        <v>800</v>
      </c>
    </row>
    <row r="776" spans="1:7" ht="63">
      <c r="A776" s="51" t="s">
        <v>505</v>
      </c>
      <c r="B776" s="80"/>
      <c r="C776" s="80" t="s">
        <v>124</v>
      </c>
      <c r="D776" s="80" t="s">
        <v>124</v>
      </c>
      <c r="E776" s="86" t="s">
        <v>506</v>
      </c>
      <c r="F776" s="80"/>
      <c r="G776" s="64">
        <v>300</v>
      </c>
    </row>
    <row r="777" spans="1:7" ht="31.5">
      <c r="A777" s="51" t="s">
        <v>55</v>
      </c>
      <c r="B777" s="80"/>
      <c r="C777" s="80" t="s">
        <v>124</v>
      </c>
      <c r="D777" s="80" t="s">
        <v>124</v>
      </c>
      <c r="E777" s="86" t="s">
        <v>506</v>
      </c>
      <c r="F777" s="80" t="s">
        <v>100</v>
      </c>
      <c r="G777" s="64">
        <v>300</v>
      </c>
    </row>
    <row r="778" spans="1:7" ht="31.5">
      <c r="A778" s="51" t="s">
        <v>48</v>
      </c>
      <c r="B778" s="80"/>
      <c r="C778" s="80" t="s">
        <v>124</v>
      </c>
      <c r="D778" s="80" t="s">
        <v>124</v>
      </c>
      <c r="E778" s="52" t="s">
        <v>507</v>
      </c>
      <c r="F778" s="80"/>
      <c r="G778" s="64">
        <f>SUM(G779)</f>
        <v>1986.9</v>
      </c>
    </row>
    <row r="779" spans="1:7" ht="15.75">
      <c r="A779" s="55" t="s">
        <v>508</v>
      </c>
      <c r="B779" s="80"/>
      <c r="C779" s="80" t="s">
        <v>124</v>
      </c>
      <c r="D779" s="80" t="s">
        <v>124</v>
      </c>
      <c r="E779" s="52" t="s">
        <v>509</v>
      </c>
      <c r="F779" s="80"/>
      <c r="G779" s="64">
        <f>G780+G781+G782</f>
        <v>1986.9</v>
      </c>
    </row>
    <row r="780" spans="1:7" ht="47.25">
      <c r="A780" s="70" t="s">
        <v>54</v>
      </c>
      <c r="B780" s="80"/>
      <c r="C780" s="80" t="s">
        <v>124</v>
      </c>
      <c r="D780" s="80" t="s">
        <v>124</v>
      </c>
      <c r="E780" s="52" t="s">
        <v>509</v>
      </c>
      <c r="F780" s="80" t="s">
        <v>98</v>
      </c>
      <c r="G780" s="64">
        <f>1382.5+417.5</f>
        <v>1800</v>
      </c>
    </row>
    <row r="781" spans="1:7" ht="31.5">
      <c r="A781" s="51" t="s">
        <v>55</v>
      </c>
      <c r="B781" s="80"/>
      <c r="C781" s="80" t="s">
        <v>124</v>
      </c>
      <c r="D781" s="80" t="s">
        <v>124</v>
      </c>
      <c r="E781" s="52" t="s">
        <v>509</v>
      </c>
      <c r="F781" s="80" t="s">
        <v>100</v>
      </c>
      <c r="G781" s="64">
        <f>1986.9-G780-G782</f>
        <v>183.7000000000001</v>
      </c>
    </row>
    <row r="782" spans="1:7" ht="15.75">
      <c r="A782" s="51" t="s">
        <v>25</v>
      </c>
      <c r="B782" s="80"/>
      <c r="C782" s="80" t="s">
        <v>124</v>
      </c>
      <c r="D782" s="80" t="s">
        <v>124</v>
      </c>
      <c r="E782" s="52" t="s">
        <v>509</v>
      </c>
      <c r="F782" s="80" t="s">
        <v>105</v>
      </c>
      <c r="G782" s="64">
        <v>3.2</v>
      </c>
    </row>
    <row r="783" spans="1:7" ht="15.75">
      <c r="A783" s="51" t="s">
        <v>202</v>
      </c>
      <c r="B783" s="52"/>
      <c r="C783" s="80" t="s">
        <v>124</v>
      </c>
      <c r="D783" s="80" t="s">
        <v>191</v>
      </c>
      <c r="E783" s="52"/>
      <c r="F783" s="52"/>
      <c r="G783" s="54">
        <f>G789+G784</f>
        <v>45471.4</v>
      </c>
    </row>
    <row r="784" spans="1:7" ht="31.5">
      <c r="A784" s="51" t="s">
        <v>243</v>
      </c>
      <c r="B784" s="80"/>
      <c r="C784" s="80" t="s">
        <v>124</v>
      </c>
      <c r="D784" s="80" t="s">
        <v>191</v>
      </c>
      <c r="E784" s="132" t="s">
        <v>244</v>
      </c>
      <c r="F784" s="126"/>
      <c r="G784" s="54">
        <f>G785</f>
        <v>3936.6</v>
      </c>
    </row>
    <row r="785" spans="1:7" ht="78.75">
      <c r="A785" s="51" t="s">
        <v>631</v>
      </c>
      <c r="B785" s="80"/>
      <c r="C785" s="80" t="s">
        <v>124</v>
      </c>
      <c r="D785" s="80" t="s">
        <v>191</v>
      </c>
      <c r="E785" s="85" t="s">
        <v>246</v>
      </c>
      <c r="F785" s="80"/>
      <c r="G785" s="54">
        <f>G786</f>
        <v>3936.6</v>
      </c>
    </row>
    <row r="786" spans="1:7" ht="63">
      <c r="A786" s="51" t="s">
        <v>632</v>
      </c>
      <c r="B786" s="80"/>
      <c r="C786" s="80" t="s">
        <v>124</v>
      </c>
      <c r="D786" s="80" t="s">
        <v>191</v>
      </c>
      <c r="E786" s="85" t="s">
        <v>633</v>
      </c>
      <c r="F786" s="80"/>
      <c r="G786" s="54">
        <f>G787+G788</f>
        <v>3936.6</v>
      </c>
    </row>
    <row r="787" spans="1:7" ht="47.25">
      <c r="A787" s="51" t="s">
        <v>54</v>
      </c>
      <c r="B787" s="80"/>
      <c r="C787" s="80" t="s">
        <v>124</v>
      </c>
      <c r="D787" s="80" t="s">
        <v>191</v>
      </c>
      <c r="E787" s="85" t="s">
        <v>633</v>
      </c>
      <c r="F787" s="80" t="s">
        <v>98</v>
      </c>
      <c r="G787" s="54">
        <v>3300</v>
      </c>
    </row>
    <row r="788" spans="1:7" ht="31.5">
      <c r="A788" s="51" t="s">
        <v>55</v>
      </c>
      <c r="B788" s="80"/>
      <c r="C788" s="80" t="s">
        <v>124</v>
      </c>
      <c r="D788" s="80" t="s">
        <v>191</v>
      </c>
      <c r="E788" s="85" t="s">
        <v>633</v>
      </c>
      <c r="F788" s="80" t="s">
        <v>100</v>
      </c>
      <c r="G788" s="54">
        <v>636.6</v>
      </c>
    </row>
    <row r="789" spans="1:7" ht="31.5">
      <c r="A789" s="51" t="s">
        <v>443</v>
      </c>
      <c r="B789" s="53"/>
      <c r="C789" s="53" t="s">
        <v>124</v>
      </c>
      <c r="D789" s="53" t="s">
        <v>191</v>
      </c>
      <c r="E789" s="52" t="s">
        <v>444</v>
      </c>
      <c r="F789" s="52"/>
      <c r="G789" s="54">
        <f>SUM(G795)+G790</f>
        <v>41534.8</v>
      </c>
    </row>
    <row r="790" spans="1:7" ht="15.75">
      <c r="A790" s="51" t="s">
        <v>38</v>
      </c>
      <c r="B790" s="80"/>
      <c r="C790" s="80" t="s">
        <v>124</v>
      </c>
      <c r="D790" s="80" t="s">
        <v>191</v>
      </c>
      <c r="E790" s="85" t="s">
        <v>445</v>
      </c>
      <c r="F790" s="80"/>
      <c r="G790" s="64">
        <f>SUM(G791+G793)</f>
        <v>375</v>
      </c>
    </row>
    <row r="791" spans="1:7" ht="15.75">
      <c r="A791" s="51" t="s">
        <v>635</v>
      </c>
      <c r="B791" s="80"/>
      <c r="C791" s="80" t="s">
        <v>124</v>
      </c>
      <c r="D791" s="80" t="s">
        <v>191</v>
      </c>
      <c r="E791" s="85" t="s">
        <v>642</v>
      </c>
      <c r="F791" s="80"/>
      <c r="G791" s="64">
        <f>G792</f>
        <v>195</v>
      </c>
    </row>
    <row r="792" spans="1:7" ht="31.5">
      <c r="A792" s="51" t="s">
        <v>55</v>
      </c>
      <c r="B792" s="80"/>
      <c r="C792" s="80" t="s">
        <v>124</v>
      </c>
      <c r="D792" s="80" t="s">
        <v>191</v>
      </c>
      <c r="E792" s="85" t="s">
        <v>642</v>
      </c>
      <c r="F792" s="80" t="s">
        <v>100</v>
      </c>
      <c r="G792" s="64">
        <v>195</v>
      </c>
    </row>
    <row r="793" spans="1:7" ht="47.25">
      <c r="A793" s="51" t="s">
        <v>472</v>
      </c>
      <c r="B793" s="80"/>
      <c r="C793" s="80" t="s">
        <v>124</v>
      </c>
      <c r="D793" s="80" t="s">
        <v>191</v>
      </c>
      <c r="E793" s="85" t="s">
        <v>473</v>
      </c>
      <c r="F793" s="86"/>
      <c r="G793" s="64">
        <f>G794</f>
        <v>180</v>
      </c>
    </row>
    <row r="794" spans="1:7" ht="31.5">
      <c r="A794" s="51" t="s">
        <v>55</v>
      </c>
      <c r="B794" s="80"/>
      <c r="C794" s="80" t="s">
        <v>124</v>
      </c>
      <c r="D794" s="80" t="s">
        <v>191</v>
      </c>
      <c r="E794" s="85" t="s">
        <v>473</v>
      </c>
      <c r="F794" s="86">
        <v>200</v>
      </c>
      <c r="G794" s="64">
        <v>180</v>
      </c>
    </row>
    <row r="795" spans="1:7" ht="31.5">
      <c r="A795" s="51" t="s">
        <v>510</v>
      </c>
      <c r="B795" s="80"/>
      <c r="C795" s="80" t="s">
        <v>124</v>
      </c>
      <c r="D795" s="80" t="s">
        <v>191</v>
      </c>
      <c r="E795" s="134" t="s">
        <v>511</v>
      </c>
      <c r="F795" s="80"/>
      <c r="G795" s="64">
        <f>SUM(G796)</f>
        <v>41159.8</v>
      </c>
    </row>
    <row r="796" spans="1:7" ht="31.5">
      <c r="A796" s="51" t="s">
        <v>48</v>
      </c>
      <c r="B796" s="80"/>
      <c r="C796" s="80" t="s">
        <v>124</v>
      </c>
      <c r="D796" s="80" t="s">
        <v>191</v>
      </c>
      <c r="E796" s="86" t="s">
        <v>512</v>
      </c>
      <c r="F796" s="80"/>
      <c r="G796" s="64">
        <f>SUM(G797)</f>
        <v>41159.8</v>
      </c>
    </row>
    <row r="797" spans="1:7" ht="15.75">
      <c r="A797" s="128" t="s">
        <v>520</v>
      </c>
      <c r="B797" s="80"/>
      <c r="C797" s="80" t="s">
        <v>124</v>
      </c>
      <c r="D797" s="80" t="s">
        <v>191</v>
      </c>
      <c r="E797" s="86" t="s">
        <v>513</v>
      </c>
      <c r="F797" s="80"/>
      <c r="G797" s="64">
        <f>G798+G799+G800</f>
        <v>41159.8</v>
      </c>
    </row>
    <row r="798" spans="1:7" ht="47.25">
      <c r="A798" s="70" t="s">
        <v>54</v>
      </c>
      <c r="B798" s="80"/>
      <c r="C798" s="80" t="s">
        <v>124</v>
      </c>
      <c r="D798" s="80" t="s">
        <v>191</v>
      </c>
      <c r="E798" s="86" t="s">
        <v>513</v>
      </c>
      <c r="F798" s="80" t="s">
        <v>98</v>
      </c>
      <c r="G798" s="64">
        <v>35245.3</v>
      </c>
    </row>
    <row r="799" spans="1:7" ht="31.5">
      <c r="A799" s="51" t="s">
        <v>55</v>
      </c>
      <c r="B799" s="80"/>
      <c r="C799" s="80" t="s">
        <v>124</v>
      </c>
      <c r="D799" s="80" t="s">
        <v>191</v>
      </c>
      <c r="E799" s="86" t="s">
        <v>513</v>
      </c>
      <c r="F799" s="80" t="s">
        <v>100</v>
      </c>
      <c r="G799" s="64">
        <v>5523.3</v>
      </c>
    </row>
    <row r="800" spans="1:7" ht="15.75">
      <c r="A800" s="51" t="s">
        <v>25</v>
      </c>
      <c r="B800" s="80"/>
      <c r="C800" s="80" t="s">
        <v>124</v>
      </c>
      <c r="D800" s="80" t="s">
        <v>191</v>
      </c>
      <c r="E800" s="86" t="s">
        <v>513</v>
      </c>
      <c r="F800" s="80" t="s">
        <v>105</v>
      </c>
      <c r="G800" s="64">
        <v>391.2</v>
      </c>
    </row>
    <row r="801" spans="1:7" ht="15.75">
      <c r="A801" s="51" t="s">
        <v>33</v>
      </c>
      <c r="B801" s="53"/>
      <c r="C801" s="53" t="s">
        <v>34</v>
      </c>
      <c r="D801" s="53" t="s">
        <v>35</v>
      </c>
      <c r="E801" s="52"/>
      <c r="F801" s="52"/>
      <c r="G801" s="54">
        <f>SUM(G802+G809)</f>
        <v>50487.200000000004</v>
      </c>
    </row>
    <row r="802" spans="1:7" ht="15.75">
      <c r="A802" s="51" t="s">
        <v>56</v>
      </c>
      <c r="B802" s="80"/>
      <c r="C802" s="80" t="s">
        <v>34</v>
      </c>
      <c r="D802" s="80" t="s">
        <v>57</v>
      </c>
      <c r="E802" s="85"/>
      <c r="F802" s="80"/>
      <c r="G802" s="64">
        <f>G803</f>
        <v>5159.900000000001</v>
      </c>
    </row>
    <row r="803" spans="1:7" ht="31.5">
      <c r="A803" s="51" t="s">
        <v>553</v>
      </c>
      <c r="B803" s="53"/>
      <c r="C803" s="53" t="s">
        <v>34</v>
      </c>
      <c r="D803" s="53" t="s">
        <v>57</v>
      </c>
      <c r="E803" s="134" t="s">
        <v>539</v>
      </c>
      <c r="F803" s="80"/>
      <c r="G803" s="64">
        <f>G804</f>
        <v>5159.900000000001</v>
      </c>
    </row>
    <row r="804" spans="1:7" ht="31.5">
      <c r="A804" s="51" t="s">
        <v>562</v>
      </c>
      <c r="B804" s="53"/>
      <c r="C804" s="53" t="s">
        <v>34</v>
      </c>
      <c r="D804" s="53" t="s">
        <v>57</v>
      </c>
      <c r="E804" s="134" t="s">
        <v>563</v>
      </c>
      <c r="F804" s="80"/>
      <c r="G804" s="64">
        <f>G805</f>
        <v>5159.900000000001</v>
      </c>
    </row>
    <row r="805" spans="1:7" ht="78.75">
      <c r="A805" s="51" t="s">
        <v>316</v>
      </c>
      <c r="B805" s="53"/>
      <c r="C805" s="53" t="s">
        <v>34</v>
      </c>
      <c r="D805" s="53" t="s">
        <v>57</v>
      </c>
      <c r="E805" s="53" t="s">
        <v>564</v>
      </c>
      <c r="F805" s="80"/>
      <c r="G805" s="64">
        <f>G806</f>
        <v>5159.900000000001</v>
      </c>
    </row>
    <row r="806" spans="1:7" ht="47.25">
      <c r="A806" s="51" t="s">
        <v>637</v>
      </c>
      <c r="B806" s="53"/>
      <c r="C806" s="53" t="s">
        <v>34</v>
      </c>
      <c r="D806" s="53" t="s">
        <v>57</v>
      </c>
      <c r="E806" s="134" t="s">
        <v>588</v>
      </c>
      <c r="F806" s="80"/>
      <c r="G806" s="64">
        <f>G807+G808</f>
        <v>5159.900000000001</v>
      </c>
    </row>
    <row r="807" spans="1:7" ht="15.75">
      <c r="A807" s="51" t="s">
        <v>45</v>
      </c>
      <c r="B807" s="53"/>
      <c r="C807" s="53" t="s">
        <v>34</v>
      </c>
      <c r="D807" s="53" t="s">
        <v>57</v>
      </c>
      <c r="E807" s="134" t="s">
        <v>588</v>
      </c>
      <c r="F807" s="53" t="s">
        <v>108</v>
      </c>
      <c r="G807" s="64">
        <v>4693.1</v>
      </c>
    </row>
    <row r="808" spans="1:7" ht="31.5">
      <c r="A808" s="51" t="s">
        <v>133</v>
      </c>
      <c r="B808" s="80"/>
      <c r="C808" s="53" t="s">
        <v>34</v>
      </c>
      <c r="D808" s="53" t="s">
        <v>57</v>
      </c>
      <c r="E808" s="134" t="s">
        <v>588</v>
      </c>
      <c r="F808" s="80" t="s">
        <v>134</v>
      </c>
      <c r="G808" s="64">
        <v>466.8</v>
      </c>
    </row>
    <row r="809" spans="1:7" ht="15.75">
      <c r="A809" s="51" t="s">
        <v>208</v>
      </c>
      <c r="B809" s="52"/>
      <c r="C809" s="80" t="s">
        <v>34</v>
      </c>
      <c r="D809" s="80" t="s">
        <v>16</v>
      </c>
      <c r="E809" s="134"/>
      <c r="F809" s="52"/>
      <c r="G809" s="54">
        <f>SUM(G810+G814+G818)</f>
        <v>45327.3</v>
      </c>
    </row>
    <row r="810" spans="1:7" ht="31.5">
      <c r="A810" s="51" t="s">
        <v>243</v>
      </c>
      <c r="B810" s="80"/>
      <c r="C810" s="80" t="s">
        <v>34</v>
      </c>
      <c r="D810" s="80" t="s">
        <v>16</v>
      </c>
      <c r="E810" s="133" t="s">
        <v>244</v>
      </c>
      <c r="F810" s="80"/>
      <c r="G810" s="54">
        <f>G811</f>
        <v>10524.4</v>
      </c>
    </row>
    <row r="811" spans="1:7" ht="78.75">
      <c r="A811" s="51" t="s">
        <v>631</v>
      </c>
      <c r="B811" s="80"/>
      <c r="C811" s="80" t="s">
        <v>34</v>
      </c>
      <c r="D811" s="80" t="s">
        <v>16</v>
      </c>
      <c r="E811" s="133" t="s">
        <v>246</v>
      </c>
      <c r="F811" s="52"/>
      <c r="G811" s="54">
        <f>G812</f>
        <v>10524.4</v>
      </c>
    </row>
    <row r="812" spans="1:7" ht="47.25">
      <c r="A812" s="51" t="s">
        <v>638</v>
      </c>
      <c r="B812" s="80"/>
      <c r="C812" s="80" t="s">
        <v>34</v>
      </c>
      <c r="D812" s="80" t="s">
        <v>16</v>
      </c>
      <c r="E812" s="133" t="s">
        <v>639</v>
      </c>
      <c r="F812" s="80"/>
      <c r="G812" s="54">
        <f>G813</f>
        <v>10524.4</v>
      </c>
    </row>
    <row r="813" spans="1:7" ht="15.75">
      <c r="A813" s="51" t="s">
        <v>45</v>
      </c>
      <c r="B813" s="80"/>
      <c r="C813" s="80" t="s">
        <v>34</v>
      </c>
      <c r="D813" s="80" t="s">
        <v>16</v>
      </c>
      <c r="E813" s="133" t="s">
        <v>639</v>
      </c>
      <c r="F813" s="80" t="s">
        <v>108</v>
      </c>
      <c r="G813" s="54">
        <v>10524.4</v>
      </c>
    </row>
    <row r="814" spans="1:7" ht="31.5">
      <c r="A814" s="51" t="s">
        <v>615</v>
      </c>
      <c r="B814" s="80"/>
      <c r="C814" s="80" t="s">
        <v>34</v>
      </c>
      <c r="D814" s="80" t="s">
        <v>16</v>
      </c>
      <c r="E814" s="132" t="s">
        <v>616</v>
      </c>
      <c r="F814" s="80"/>
      <c r="G814" s="54">
        <f>G815</f>
        <v>31802.9</v>
      </c>
    </row>
    <row r="815" spans="1:7" ht="78.75">
      <c r="A815" s="51" t="s">
        <v>631</v>
      </c>
      <c r="B815" s="80"/>
      <c r="C815" s="80" t="s">
        <v>34</v>
      </c>
      <c r="D815" s="80" t="s">
        <v>16</v>
      </c>
      <c r="E815" s="132" t="s">
        <v>618</v>
      </c>
      <c r="F815" s="80"/>
      <c r="G815" s="54">
        <f>G816</f>
        <v>31802.9</v>
      </c>
    </row>
    <row r="816" spans="1:7" ht="63">
      <c r="A816" s="51" t="s">
        <v>640</v>
      </c>
      <c r="B816" s="80"/>
      <c r="C816" s="80" t="s">
        <v>34</v>
      </c>
      <c r="D816" s="80" t="s">
        <v>16</v>
      </c>
      <c r="E816" s="133" t="s">
        <v>641</v>
      </c>
      <c r="F816" s="80"/>
      <c r="G816" s="54">
        <f>G817</f>
        <v>31802.9</v>
      </c>
    </row>
    <row r="817" spans="1:7" ht="15.75">
      <c r="A817" s="51" t="s">
        <v>45</v>
      </c>
      <c r="B817" s="53"/>
      <c r="C817" s="80" t="s">
        <v>34</v>
      </c>
      <c r="D817" s="80" t="s">
        <v>16</v>
      </c>
      <c r="E817" s="133" t="s">
        <v>641</v>
      </c>
      <c r="F817" s="80">
        <v>300</v>
      </c>
      <c r="G817" s="54">
        <v>31802.9</v>
      </c>
    </row>
    <row r="818" spans="1:7" ht="31.5">
      <c r="A818" s="51" t="s">
        <v>443</v>
      </c>
      <c r="B818" s="52"/>
      <c r="C818" s="80" t="s">
        <v>34</v>
      </c>
      <c r="D818" s="80" t="s">
        <v>16</v>
      </c>
      <c r="E818" s="52" t="s">
        <v>444</v>
      </c>
      <c r="F818" s="52"/>
      <c r="G818" s="54">
        <f>SUM(G819)</f>
        <v>3000</v>
      </c>
    </row>
    <row r="819" spans="1:7" ht="15.75">
      <c r="A819" s="51" t="s">
        <v>38</v>
      </c>
      <c r="B819" s="80"/>
      <c r="C819" s="80" t="s">
        <v>34</v>
      </c>
      <c r="D819" s="80" t="s">
        <v>16</v>
      </c>
      <c r="E819" s="86" t="s">
        <v>445</v>
      </c>
      <c r="F819" s="80"/>
      <c r="G819" s="64">
        <f>SUM(G820+G822)</f>
        <v>3000</v>
      </c>
    </row>
    <row r="820" spans="1:7" ht="31.5" hidden="1">
      <c r="A820" s="51" t="s">
        <v>446</v>
      </c>
      <c r="B820" s="80"/>
      <c r="C820" s="80" t="s">
        <v>34</v>
      </c>
      <c r="D820" s="80" t="s">
        <v>16</v>
      </c>
      <c r="E820" s="52" t="s">
        <v>447</v>
      </c>
      <c r="F820" s="80"/>
      <c r="G820" s="64">
        <f>G821</f>
        <v>0</v>
      </c>
    </row>
    <row r="821" spans="1:7" ht="15.75" hidden="1">
      <c r="A821" s="51" t="s">
        <v>45</v>
      </c>
      <c r="B821" s="80"/>
      <c r="C821" s="80" t="s">
        <v>34</v>
      </c>
      <c r="D821" s="80" t="s">
        <v>16</v>
      </c>
      <c r="E821" s="52" t="s">
        <v>447</v>
      </c>
      <c r="F821" s="80" t="s">
        <v>108</v>
      </c>
      <c r="G821" s="64">
        <v>0</v>
      </c>
    </row>
    <row r="822" spans="1:7" ht="110.25">
      <c r="A822" s="51" t="s">
        <v>514</v>
      </c>
      <c r="B822" s="80"/>
      <c r="C822" s="80" t="s">
        <v>34</v>
      </c>
      <c r="D822" s="80" t="s">
        <v>16</v>
      </c>
      <c r="E822" s="52" t="s">
        <v>515</v>
      </c>
      <c r="F822" s="80"/>
      <c r="G822" s="64">
        <f>G823</f>
        <v>3000</v>
      </c>
    </row>
    <row r="823" spans="1:7" ht="15.75">
      <c r="A823" s="51" t="s">
        <v>45</v>
      </c>
      <c r="B823" s="80"/>
      <c r="C823" s="80" t="s">
        <v>34</v>
      </c>
      <c r="D823" s="80" t="s">
        <v>16</v>
      </c>
      <c r="E823" s="52" t="s">
        <v>515</v>
      </c>
      <c r="F823" s="80" t="s">
        <v>108</v>
      </c>
      <c r="G823" s="64">
        <v>3000</v>
      </c>
    </row>
    <row r="824" spans="1:7" s="122" customFormat="1" ht="15.75">
      <c r="A824" s="119" t="s">
        <v>121</v>
      </c>
      <c r="B824" s="96" t="s">
        <v>122</v>
      </c>
      <c r="C824" s="96"/>
      <c r="D824" s="96"/>
      <c r="E824" s="96"/>
      <c r="F824" s="96"/>
      <c r="G824" s="121">
        <f>G825+G832+G903</f>
        <v>184030.09999999998</v>
      </c>
    </row>
    <row r="825" spans="1:7" ht="15.75">
      <c r="A825" s="51" t="s">
        <v>123</v>
      </c>
      <c r="B825" s="80"/>
      <c r="C825" s="80" t="s">
        <v>124</v>
      </c>
      <c r="D825" s="80"/>
      <c r="E825" s="80"/>
      <c r="F825" s="80"/>
      <c r="G825" s="64">
        <f>G826</f>
        <v>61607.6</v>
      </c>
    </row>
    <row r="826" spans="1:7" ht="15.75">
      <c r="A826" s="51" t="s">
        <v>125</v>
      </c>
      <c r="B826" s="80"/>
      <c r="C826" s="80" t="s">
        <v>124</v>
      </c>
      <c r="D826" s="80" t="s">
        <v>57</v>
      </c>
      <c r="E826" s="80"/>
      <c r="F826" s="80"/>
      <c r="G826" s="64">
        <f>G827</f>
        <v>61607.6</v>
      </c>
    </row>
    <row r="827" spans="1:7" ht="15.75">
      <c r="A827" s="51" t="s">
        <v>126</v>
      </c>
      <c r="B827" s="80"/>
      <c r="C827" s="80" t="s">
        <v>124</v>
      </c>
      <c r="D827" s="80" t="s">
        <v>57</v>
      </c>
      <c r="E827" s="80" t="s">
        <v>127</v>
      </c>
      <c r="F827" s="80"/>
      <c r="G827" s="64">
        <f>SUM(G828)</f>
        <v>61607.6</v>
      </c>
    </row>
    <row r="828" spans="1:7" ht="15.75">
      <c r="A828" s="51" t="s">
        <v>128</v>
      </c>
      <c r="B828" s="80"/>
      <c r="C828" s="80" t="s">
        <v>124</v>
      </c>
      <c r="D828" s="80" t="s">
        <v>57</v>
      </c>
      <c r="E828" s="80" t="s">
        <v>129</v>
      </c>
      <c r="F828" s="80"/>
      <c r="G828" s="64">
        <f>G829</f>
        <v>61607.6</v>
      </c>
    </row>
    <row r="829" spans="1:7" ht="47.25">
      <c r="A829" s="51" t="s">
        <v>29</v>
      </c>
      <c r="B829" s="80"/>
      <c r="C829" s="80" t="s">
        <v>124</v>
      </c>
      <c r="D829" s="80" t="s">
        <v>57</v>
      </c>
      <c r="E829" s="80" t="s">
        <v>130</v>
      </c>
      <c r="F829" s="80"/>
      <c r="G829" s="64">
        <f>G830</f>
        <v>61607.6</v>
      </c>
    </row>
    <row r="830" spans="1:7" ht="15.75">
      <c r="A830" s="51" t="s">
        <v>131</v>
      </c>
      <c r="B830" s="80"/>
      <c r="C830" s="80" t="s">
        <v>124</v>
      </c>
      <c r="D830" s="80" t="s">
        <v>57</v>
      </c>
      <c r="E830" s="80" t="s">
        <v>132</v>
      </c>
      <c r="F830" s="80"/>
      <c r="G830" s="64">
        <f>G831</f>
        <v>61607.6</v>
      </c>
    </row>
    <row r="831" spans="1:7" ht="31.5">
      <c r="A831" s="51" t="s">
        <v>133</v>
      </c>
      <c r="B831" s="80"/>
      <c r="C831" s="80" t="s">
        <v>124</v>
      </c>
      <c r="D831" s="80" t="s">
        <v>57</v>
      </c>
      <c r="E831" s="80" t="s">
        <v>132</v>
      </c>
      <c r="F831" s="80" t="s">
        <v>134</v>
      </c>
      <c r="G831" s="64">
        <v>61607.6</v>
      </c>
    </row>
    <row r="832" spans="1:7" ht="15.75">
      <c r="A832" s="51" t="s">
        <v>135</v>
      </c>
      <c r="B832" s="80"/>
      <c r="C832" s="80" t="s">
        <v>18</v>
      </c>
      <c r="D832" s="80"/>
      <c r="E832" s="80"/>
      <c r="F832" s="80"/>
      <c r="G832" s="64">
        <f>SUM(G833+G854)</f>
        <v>122078.59999999999</v>
      </c>
    </row>
    <row r="833" spans="1:7" ht="15.75">
      <c r="A833" s="51" t="s">
        <v>136</v>
      </c>
      <c r="B833" s="80"/>
      <c r="C833" s="80" t="s">
        <v>18</v>
      </c>
      <c r="D833" s="80" t="s">
        <v>37</v>
      </c>
      <c r="E833" s="80"/>
      <c r="F833" s="80"/>
      <c r="G833" s="64">
        <f>G834</f>
        <v>109182.59999999999</v>
      </c>
    </row>
    <row r="834" spans="1:7" ht="15.75">
      <c r="A834" s="51" t="s">
        <v>126</v>
      </c>
      <c r="B834" s="80"/>
      <c r="C834" s="80" t="s">
        <v>18</v>
      </c>
      <c r="D834" s="80" t="s">
        <v>37</v>
      </c>
      <c r="E834" s="80" t="s">
        <v>127</v>
      </c>
      <c r="F834" s="80"/>
      <c r="G834" s="64">
        <f>G835+G844+G850</f>
        <v>109182.59999999999</v>
      </c>
    </row>
    <row r="835" spans="1:7" ht="15.75">
      <c r="A835" s="51" t="s">
        <v>137</v>
      </c>
      <c r="B835" s="80"/>
      <c r="C835" s="80" t="s">
        <v>18</v>
      </c>
      <c r="D835" s="80" t="s">
        <v>37</v>
      </c>
      <c r="E835" s="80" t="s">
        <v>138</v>
      </c>
      <c r="F835" s="80"/>
      <c r="G835" s="64">
        <f>G836+G839</f>
        <v>59269.399999999994</v>
      </c>
    </row>
    <row r="836" spans="1:7" ht="47.25">
      <c r="A836" s="51" t="s">
        <v>29</v>
      </c>
      <c r="B836" s="80"/>
      <c r="C836" s="80" t="s">
        <v>18</v>
      </c>
      <c r="D836" s="80" t="s">
        <v>37</v>
      </c>
      <c r="E836" s="80" t="s">
        <v>139</v>
      </c>
      <c r="F836" s="80"/>
      <c r="G836" s="64">
        <f>G837</f>
        <v>36097.9</v>
      </c>
    </row>
    <row r="837" spans="1:7" ht="15.75">
      <c r="A837" s="51" t="s">
        <v>140</v>
      </c>
      <c r="B837" s="80"/>
      <c r="C837" s="80" t="s">
        <v>18</v>
      </c>
      <c r="D837" s="80" t="s">
        <v>37</v>
      </c>
      <c r="E837" s="80" t="s">
        <v>141</v>
      </c>
      <c r="F837" s="80"/>
      <c r="G837" s="64">
        <f>G838</f>
        <v>36097.9</v>
      </c>
    </row>
    <row r="838" spans="1:7" ht="31.5">
      <c r="A838" s="51" t="s">
        <v>133</v>
      </c>
      <c r="B838" s="80"/>
      <c r="C838" s="80" t="s">
        <v>18</v>
      </c>
      <c r="D838" s="80" t="s">
        <v>37</v>
      </c>
      <c r="E838" s="80" t="s">
        <v>141</v>
      </c>
      <c r="F838" s="80" t="s">
        <v>134</v>
      </c>
      <c r="G838" s="64">
        <v>36097.9</v>
      </c>
    </row>
    <row r="839" spans="1:7" ht="31.5">
      <c r="A839" s="51" t="s">
        <v>48</v>
      </c>
      <c r="B839" s="80"/>
      <c r="C839" s="80" t="s">
        <v>18</v>
      </c>
      <c r="D839" s="80" t="s">
        <v>37</v>
      </c>
      <c r="E839" s="80" t="s">
        <v>142</v>
      </c>
      <c r="F839" s="80"/>
      <c r="G839" s="64">
        <f>G840</f>
        <v>23171.499999999996</v>
      </c>
    </row>
    <row r="840" spans="1:7" ht="15.75">
      <c r="A840" s="51" t="s">
        <v>140</v>
      </c>
      <c r="B840" s="80"/>
      <c r="C840" s="80" t="s">
        <v>18</v>
      </c>
      <c r="D840" s="80" t="s">
        <v>37</v>
      </c>
      <c r="E840" s="80" t="s">
        <v>143</v>
      </c>
      <c r="F840" s="80"/>
      <c r="G840" s="64">
        <f>G841+G842+G843</f>
        <v>23171.499999999996</v>
      </c>
    </row>
    <row r="841" spans="1:7" ht="47.25">
      <c r="A841" s="51" t="s">
        <v>54</v>
      </c>
      <c r="B841" s="80"/>
      <c r="C841" s="80" t="s">
        <v>18</v>
      </c>
      <c r="D841" s="80" t="s">
        <v>37</v>
      </c>
      <c r="E841" s="80" t="s">
        <v>143</v>
      </c>
      <c r="F841" s="80" t="s">
        <v>98</v>
      </c>
      <c r="G841" s="64">
        <v>19412.3</v>
      </c>
    </row>
    <row r="842" spans="1:7" ht="31.5">
      <c r="A842" s="51" t="s">
        <v>55</v>
      </c>
      <c r="B842" s="80"/>
      <c r="C842" s="80" t="s">
        <v>18</v>
      </c>
      <c r="D842" s="80" t="s">
        <v>37</v>
      </c>
      <c r="E842" s="80" t="s">
        <v>143</v>
      </c>
      <c r="F842" s="80" t="s">
        <v>100</v>
      </c>
      <c r="G842" s="54">
        <v>3355.6</v>
      </c>
    </row>
    <row r="843" spans="1:7" ht="15.75">
      <c r="A843" s="51" t="s">
        <v>25</v>
      </c>
      <c r="B843" s="80"/>
      <c r="C843" s="80" t="s">
        <v>18</v>
      </c>
      <c r="D843" s="80" t="s">
        <v>37</v>
      </c>
      <c r="E843" s="80" t="s">
        <v>143</v>
      </c>
      <c r="F843" s="80" t="s">
        <v>105</v>
      </c>
      <c r="G843" s="64">
        <v>403.6</v>
      </c>
    </row>
    <row r="844" spans="1:7" ht="15.75">
      <c r="A844" s="51" t="s">
        <v>145</v>
      </c>
      <c r="B844" s="80"/>
      <c r="C844" s="80" t="s">
        <v>18</v>
      </c>
      <c r="D844" s="80" t="s">
        <v>37</v>
      </c>
      <c r="E844" s="80" t="s">
        <v>146</v>
      </c>
      <c r="F844" s="80"/>
      <c r="G844" s="64">
        <f>G845</f>
        <v>42055.49999999999</v>
      </c>
    </row>
    <row r="845" spans="1:7" ht="31.5">
      <c r="A845" s="51" t="s">
        <v>48</v>
      </c>
      <c r="B845" s="80"/>
      <c r="C845" s="80" t="s">
        <v>18</v>
      </c>
      <c r="D845" s="80" t="s">
        <v>37</v>
      </c>
      <c r="E845" s="80" t="s">
        <v>147</v>
      </c>
      <c r="F845" s="80"/>
      <c r="G845" s="64">
        <f>G846</f>
        <v>42055.49999999999</v>
      </c>
    </row>
    <row r="846" spans="1:7" ht="15.75">
      <c r="A846" s="51" t="s">
        <v>148</v>
      </c>
      <c r="B846" s="80"/>
      <c r="C846" s="80" t="s">
        <v>18</v>
      </c>
      <c r="D846" s="80" t="s">
        <v>37</v>
      </c>
      <c r="E846" s="80" t="s">
        <v>149</v>
      </c>
      <c r="F846" s="80"/>
      <c r="G846" s="64">
        <f>G847+G848+G849</f>
        <v>42055.49999999999</v>
      </c>
    </row>
    <row r="847" spans="1:7" ht="47.25">
      <c r="A847" s="51" t="s">
        <v>54</v>
      </c>
      <c r="B847" s="80"/>
      <c r="C847" s="80" t="s">
        <v>18</v>
      </c>
      <c r="D847" s="80" t="s">
        <v>37</v>
      </c>
      <c r="E847" s="80" t="s">
        <v>149</v>
      </c>
      <c r="F847" s="80" t="s">
        <v>98</v>
      </c>
      <c r="G847" s="64">
        <v>35972.2</v>
      </c>
    </row>
    <row r="848" spans="1:7" ht="31.5">
      <c r="A848" s="51" t="s">
        <v>55</v>
      </c>
      <c r="B848" s="80"/>
      <c r="C848" s="80" t="s">
        <v>18</v>
      </c>
      <c r="D848" s="80" t="s">
        <v>37</v>
      </c>
      <c r="E848" s="80" t="s">
        <v>149</v>
      </c>
      <c r="F848" s="80" t="s">
        <v>100</v>
      </c>
      <c r="G848" s="54">
        <v>5555.1</v>
      </c>
    </row>
    <row r="849" spans="1:7" ht="15.75">
      <c r="A849" s="51" t="s">
        <v>25</v>
      </c>
      <c r="B849" s="80"/>
      <c r="C849" s="80" t="s">
        <v>18</v>
      </c>
      <c r="D849" s="80" t="s">
        <v>37</v>
      </c>
      <c r="E849" s="80" t="s">
        <v>149</v>
      </c>
      <c r="F849" s="80" t="s">
        <v>105</v>
      </c>
      <c r="G849" s="64">
        <v>528.2</v>
      </c>
    </row>
    <row r="850" spans="1:7" ht="15.75">
      <c r="A850" s="51" t="s">
        <v>150</v>
      </c>
      <c r="B850" s="80"/>
      <c r="C850" s="80" t="s">
        <v>18</v>
      </c>
      <c r="D850" s="80" t="s">
        <v>37</v>
      </c>
      <c r="E850" s="80" t="s">
        <v>151</v>
      </c>
      <c r="F850" s="80"/>
      <c r="G850" s="64">
        <f>G851</f>
        <v>7857.7</v>
      </c>
    </row>
    <row r="851" spans="1:7" ht="47.25">
      <c r="A851" s="51" t="s">
        <v>29</v>
      </c>
      <c r="B851" s="80"/>
      <c r="C851" s="80" t="s">
        <v>18</v>
      </c>
      <c r="D851" s="80" t="s">
        <v>37</v>
      </c>
      <c r="E851" s="80" t="s">
        <v>152</v>
      </c>
      <c r="F851" s="80"/>
      <c r="G851" s="64">
        <f>G852</f>
        <v>7857.7</v>
      </c>
    </row>
    <row r="852" spans="1:7" ht="15.75">
      <c r="A852" s="51" t="s">
        <v>153</v>
      </c>
      <c r="B852" s="80"/>
      <c r="C852" s="80" t="s">
        <v>18</v>
      </c>
      <c r="D852" s="80" t="s">
        <v>37</v>
      </c>
      <c r="E852" s="80" t="s">
        <v>154</v>
      </c>
      <c r="F852" s="80"/>
      <c r="G852" s="64">
        <f>G853</f>
        <v>7857.7</v>
      </c>
    </row>
    <row r="853" spans="1:7" ht="31.5">
      <c r="A853" s="51" t="s">
        <v>133</v>
      </c>
      <c r="B853" s="80"/>
      <c r="C853" s="80" t="s">
        <v>18</v>
      </c>
      <c r="D853" s="80" t="s">
        <v>37</v>
      </c>
      <c r="E853" s="80" t="s">
        <v>154</v>
      </c>
      <c r="F853" s="80" t="s">
        <v>134</v>
      </c>
      <c r="G853" s="64">
        <v>7857.7</v>
      </c>
    </row>
    <row r="854" spans="1:7" ht="15.75">
      <c r="A854" s="101" t="s">
        <v>155</v>
      </c>
      <c r="B854" s="135"/>
      <c r="C854" s="57" t="s">
        <v>18</v>
      </c>
      <c r="D854" s="57" t="s">
        <v>16</v>
      </c>
      <c r="E854" s="57"/>
      <c r="F854" s="78"/>
      <c r="G854" s="60">
        <f>G855</f>
        <v>12896</v>
      </c>
    </row>
    <row r="855" spans="1:7" ht="15.75">
      <c r="A855" s="77" t="s">
        <v>126</v>
      </c>
      <c r="B855" s="135"/>
      <c r="C855" s="57" t="s">
        <v>18</v>
      </c>
      <c r="D855" s="57" t="s">
        <v>16</v>
      </c>
      <c r="E855" s="57" t="s">
        <v>127</v>
      </c>
      <c r="F855" s="78"/>
      <c r="G855" s="60">
        <f>G856+G864+G869+G897</f>
        <v>12896</v>
      </c>
    </row>
    <row r="856" spans="1:7" ht="31.5">
      <c r="A856" s="77" t="s">
        <v>163</v>
      </c>
      <c r="B856" s="135"/>
      <c r="C856" s="57" t="s">
        <v>18</v>
      </c>
      <c r="D856" s="57" t="s">
        <v>16</v>
      </c>
      <c r="E856" s="57" t="s">
        <v>164</v>
      </c>
      <c r="F856" s="78"/>
      <c r="G856" s="60">
        <f>G857+G861</f>
        <v>1188.7</v>
      </c>
    </row>
    <row r="857" spans="1:7" ht="15.75">
      <c r="A857" s="77" t="s">
        <v>165</v>
      </c>
      <c r="B857" s="135"/>
      <c r="C857" s="57" t="s">
        <v>18</v>
      </c>
      <c r="D857" s="57" t="s">
        <v>16</v>
      </c>
      <c r="E857" s="57" t="s">
        <v>166</v>
      </c>
      <c r="F857" s="78"/>
      <c r="G857" s="60">
        <f>G858</f>
        <v>791.1</v>
      </c>
    </row>
    <row r="858" spans="1:7" ht="15.75">
      <c r="A858" s="77" t="s">
        <v>153</v>
      </c>
      <c r="B858" s="135"/>
      <c r="C858" s="57" t="s">
        <v>18</v>
      </c>
      <c r="D858" s="57" t="s">
        <v>16</v>
      </c>
      <c r="E858" s="57" t="s">
        <v>657</v>
      </c>
      <c r="F858" s="78"/>
      <c r="G858" s="60">
        <f>G859</f>
        <v>791.1</v>
      </c>
    </row>
    <row r="859" spans="1:7" ht="15.75">
      <c r="A859" s="77" t="s">
        <v>459</v>
      </c>
      <c r="B859" s="135"/>
      <c r="C859" s="57" t="s">
        <v>18</v>
      </c>
      <c r="D859" s="57" t="s">
        <v>16</v>
      </c>
      <c r="E859" s="57" t="s">
        <v>658</v>
      </c>
      <c r="F859" s="78"/>
      <c r="G859" s="60">
        <f>G860</f>
        <v>791.1</v>
      </c>
    </row>
    <row r="860" spans="1:7" ht="31.5">
      <c r="A860" s="77" t="s">
        <v>75</v>
      </c>
      <c r="B860" s="135"/>
      <c r="C860" s="57" t="s">
        <v>18</v>
      </c>
      <c r="D860" s="57" t="s">
        <v>16</v>
      </c>
      <c r="E860" s="57" t="s">
        <v>658</v>
      </c>
      <c r="F860" s="78" t="s">
        <v>134</v>
      </c>
      <c r="G860" s="60">
        <v>791.1</v>
      </c>
    </row>
    <row r="861" spans="1:7" ht="15.75">
      <c r="A861" s="77" t="s">
        <v>38</v>
      </c>
      <c r="B861" s="135"/>
      <c r="C861" s="57" t="s">
        <v>18</v>
      </c>
      <c r="D861" s="57" t="s">
        <v>16</v>
      </c>
      <c r="E861" s="57" t="s">
        <v>659</v>
      </c>
      <c r="F861" s="78"/>
      <c r="G861" s="60">
        <f>G862</f>
        <v>397.6</v>
      </c>
    </row>
    <row r="862" spans="1:7" ht="15.75">
      <c r="A862" s="77" t="s">
        <v>140</v>
      </c>
      <c r="B862" s="135"/>
      <c r="C862" s="57" t="s">
        <v>18</v>
      </c>
      <c r="D862" s="57" t="s">
        <v>16</v>
      </c>
      <c r="E862" s="57" t="s">
        <v>660</v>
      </c>
      <c r="F862" s="78"/>
      <c r="G862" s="60">
        <f>G863</f>
        <v>397.6</v>
      </c>
    </row>
    <row r="863" spans="1:7" ht="31.5">
      <c r="A863" s="77" t="s">
        <v>55</v>
      </c>
      <c r="B863" s="135"/>
      <c r="C863" s="57" t="s">
        <v>18</v>
      </c>
      <c r="D863" s="57" t="s">
        <v>16</v>
      </c>
      <c r="E863" s="57" t="s">
        <v>660</v>
      </c>
      <c r="F863" s="78" t="s">
        <v>100</v>
      </c>
      <c r="G863" s="60">
        <v>397.6</v>
      </c>
    </row>
    <row r="864" spans="1:7" ht="15.75">
      <c r="A864" s="77" t="s">
        <v>168</v>
      </c>
      <c r="B864" s="135"/>
      <c r="C864" s="57" t="s">
        <v>18</v>
      </c>
      <c r="D864" s="57" t="s">
        <v>16</v>
      </c>
      <c r="E864" s="57" t="s">
        <v>169</v>
      </c>
      <c r="F864" s="78"/>
      <c r="G864" s="60">
        <f>G865</f>
        <v>1496.8</v>
      </c>
    </row>
    <row r="865" spans="1:7" ht="15.75">
      <c r="A865" s="77" t="s">
        <v>38</v>
      </c>
      <c r="B865" s="135"/>
      <c r="C865" s="57" t="s">
        <v>18</v>
      </c>
      <c r="D865" s="57" t="s">
        <v>16</v>
      </c>
      <c r="E865" s="57" t="s">
        <v>661</v>
      </c>
      <c r="F865" s="78"/>
      <c r="G865" s="60">
        <f>G866</f>
        <v>1496.8</v>
      </c>
    </row>
    <row r="866" spans="1:7" ht="15.75">
      <c r="A866" s="77" t="s">
        <v>167</v>
      </c>
      <c r="B866" s="135"/>
      <c r="C866" s="57" t="s">
        <v>18</v>
      </c>
      <c r="D866" s="57" t="s">
        <v>16</v>
      </c>
      <c r="E866" s="57" t="s">
        <v>662</v>
      </c>
      <c r="F866" s="78"/>
      <c r="G866" s="60">
        <f>G867+G868</f>
        <v>1496.8</v>
      </c>
    </row>
    <row r="867" spans="1:7" ht="63">
      <c r="A867" s="77" t="s">
        <v>144</v>
      </c>
      <c r="B867" s="135"/>
      <c r="C867" s="57" t="s">
        <v>18</v>
      </c>
      <c r="D867" s="57" t="s">
        <v>16</v>
      </c>
      <c r="E867" s="57" t="s">
        <v>662</v>
      </c>
      <c r="F867" s="78" t="s">
        <v>98</v>
      </c>
      <c r="G867" s="60">
        <v>916.8</v>
      </c>
    </row>
    <row r="868" spans="1:7" ht="31.5">
      <c r="A868" s="77" t="s">
        <v>55</v>
      </c>
      <c r="B868" s="135"/>
      <c r="C868" s="57" t="s">
        <v>18</v>
      </c>
      <c r="D868" s="57" t="s">
        <v>16</v>
      </c>
      <c r="E868" s="57" t="s">
        <v>662</v>
      </c>
      <c r="F868" s="78" t="s">
        <v>100</v>
      </c>
      <c r="G868" s="60">
        <v>580</v>
      </c>
    </row>
    <row r="869" spans="1:7" ht="31.5">
      <c r="A869" s="77" t="s">
        <v>170</v>
      </c>
      <c r="B869" s="135"/>
      <c r="C869" s="57" t="s">
        <v>18</v>
      </c>
      <c r="D869" s="57" t="s">
        <v>16</v>
      </c>
      <c r="E869" s="57" t="s">
        <v>171</v>
      </c>
      <c r="F869" s="78"/>
      <c r="G869" s="60">
        <f>G870+G878</f>
        <v>2684.2</v>
      </c>
    </row>
    <row r="870" spans="1:7" ht="15.75">
      <c r="A870" s="77" t="s">
        <v>38</v>
      </c>
      <c r="B870" s="135"/>
      <c r="C870" s="57" t="s">
        <v>18</v>
      </c>
      <c r="D870" s="57" t="s">
        <v>16</v>
      </c>
      <c r="E870" s="57" t="s">
        <v>663</v>
      </c>
      <c r="F870" s="78"/>
      <c r="G870" s="60">
        <f>G871</f>
        <v>969.7</v>
      </c>
    </row>
    <row r="871" spans="1:7" ht="15.75">
      <c r="A871" s="77" t="s">
        <v>167</v>
      </c>
      <c r="B871" s="135"/>
      <c r="C871" s="57" t="s">
        <v>18</v>
      </c>
      <c r="D871" s="57" t="s">
        <v>16</v>
      </c>
      <c r="E871" s="57" t="s">
        <v>664</v>
      </c>
      <c r="F871" s="78"/>
      <c r="G871" s="60">
        <f>G872+G874+G876</f>
        <v>969.7</v>
      </c>
    </row>
    <row r="872" spans="1:7" ht="15.75">
      <c r="A872" s="77" t="s">
        <v>140</v>
      </c>
      <c r="B872" s="135"/>
      <c r="C872" s="57" t="s">
        <v>18</v>
      </c>
      <c r="D872" s="57" t="s">
        <v>16</v>
      </c>
      <c r="E872" s="57" t="s">
        <v>665</v>
      </c>
      <c r="F872" s="78"/>
      <c r="G872" s="60">
        <f>G873</f>
        <v>640.4</v>
      </c>
    </row>
    <row r="873" spans="1:7" ht="31.5">
      <c r="A873" s="77" t="s">
        <v>55</v>
      </c>
      <c r="B873" s="135"/>
      <c r="C873" s="57" t="s">
        <v>18</v>
      </c>
      <c r="D873" s="57" t="s">
        <v>16</v>
      </c>
      <c r="E873" s="57" t="s">
        <v>665</v>
      </c>
      <c r="F873" s="78" t="s">
        <v>100</v>
      </c>
      <c r="G873" s="60">
        <v>640.4</v>
      </c>
    </row>
    <row r="874" spans="1:7" ht="15.75">
      <c r="A874" s="77" t="s">
        <v>148</v>
      </c>
      <c r="B874" s="135"/>
      <c r="C874" s="57" t="s">
        <v>18</v>
      </c>
      <c r="D874" s="57" t="s">
        <v>16</v>
      </c>
      <c r="E874" s="57" t="s">
        <v>666</v>
      </c>
      <c r="F874" s="78"/>
      <c r="G874" s="60">
        <f>G875</f>
        <v>251.3</v>
      </c>
    </row>
    <row r="875" spans="1:7" ht="31.5">
      <c r="A875" s="77" t="s">
        <v>55</v>
      </c>
      <c r="B875" s="135"/>
      <c r="C875" s="57" t="s">
        <v>18</v>
      </c>
      <c r="D875" s="57" t="s">
        <v>16</v>
      </c>
      <c r="E875" s="57" t="s">
        <v>666</v>
      </c>
      <c r="F875" s="78" t="s">
        <v>100</v>
      </c>
      <c r="G875" s="60">
        <v>251.3</v>
      </c>
    </row>
    <row r="876" spans="1:7" ht="15.75">
      <c r="A876" s="101" t="s">
        <v>161</v>
      </c>
      <c r="B876" s="135"/>
      <c r="C876" s="57" t="s">
        <v>18</v>
      </c>
      <c r="D876" s="57" t="s">
        <v>16</v>
      </c>
      <c r="E876" s="57" t="s">
        <v>667</v>
      </c>
      <c r="F876" s="78"/>
      <c r="G876" s="60">
        <f>G877</f>
        <v>78</v>
      </c>
    </row>
    <row r="877" spans="1:7" ht="31.5">
      <c r="A877" s="77" t="s">
        <v>55</v>
      </c>
      <c r="B877" s="135"/>
      <c r="C877" s="57" t="s">
        <v>18</v>
      </c>
      <c r="D877" s="57" t="s">
        <v>16</v>
      </c>
      <c r="E877" s="57" t="s">
        <v>667</v>
      </c>
      <c r="F877" s="78" t="s">
        <v>100</v>
      </c>
      <c r="G877" s="60">
        <v>78</v>
      </c>
    </row>
    <row r="878" spans="1:7" ht="15.75">
      <c r="A878" s="77" t="s">
        <v>165</v>
      </c>
      <c r="B878" s="135"/>
      <c r="C878" s="57" t="s">
        <v>18</v>
      </c>
      <c r="D878" s="57" t="s">
        <v>16</v>
      </c>
      <c r="E878" s="57" t="s">
        <v>172</v>
      </c>
      <c r="F878" s="78"/>
      <c r="G878" s="60">
        <f>G879+G882+G892+G887</f>
        <v>1714.5</v>
      </c>
    </row>
    <row r="879" spans="1:7" ht="31.5">
      <c r="A879" s="77" t="s">
        <v>173</v>
      </c>
      <c r="B879" s="135"/>
      <c r="C879" s="57" t="s">
        <v>18</v>
      </c>
      <c r="D879" s="57" t="s">
        <v>16</v>
      </c>
      <c r="E879" s="57" t="s">
        <v>174</v>
      </c>
      <c r="F879" s="78"/>
      <c r="G879" s="60">
        <f>G880</f>
        <v>1420.9</v>
      </c>
    </row>
    <row r="880" spans="1:7" ht="15.75">
      <c r="A880" s="77" t="s">
        <v>140</v>
      </c>
      <c r="B880" s="135"/>
      <c r="C880" s="57" t="s">
        <v>18</v>
      </c>
      <c r="D880" s="57" t="s">
        <v>16</v>
      </c>
      <c r="E880" s="57" t="s">
        <v>668</v>
      </c>
      <c r="F880" s="78"/>
      <c r="G880" s="60">
        <f>G881</f>
        <v>1420.9</v>
      </c>
    </row>
    <row r="881" spans="1:7" ht="31.5">
      <c r="A881" s="77" t="s">
        <v>133</v>
      </c>
      <c r="B881" s="135"/>
      <c r="C881" s="57" t="s">
        <v>18</v>
      </c>
      <c r="D881" s="57" t="s">
        <v>16</v>
      </c>
      <c r="E881" s="57" t="s">
        <v>668</v>
      </c>
      <c r="F881" s="78" t="s">
        <v>134</v>
      </c>
      <c r="G881" s="60">
        <v>1420.9</v>
      </c>
    </row>
    <row r="882" spans="1:7" ht="15.75">
      <c r="A882" s="77" t="s">
        <v>669</v>
      </c>
      <c r="B882" s="135"/>
      <c r="C882" s="57" t="s">
        <v>18</v>
      </c>
      <c r="D882" s="57" t="s">
        <v>16</v>
      </c>
      <c r="E882" s="57" t="s">
        <v>670</v>
      </c>
      <c r="F882" s="78"/>
      <c r="G882" s="60">
        <f>G883+G885</f>
        <v>171.3</v>
      </c>
    </row>
    <row r="883" spans="1:7" ht="15.75">
      <c r="A883" s="79" t="s">
        <v>131</v>
      </c>
      <c r="B883" s="135"/>
      <c r="C883" s="57" t="s">
        <v>18</v>
      </c>
      <c r="D883" s="57" t="s">
        <v>16</v>
      </c>
      <c r="E883" s="57" t="s">
        <v>671</v>
      </c>
      <c r="F883" s="78"/>
      <c r="G883" s="60">
        <f>G884</f>
        <v>146.3</v>
      </c>
    </row>
    <row r="884" spans="1:7" ht="31.5">
      <c r="A884" s="77" t="s">
        <v>133</v>
      </c>
      <c r="B884" s="135"/>
      <c r="C884" s="57" t="s">
        <v>18</v>
      </c>
      <c r="D884" s="57" t="s">
        <v>16</v>
      </c>
      <c r="E884" s="57" t="s">
        <v>671</v>
      </c>
      <c r="F884" s="78" t="s">
        <v>134</v>
      </c>
      <c r="G884" s="60">
        <v>146.3</v>
      </c>
    </row>
    <row r="885" spans="1:7" ht="15.75">
      <c r="A885" s="51" t="s">
        <v>140</v>
      </c>
      <c r="B885" s="136"/>
      <c r="C885" s="80" t="s">
        <v>18</v>
      </c>
      <c r="D885" s="80" t="s">
        <v>16</v>
      </c>
      <c r="E885" s="80" t="s">
        <v>700</v>
      </c>
      <c r="F885" s="75"/>
      <c r="G885" s="64">
        <f>G886</f>
        <v>25</v>
      </c>
    </row>
    <row r="886" spans="1:7" ht="31.5">
      <c r="A886" s="51" t="s">
        <v>133</v>
      </c>
      <c r="B886" s="136"/>
      <c r="C886" s="80" t="s">
        <v>18</v>
      </c>
      <c r="D886" s="80" t="s">
        <v>16</v>
      </c>
      <c r="E886" s="80" t="s">
        <v>700</v>
      </c>
      <c r="F886" s="75" t="s">
        <v>134</v>
      </c>
      <c r="G886" s="64">
        <v>25</v>
      </c>
    </row>
    <row r="887" spans="1:7" ht="31.5">
      <c r="A887" s="51" t="s">
        <v>334</v>
      </c>
      <c r="B887" s="136"/>
      <c r="C887" s="80" t="s">
        <v>18</v>
      </c>
      <c r="D887" s="80" t="s">
        <v>16</v>
      </c>
      <c r="E887" s="80" t="s">
        <v>701</v>
      </c>
      <c r="F887" s="75"/>
      <c r="G887" s="64">
        <f>G888+G890</f>
        <v>28.2</v>
      </c>
    </row>
    <row r="888" spans="1:7" ht="15.75">
      <c r="A888" s="81" t="s">
        <v>131</v>
      </c>
      <c r="B888" s="136"/>
      <c r="C888" s="80" t="s">
        <v>18</v>
      </c>
      <c r="D888" s="80" t="s">
        <v>16</v>
      </c>
      <c r="E888" s="80" t="s">
        <v>702</v>
      </c>
      <c r="F888" s="75"/>
      <c r="G888" s="64">
        <f>G889</f>
        <v>14</v>
      </c>
    </row>
    <row r="889" spans="1:7" ht="31.5">
      <c r="A889" s="51" t="s">
        <v>133</v>
      </c>
      <c r="B889" s="136"/>
      <c r="C889" s="80" t="s">
        <v>18</v>
      </c>
      <c r="D889" s="80" t="s">
        <v>16</v>
      </c>
      <c r="E889" s="80" t="s">
        <v>702</v>
      </c>
      <c r="F889" s="75" t="s">
        <v>134</v>
      </c>
      <c r="G889" s="64">
        <v>14</v>
      </c>
    </row>
    <row r="890" spans="1:7" ht="15.75">
      <c r="A890" s="51" t="s">
        <v>140</v>
      </c>
      <c r="B890" s="136"/>
      <c r="C890" s="80" t="s">
        <v>18</v>
      </c>
      <c r="D890" s="80" t="s">
        <v>16</v>
      </c>
      <c r="E890" s="80" t="s">
        <v>703</v>
      </c>
      <c r="F890" s="75"/>
      <c r="G890" s="64">
        <f>G891</f>
        <v>14.2</v>
      </c>
    </row>
    <row r="891" spans="1:7" ht="31.5">
      <c r="A891" s="51" t="s">
        <v>133</v>
      </c>
      <c r="B891" s="136"/>
      <c r="C891" s="80" t="s">
        <v>18</v>
      </c>
      <c r="D891" s="80" t="s">
        <v>16</v>
      </c>
      <c r="E891" s="80" t="s">
        <v>703</v>
      </c>
      <c r="F891" s="75" t="s">
        <v>134</v>
      </c>
      <c r="G891" s="64">
        <v>14.2</v>
      </c>
    </row>
    <row r="892" spans="1:7" ht="15.75">
      <c r="A892" s="77" t="s">
        <v>459</v>
      </c>
      <c r="B892" s="135"/>
      <c r="C892" s="57" t="s">
        <v>18</v>
      </c>
      <c r="D892" s="57" t="s">
        <v>16</v>
      </c>
      <c r="E892" s="57" t="s">
        <v>672</v>
      </c>
      <c r="F892" s="78"/>
      <c r="G892" s="60">
        <f>G893+G895</f>
        <v>94.1</v>
      </c>
    </row>
    <row r="893" spans="1:7" ht="15.75">
      <c r="A893" s="79" t="s">
        <v>131</v>
      </c>
      <c r="B893" s="135"/>
      <c r="C893" s="57" t="s">
        <v>18</v>
      </c>
      <c r="D893" s="57" t="s">
        <v>16</v>
      </c>
      <c r="E893" s="57" t="s">
        <v>673</v>
      </c>
      <c r="F893" s="78"/>
      <c r="G893" s="60">
        <f>G894</f>
        <v>75.6</v>
      </c>
    </row>
    <row r="894" spans="1:7" ht="31.5">
      <c r="A894" s="77" t="s">
        <v>133</v>
      </c>
      <c r="B894" s="135"/>
      <c r="C894" s="57" t="s">
        <v>18</v>
      </c>
      <c r="D894" s="57" t="s">
        <v>16</v>
      </c>
      <c r="E894" s="57" t="s">
        <v>673</v>
      </c>
      <c r="F894" s="78" t="s">
        <v>134</v>
      </c>
      <c r="G894" s="60">
        <v>75.6</v>
      </c>
    </row>
    <row r="895" spans="1:7" ht="15.75">
      <c r="A895" s="77" t="s">
        <v>153</v>
      </c>
      <c r="B895" s="135"/>
      <c r="C895" s="57" t="s">
        <v>18</v>
      </c>
      <c r="D895" s="57" t="s">
        <v>16</v>
      </c>
      <c r="E895" s="57" t="s">
        <v>674</v>
      </c>
      <c r="F895" s="78"/>
      <c r="G895" s="60">
        <f>G896</f>
        <v>18.5</v>
      </c>
    </row>
    <row r="896" spans="1:7" ht="31.5">
      <c r="A896" s="77" t="s">
        <v>133</v>
      </c>
      <c r="B896" s="135"/>
      <c r="C896" s="57" t="s">
        <v>18</v>
      </c>
      <c r="D896" s="57" t="s">
        <v>16</v>
      </c>
      <c r="E896" s="57" t="s">
        <v>674</v>
      </c>
      <c r="F896" s="78" t="s">
        <v>134</v>
      </c>
      <c r="G896" s="60">
        <v>18.5</v>
      </c>
    </row>
    <row r="897" spans="1:7" ht="31.5">
      <c r="A897" s="101" t="s">
        <v>158</v>
      </c>
      <c r="B897" s="135"/>
      <c r="C897" s="57" t="s">
        <v>18</v>
      </c>
      <c r="D897" s="57" t="s">
        <v>16</v>
      </c>
      <c r="E897" s="57" t="s">
        <v>159</v>
      </c>
      <c r="F897" s="78"/>
      <c r="G897" s="60">
        <f>G898</f>
        <v>7526.3</v>
      </c>
    </row>
    <row r="898" spans="1:7" ht="31.5">
      <c r="A898" s="77" t="s">
        <v>48</v>
      </c>
      <c r="B898" s="135"/>
      <c r="C898" s="57" t="s">
        <v>18</v>
      </c>
      <c r="D898" s="57" t="s">
        <v>16</v>
      </c>
      <c r="E898" s="57" t="s">
        <v>160</v>
      </c>
      <c r="F898" s="78"/>
      <c r="G898" s="60">
        <f>G899</f>
        <v>7526.3</v>
      </c>
    </row>
    <row r="899" spans="1:7" ht="15.75">
      <c r="A899" s="101" t="s">
        <v>161</v>
      </c>
      <c r="B899" s="135"/>
      <c r="C899" s="57" t="s">
        <v>18</v>
      </c>
      <c r="D899" s="57" t="s">
        <v>16</v>
      </c>
      <c r="E899" s="57" t="s">
        <v>162</v>
      </c>
      <c r="F899" s="78"/>
      <c r="G899" s="60">
        <f>G900+G901+G902</f>
        <v>7526.3</v>
      </c>
    </row>
    <row r="900" spans="1:7" ht="63">
      <c r="A900" s="77" t="s">
        <v>144</v>
      </c>
      <c r="B900" s="135"/>
      <c r="C900" s="57" t="s">
        <v>18</v>
      </c>
      <c r="D900" s="57" t="s">
        <v>16</v>
      </c>
      <c r="E900" s="57" t="s">
        <v>162</v>
      </c>
      <c r="F900" s="78" t="s">
        <v>98</v>
      </c>
      <c r="G900" s="60">
        <v>6861.3</v>
      </c>
    </row>
    <row r="901" spans="1:7" ht="31.5">
      <c r="A901" s="77" t="s">
        <v>55</v>
      </c>
      <c r="B901" s="135"/>
      <c r="C901" s="57" t="s">
        <v>18</v>
      </c>
      <c r="D901" s="57" t="s">
        <v>16</v>
      </c>
      <c r="E901" s="57" t="s">
        <v>162</v>
      </c>
      <c r="F901" s="78" t="s">
        <v>100</v>
      </c>
      <c r="G901" s="60">
        <v>660.9</v>
      </c>
    </row>
    <row r="902" spans="1:7" ht="15.75">
      <c r="A902" s="77" t="s">
        <v>25</v>
      </c>
      <c r="B902" s="135"/>
      <c r="C902" s="57" t="s">
        <v>18</v>
      </c>
      <c r="D902" s="57" t="s">
        <v>16</v>
      </c>
      <c r="E902" s="57" t="s">
        <v>162</v>
      </c>
      <c r="F902" s="78" t="s">
        <v>105</v>
      </c>
      <c r="G902" s="60">
        <v>4.1</v>
      </c>
    </row>
    <row r="903" spans="1:7" ht="21" customHeight="1">
      <c r="A903" s="51" t="s">
        <v>33</v>
      </c>
      <c r="B903" s="53"/>
      <c r="C903" s="53" t="s">
        <v>34</v>
      </c>
      <c r="D903" s="53" t="s">
        <v>35</v>
      </c>
      <c r="E903" s="52"/>
      <c r="F903" s="52"/>
      <c r="G903" s="54">
        <f>SUM(G904+G911)</f>
        <v>343.9</v>
      </c>
    </row>
    <row r="904" spans="1:7" ht="21" customHeight="1">
      <c r="A904" s="51" t="s">
        <v>56</v>
      </c>
      <c r="B904" s="80"/>
      <c r="C904" s="80" t="s">
        <v>34</v>
      </c>
      <c r="D904" s="80" t="s">
        <v>57</v>
      </c>
      <c r="E904" s="85"/>
      <c r="F904" s="80"/>
      <c r="G904" s="64">
        <f>G905</f>
        <v>343.9</v>
      </c>
    </row>
    <row r="905" spans="1:7" ht="31.5">
      <c r="A905" s="102" t="s">
        <v>553</v>
      </c>
      <c r="B905" s="137"/>
      <c r="C905" s="138" t="s">
        <v>34</v>
      </c>
      <c r="D905" s="138" t="s">
        <v>57</v>
      </c>
      <c r="E905" s="138" t="s">
        <v>539</v>
      </c>
      <c r="F905" s="139"/>
      <c r="G905" s="140">
        <f>G906</f>
        <v>343.9</v>
      </c>
    </row>
    <row r="906" spans="1:7" ht="31.5">
      <c r="A906" s="102" t="s">
        <v>562</v>
      </c>
      <c r="B906" s="137"/>
      <c r="C906" s="138" t="s">
        <v>34</v>
      </c>
      <c r="D906" s="138" t="s">
        <v>57</v>
      </c>
      <c r="E906" s="138" t="s">
        <v>563</v>
      </c>
      <c r="F906" s="139"/>
      <c r="G906" s="140">
        <f>G907</f>
        <v>343.9</v>
      </c>
    </row>
    <row r="907" spans="1:7" ht="78.75">
      <c r="A907" s="102" t="s">
        <v>316</v>
      </c>
      <c r="B907" s="137"/>
      <c r="C907" s="138" t="s">
        <v>34</v>
      </c>
      <c r="D907" s="138" t="s">
        <v>57</v>
      </c>
      <c r="E907" s="138" t="s">
        <v>564</v>
      </c>
      <c r="F907" s="139"/>
      <c r="G907" s="140">
        <f>G908</f>
        <v>343.9</v>
      </c>
    </row>
    <row r="908" spans="1:7" ht="47.25">
      <c r="A908" s="102" t="s">
        <v>587</v>
      </c>
      <c r="B908" s="137"/>
      <c r="C908" s="138" t="s">
        <v>34</v>
      </c>
      <c r="D908" s="138" t="s">
        <v>57</v>
      </c>
      <c r="E908" s="138" t="s">
        <v>588</v>
      </c>
      <c r="F908" s="139"/>
      <c r="G908" s="140">
        <f>G909</f>
        <v>343.9</v>
      </c>
    </row>
    <row r="909" spans="1:7" s="141" customFormat="1" ht="15.75">
      <c r="A909" s="102" t="s">
        <v>45</v>
      </c>
      <c r="B909" s="137"/>
      <c r="C909" s="138" t="s">
        <v>34</v>
      </c>
      <c r="D909" s="138" t="s">
        <v>57</v>
      </c>
      <c r="E909" s="138" t="s">
        <v>588</v>
      </c>
      <c r="F909" s="139">
        <v>300</v>
      </c>
      <c r="G909" s="140">
        <v>343.9</v>
      </c>
    </row>
    <row r="910" spans="1:7" s="122" customFormat="1" ht="15.75">
      <c r="A910" s="142" t="s">
        <v>214</v>
      </c>
      <c r="B910" s="143"/>
      <c r="C910" s="144"/>
      <c r="D910" s="144"/>
      <c r="E910" s="144"/>
      <c r="F910" s="144"/>
      <c r="G910" s="145">
        <f>SUM(G11+G32+G52+G358+G394+G824+G574)+G639</f>
        <v>3918088.8</v>
      </c>
    </row>
    <row r="911" ht="15">
      <c r="G911" s="146"/>
    </row>
    <row r="912" ht="15" customHeight="1"/>
    <row r="913" ht="15" hidden="1">
      <c r="G913" s="146"/>
    </row>
    <row r="914" ht="15">
      <c r="G914" s="146"/>
    </row>
  </sheetData>
  <sheetProtection/>
  <mergeCells count="2">
    <mergeCell ref="A9:A10"/>
    <mergeCell ref="B9:F9"/>
  </mergeCells>
  <printOptions/>
  <pageMargins left="1.1023622047244095" right="0.11811023622047245" top="0" bottom="0" header="0" footer="0"/>
  <pageSetup fitToHeight="40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1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71.00390625" style="31" customWidth="1"/>
    <col min="2" max="2" width="21.28125" style="31" customWidth="1"/>
    <col min="3" max="3" width="12.00390625" style="31" customWidth="1"/>
    <col min="4" max="4" width="10.421875" style="31" customWidth="1"/>
    <col min="5" max="5" width="9.8515625" style="31" customWidth="1"/>
    <col min="6" max="6" width="15.7109375" style="31" customWidth="1"/>
    <col min="7" max="7" width="12.7109375" style="153" hidden="1" customWidth="1"/>
    <col min="8" max="8" width="13.57421875" style="153" hidden="1" customWidth="1"/>
    <col min="9" max="9" width="11.57421875" style="153" hidden="1" customWidth="1"/>
    <col min="10" max="10" width="12.8515625" style="153" hidden="1" customWidth="1"/>
    <col min="11" max="11" width="13.421875" style="31" hidden="1" customWidth="1"/>
    <col min="12" max="13" width="9.140625" style="31" hidden="1" customWidth="1"/>
    <col min="14" max="14" width="0" style="31" hidden="1" customWidth="1"/>
    <col min="15" max="16384" width="9.140625" style="31" customWidth="1"/>
  </cols>
  <sheetData>
    <row r="1" spans="3:5" ht="15.75">
      <c r="C1" s="32"/>
      <c r="D1" s="46" t="s">
        <v>781</v>
      </c>
      <c r="E1" s="32"/>
    </row>
    <row r="2" spans="3:5" ht="15.75">
      <c r="C2" s="33"/>
      <c r="D2" s="47" t="s">
        <v>785</v>
      </c>
      <c r="E2" s="33"/>
    </row>
    <row r="3" spans="3:5" ht="15.75">
      <c r="C3" s="33"/>
      <c r="D3" s="47" t="s">
        <v>0</v>
      </c>
      <c r="E3" s="33"/>
    </row>
    <row r="4" spans="3:5" ht="15.75">
      <c r="C4" s="33"/>
      <c r="D4" s="47" t="s">
        <v>1</v>
      </c>
      <c r="E4" s="33"/>
    </row>
    <row r="5" spans="3:5" ht="15.75">
      <c r="C5" s="34"/>
      <c r="D5" s="48" t="s">
        <v>787</v>
      </c>
      <c r="E5" s="33"/>
    </row>
    <row r="8" spans="1:6" ht="45" customHeight="1">
      <c r="A8" s="168" t="s">
        <v>647</v>
      </c>
      <c r="B8" s="168"/>
      <c r="C8" s="168"/>
      <c r="D8" s="168"/>
      <c r="E8" s="168"/>
      <c r="F8" s="168"/>
    </row>
    <row r="9" spans="1:6" ht="15.75">
      <c r="A9" s="50"/>
      <c r="B9" s="50"/>
      <c r="C9" s="50"/>
      <c r="D9" s="50"/>
      <c r="E9" s="50"/>
      <c r="F9" s="50"/>
    </row>
    <row r="10" spans="1:6" ht="47.25">
      <c r="A10" s="35" t="s">
        <v>175</v>
      </c>
      <c r="B10" s="35" t="s">
        <v>176</v>
      </c>
      <c r="C10" s="35" t="s">
        <v>177</v>
      </c>
      <c r="D10" s="35" t="s">
        <v>180</v>
      </c>
      <c r="E10" s="35" t="s">
        <v>181</v>
      </c>
      <c r="F10" s="35" t="s">
        <v>524</v>
      </c>
    </row>
    <row r="11" spans="1:10" ht="31.5">
      <c r="A11" s="51" t="s">
        <v>243</v>
      </c>
      <c r="B11" s="52" t="s">
        <v>244</v>
      </c>
      <c r="C11" s="52"/>
      <c r="D11" s="53"/>
      <c r="E11" s="53"/>
      <c r="F11" s="54">
        <f>SUM(F16)+F12</f>
        <v>761784.0000000001</v>
      </c>
      <c r="H11" s="153">
        <f>SUM(G14:G34)</f>
        <v>761784</v>
      </c>
      <c r="J11" s="154">
        <f>SUM(H11-F11)</f>
        <v>-1.1641532182693481E-10</v>
      </c>
    </row>
    <row r="12" spans="1:10" ht="47.25">
      <c r="A12" s="77" t="s">
        <v>611</v>
      </c>
      <c r="B12" s="132" t="s">
        <v>776</v>
      </c>
      <c r="C12" s="52"/>
      <c r="D12" s="164"/>
      <c r="E12" s="164"/>
      <c r="F12" s="54">
        <f>SUM(F13)</f>
        <v>4298.3</v>
      </c>
      <c r="J12" s="154"/>
    </row>
    <row r="13" spans="1:10" ht="47.25">
      <c r="A13" s="163" t="s">
        <v>778</v>
      </c>
      <c r="B13" s="132" t="s">
        <v>777</v>
      </c>
      <c r="C13" s="52"/>
      <c r="D13" s="164"/>
      <c r="E13" s="164"/>
      <c r="F13" s="54">
        <f>SUM(F14:F15)</f>
        <v>4298.3</v>
      </c>
      <c r="J13" s="154"/>
    </row>
    <row r="14" spans="1:10" ht="31.5">
      <c r="A14" s="163" t="s">
        <v>55</v>
      </c>
      <c r="B14" s="132" t="s">
        <v>777</v>
      </c>
      <c r="C14" s="52">
        <v>200</v>
      </c>
      <c r="D14" s="164" t="s">
        <v>124</v>
      </c>
      <c r="E14" s="164" t="s">
        <v>47</v>
      </c>
      <c r="F14" s="54">
        <v>2549</v>
      </c>
      <c r="G14" s="153">
        <f>SUM(Ведомственная!G686)</f>
        <v>2549</v>
      </c>
      <c r="J14" s="154"/>
    </row>
    <row r="15" spans="1:10" ht="31.5">
      <c r="A15" s="163" t="s">
        <v>75</v>
      </c>
      <c r="B15" s="132" t="s">
        <v>777</v>
      </c>
      <c r="C15" s="52">
        <v>600</v>
      </c>
      <c r="D15" s="164" t="s">
        <v>124</v>
      </c>
      <c r="E15" s="164" t="s">
        <v>47</v>
      </c>
      <c r="F15" s="54">
        <v>1749.3</v>
      </c>
      <c r="G15" s="153">
        <f>SUM(Ведомственная!G687)</f>
        <v>1749.3</v>
      </c>
      <c r="J15" s="154"/>
    </row>
    <row r="16" spans="1:10" ht="94.5">
      <c r="A16" s="55" t="s">
        <v>245</v>
      </c>
      <c r="B16" s="53" t="s">
        <v>246</v>
      </c>
      <c r="C16" s="52"/>
      <c r="D16" s="53"/>
      <c r="E16" s="53"/>
      <c r="F16" s="54">
        <f>SUM(F19)+F26+F28+F31+F23+F17</f>
        <v>757485.7000000001</v>
      </c>
      <c r="I16" s="154">
        <f aca="true" t="shared" si="0" ref="I16:I74">G16-F16</f>
        <v>-757485.7000000001</v>
      </c>
      <c r="J16" s="154"/>
    </row>
    <row r="17" spans="1:10" ht="47.25">
      <c r="A17" s="77" t="s">
        <v>638</v>
      </c>
      <c r="B17" s="56" t="s">
        <v>639</v>
      </c>
      <c r="C17" s="57"/>
      <c r="D17" s="57"/>
      <c r="E17" s="57"/>
      <c r="F17" s="58">
        <f>F18</f>
        <v>10524.4</v>
      </c>
      <c r="I17" s="154">
        <f t="shared" si="0"/>
        <v>-10524.4</v>
      </c>
      <c r="J17" s="154"/>
    </row>
    <row r="18" spans="1:10" ht="15.75">
      <c r="A18" s="77" t="s">
        <v>45</v>
      </c>
      <c r="B18" s="56" t="s">
        <v>639</v>
      </c>
      <c r="C18" s="57" t="s">
        <v>108</v>
      </c>
      <c r="D18" s="57" t="s">
        <v>34</v>
      </c>
      <c r="E18" s="57" t="s">
        <v>16</v>
      </c>
      <c r="F18" s="58">
        <v>10524.4</v>
      </c>
      <c r="G18" s="153">
        <f>SUM(Ведомственная!G813)</f>
        <v>10524.4</v>
      </c>
      <c r="I18" s="154">
        <f t="shared" si="0"/>
        <v>0</v>
      </c>
      <c r="J18" s="154"/>
    </row>
    <row r="19" spans="1:10" ht="47.25">
      <c r="A19" s="51" t="s">
        <v>83</v>
      </c>
      <c r="B19" s="53" t="s">
        <v>247</v>
      </c>
      <c r="C19" s="52"/>
      <c r="D19" s="53"/>
      <c r="E19" s="53"/>
      <c r="F19" s="54">
        <f>SUM(F20)</f>
        <v>1358.3</v>
      </c>
      <c r="I19" s="154">
        <f t="shared" si="0"/>
        <v>-1358.3</v>
      </c>
      <c r="J19" s="154"/>
    </row>
    <row r="20" spans="1:10" ht="31.5">
      <c r="A20" s="51" t="s">
        <v>248</v>
      </c>
      <c r="B20" s="53" t="s">
        <v>249</v>
      </c>
      <c r="C20" s="52"/>
      <c r="D20" s="53"/>
      <c r="E20" s="53"/>
      <c r="F20" s="54">
        <f>SUM(F21:F22)</f>
        <v>1358.3</v>
      </c>
      <c r="I20" s="154">
        <f t="shared" si="0"/>
        <v>-1358.3</v>
      </c>
      <c r="J20" s="154"/>
    </row>
    <row r="21" spans="1:10" ht="63">
      <c r="A21" s="77" t="s">
        <v>54</v>
      </c>
      <c r="B21" s="53" t="s">
        <v>249</v>
      </c>
      <c r="C21" s="53" t="s">
        <v>98</v>
      </c>
      <c r="D21" s="53" t="s">
        <v>37</v>
      </c>
      <c r="E21" s="53" t="s">
        <v>16</v>
      </c>
      <c r="F21" s="54">
        <v>1334.7</v>
      </c>
      <c r="G21" s="153">
        <f>SUM(Ведомственная!G64)</f>
        <v>1334.7</v>
      </c>
      <c r="I21" s="154">
        <f t="shared" si="0"/>
        <v>0</v>
      </c>
      <c r="J21" s="154"/>
    </row>
    <row r="22" spans="1:10" ht="31.5">
      <c r="A22" s="51" t="s">
        <v>55</v>
      </c>
      <c r="B22" s="53" t="s">
        <v>249</v>
      </c>
      <c r="C22" s="53" t="s">
        <v>100</v>
      </c>
      <c r="D22" s="53" t="s">
        <v>37</v>
      </c>
      <c r="E22" s="53" t="s">
        <v>16</v>
      </c>
      <c r="F22" s="54">
        <v>23.6</v>
      </c>
      <c r="G22" s="153">
        <f>SUM(Ведомственная!G65)</f>
        <v>23.6</v>
      </c>
      <c r="I22" s="154">
        <f t="shared" si="0"/>
        <v>0</v>
      </c>
      <c r="J22" s="154"/>
    </row>
    <row r="23" spans="1:10" ht="63">
      <c r="A23" s="77" t="s">
        <v>632</v>
      </c>
      <c r="B23" s="59" t="s">
        <v>633</v>
      </c>
      <c r="C23" s="57"/>
      <c r="D23" s="57"/>
      <c r="E23" s="57"/>
      <c r="F23" s="58">
        <f>F24+F25</f>
        <v>3936.6</v>
      </c>
      <c r="I23" s="154">
        <f t="shared" si="0"/>
        <v>-3936.6</v>
      </c>
      <c r="J23" s="154"/>
    </row>
    <row r="24" spans="1:10" ht="63">
      <c r="A24" s="77" t="s">
        <v>54</v>
      </c>
      <c r="B24" s="59" t="s">
        <v>633</v>
      </c>
      <c r="C24" s="57" t="s">
        <v>98</v>
      </c>
      <c r="D24" s="57" t="s">
        <v>124</v>
      </c>
      <c r="E24" s="57" t="s">
        <v>191</v>
      </c>
      <c r="F24" s="58">
        <v>3300</v>
      </c>
      <c r="G24" s="153">
        <f>SUM(Ведомственная!G787)</f>
        <v>3300</v>
      </c>
      <c r="I24" s="154">
        <f t="shared" si="0"/>
        <v>0</v>
      </c>
      <c r="J24" s="154"/>
    </row>
    <row r="25" spans="1:10" ht="31.5">
      <c r="A25" s="77" t="s">
        <v>55</v>
      </c>
      <c r="B25" s="59" t="s">
        <v>633</v>
      </c>
      <c r="C25" s="57" t="s">
        <v>100</v>
      </c>
      <c r="D25" s="57" t="s">
        <v>124</v>
      </c>
      <c r="E25" s="57" t="s">
        <v>191</v>
      </c>
      <c r="F25" s="58">
        <v>636.6</v>
      </c>
      <c r="G25" s="153">
        <f>SUM(Ведомственная!G788)</f>
        <v>636.6</v>
      </c>
      <c r="I25" s="154">
        <f t="shared" si="0"/>
        <v>0</v>
      </c>
      <c r="J25" s="154"/>
    </row>
    <row r="26" spans="1:10" ht="47.25">
      <c r="A26" s="77" t="s">
        <v>622</v>
      </c>
      <c r="B26" s="56" t="s">
        <v>623</v>
      </c>
      <c r="C26" s="57"/>
      <c r="D26" s="57"/>
      <c r="E26" s="57"/>
      <c r="F26" s="60">
        <f>F27</f>
        <v>7284.8</v>
      </c>
      <c r="I26" s="154">
        <f t="shared" si="0"/>
        <v>-7284.8</v>
      </c>
      <c r="J26" s="154"/>
    </row>
    <row r="27" spans="1:10" ht="31.5">
      <c r="A27" s="77" t="s">
        <v>133</v>
      </c>
      <c r="B27" s="56" t="s">
        <v>623</v>
      </c>
      <c r="C27" s="57" t="s">
        <v>134</v>
      </c>
      <c r="D27" s="57" t="s">
        <v>124</v>
      </c>
      <c r="E27" s="57" t="s">
        <v>47</v>
      </c>
      <c r="F27" s="60">
        <v>7284.8</v>
      </c>
      <c r="G27" s="153">
        <f>SUM(Ведомственная!G690)</f>
        <v>7284.8</v>
      </c>
      <c r="I27" s="154">
        <f t="shared" si="0"/>
        <v>0</v>
      </c>
      <c r="J27" s="154"/>
    </row>
    <row r="28" spans="1:10" ht="94.5">
      <c r="A28" s="77" t="s">
        <v>624</v>
      </c>
      <c r="B28" s="56" t="s">
        <v>625</v>
      </c>
      <c r="C28" s="57"/>
      <c r="D28" s="57"/>
      <c r="E28" s="57"/>
      <c r="F28" s="60">
        <f>F29+F30</f>
        <v>47568.9</v>
      </c>
      <c r="I28" s="154">
        <f t="shared" si="0"/>
        <v>-47568.9</v>
      </c>
      <c r="J28" s="154"/>
    </row>
    <row r="29" spans="1:10" ht="63">
      <c r="A29" s="51" t="s">
        <v>54</v>
      </c>
      <c r="B29" s="56" t="s">
        <v>625</v>
      </c>
      <c r="C29" s="57" t="s">
        <v>98</v>
      </c>
      <c r="D29" s="57" t="s">
        <v>124</v>
      </c>
      <c r="E29" s="57" t="s">
        <v>47</v>
      </c>
      <c r="F29" s="60">
        <v>43729.4</v>
      </c>
      <c r="G29" s="153">
        <f>SUM(Ведомственная!G692)</f>
        <v>43729.4</v>
      </c>
      <c r="I29" s="154">
        <f t="shared" si="0"/>
        <v>0</v>
      </c>
      <c r="J29" s="154"/>
    </row>
    <row r="30" spans="1:10" ht="31.5">
      <c r="A30" s="77" t="s">
        <v>55</v>
      </c>
      <c r="B30" s="56" t="s">
        <v>625</v>
      </c>
      <c r="C30" s="57" t="s">
        <v>100</v>
      </c>
      <c r="D30" s="57" t="s">
        <v>124</v>
      </c>
      <c r="E30" s="57" t="s">
        <v>47</v>
      </c>
      <c r="F30" s="60">
        <v>3839.5</v>
      </c>
      <c r="G30" s="153">
        <f>SUM(Ведомственная!G693)</f>
        <v>3839.5</v>
      </c>
      <c r="I30" s="154">
        <f t="shared" si="0"/>
        <v>0</v>
      </c>
      <c r="J30" s="154"/>
    </row>
    <row r="31" spans="1:10" ht="78.75">
      <c r="A31" s="77" t="s">
        <v>626</v>
      </c>
      <c r="B31" s="56" t="s">
        <v>627</v>
      </c>
      <c r="C31" s="57"/>
      <c r="D31" s="57"/>
      <c r="E31" s="57"/>
      <c r="F31" s="60">
        <f>F32+F33+F34</f>
        <v>686812.7000000001</v>
      </c>
      <c r="I31" s="154">
        <f t="shared" si="0"/>
        <v>-686812.7000000001</v>
      </c>
      <c r="J31" s="154"/>
    </row>
    <row r="32" spans="1:10" ht="63">
      <c r="A32" s="77" t="s">
        <v>54</v>
      </c>
      <c r="B32" s="56" t="s">
        <v>627</v>
      </c>
      <c r="C32" s="57" t="s">
        <v>98</v>
      </c>
      <c r="D32" s="57" t="s">
        <v>124</v>
      </c>
      <c r="E32" s="57" t="s">
        <v>47</v>
      </c>
      <c r="F32" s="60">
        <v>323748.9</v>
      </c>
      <c r="G32" s="153">
        <f>SUM(Ведомственная!G695)</f>
        <v>323748.9</v>
      </c>
      <c r="I32" s="154">
        <f t="shared" si="0"/>
        <v>0</v>
      </c>
      <c r="J32" s="154"/>
    </row>
    <row r="33" spans="1:10" ht="31.5">
      <c r="A33" s="77" t="s">
        <v>55</v>
      </c>
      <c r="B33" s="56" t="s">
        <v>627</v>
      </c>
      <c r="C33" s="57" t="s">
        <v>100</v>
      </c>
      <c r="D33" s="57" t="s">
        <v>124</v>
      </c>
      <c r="E33" s="57" t="s">
        <v>47</v>
      </c>
      <c r="F33" s="60">
        <v>4193.4</v>
      </c>
      <c r="G33" s="153">
        <f>SUM(Ведомственная!G696)</f>
        <v>4193.4</v>
      </c>
      <c r="I33" s="154">
        <f t="shared" si="0"/>
        <v>0</v>
      </c>
      <c r="J33" s="154"/>
    </row>
    <row r="34" spans="1:10" ht="31.5">
      <c r="A34" s="77" t="s">
        <v>133</v>
      </c>
      <c r="B34" s="56" t="s">
        <v>627</v>
      </c>
      <c r="C34" s="57" t="s">
        <v>134</v>
      </c>
      <c r="D34" s="57" t="s">
        <v>124</v>
      </c>
      <c r="E34" s="57" t="s">
        <v>47</v>
      </c>
      <c r="F34" s="60">
        <v>358870.4</v>
      </c>
      <c r="G34" s="153">
        <f>SUM(Ведомственная!G697)</f>
        <v>358870.4</v>
      </c>
      <c r="I34" s="154">
        <f t="shared" si="0"/>
        <v>0</v>
      </c>
      <c r="J34" s="154"/>
    </row>
    <row r="35" spans="1:10" ht="47.25">
      <c r="A35" s="77" t="s">
        <v>615</v>
      </c>
      <c r="B35" s="61" t="s">
        <v>616</v>
      </c>
      <c r="C35" s="62"/>
      <c r="D35" s="63"/>
      <c r="E35" s="63"/>
      <c r="F35" s="60">
        <f>F39+F36</f>
        <v>509793</v>
      </c>
      <c r="H35" s="155">
        <f>SUM(G36:G45)</f>
        <v>509793</v>
      </c>
      <c r="I35" s="154">
        <f t="shared" si="0"/>
        <v>-509793</v>
      </c>
      <c r="J35" s="154"/>
    </row>
    <row r="36" spans="1:10" ht="47.25">
      <c r="A36" s="77" t="s">
        <v>611</v>
      </c>
      <c r="B36" s="132" t="s">
        <v>773</v>
      </c>
      <c r="C36" s="62"/>
      <c r="D36" s="63"/>
      <c r="E36" s="63"/>
      <c r="F36" s="60">
        <f>SUM(F37)</f>
        <v>5850</v>
      </c>
      <c r="H36" s="155"/>
      <c r="I36" s="154">
        <f t="shared" si="0"/>
        <v>-5850</v>
      </c>
      <c r="J36" s="154"/>
    </row>
    <row r="37" spans="1:10" ht="63">
      <c r="A37" s="163" t="s">
        <v>775</v>
      </c>
      <c r="B37" s="132" t="s">
        <v>774</v>
      </c>
      <c r="C37" s="62"/>
      <c r="D37" s="63"/>
      <c r="E37" s="63"/>
      <c r="F37" s="60">
        <f>SUM(F38)</f>
        <v>5850</v>
      </c>
      <c r="H37" s="155"/>
      <c r="I37" s="154"/>
      <c r="J37" s="154"/>
    </row>
    <row r="38" spans="1:10" ht="31.5">
      <c r="A38" s="77" t="s">
        <v>282</v>
      </c>
      <c r="B38" s="132" t="s">
        <v>774</v>
      </c>
      <c r="C38" s="62">
        <v>600</v>
      </c>
      <c r="D38" s="57" t="s">
        <v>124</v>
      </c>
      <c r="E38" s="57" t="s">
        <v>37</v>
      </c>
      <c r="F38" s="60">
        <v>5850</v>
      </c>
      <c r="G38" s="153">
        <f>SUM(Ведомственная!G645)</f>
        <v>5850</v>
      </c>
      <c r="H38" s="155"/>
      <c r="I38" s="154"/>
      <c r="J38" s="154"/>
    </row>
    <row r="39" spans="1:10" ht="94.5">
      <c r="A39" s="77" t="s">
        <v>617</v>
      </c>
      <c r="B39" s="61" t="s">
        <v>618</v>
      </c>
      <c r="C39" s="62"/>
      <c r="D39" s="63"/>
      <c r="E39" s="63"/>
      <c r="F39" s="60">
        <f>F40+F44</f>
        <v>503943</v>
      </c>
      <c r="I39" s="154">
        <f t="shared" si="0"/>
        <v>-503943</v>
      </c>
      <c r="J39" s="154"/>
    </row>
    <row r="40" spans="1:10" ht="47.25">
      <c r="A40" s="77" t="s">
        <v>619</v>
      </c>
      <c r="B40" s="61" t="s">
        <v>620</v>
      </c>
      <c r="C40" s="62"/>
      <c r="D40" s="63"/>
      <c r="E40" s="63"/>
      <c r="F40" s="60">
        <f>F41+F42+F43</f>
        <v>472140.1</v>
      </c>
      <c r="I40" s="154">
        <f t="shared" si="0"/>
        <v>-472140.1</v>
      </c>
      <c r="J40" s="154"/>
    </row>
    <row r="41" spans="1:10" ht="63">
      <c r="A41" s="77" t="s">
        <v>54</v>
      </c>
      <c r="B41" s="56" t="s">
        <v>620</v>
      </c>
      <c r="C41" s="57" t="s">
        <v>98</v>
      </c>
      <c r="D41" s="57" t="s">
        <v>124</v>
      </c>
      <c r="E41" s="57" t="s">
        <v>37</v>
      </c>
      <c r="F41" s="60">
        <v>75732.6</v>
      </c>
      <c r="G41" s="153">
        <f>SUM(Ведомственная!G648)</f>
        <v>75732.6</v>
      </c>
      <c r="I41" s="154">
        <f t="shared" si="0"/>
        <v>0</v>
      </c>
      <c r="J41" s="154"/>
    </row>
    <row r="42" spans="1:10" ht="31.5">
      <c r="A42" s="77" t="s">
        <v>55</v>
      </c>
      <c r="B42" s="56" t="s">
        <v>620</v>
      </c>
      <c r="C42" s="57" t="s">
        <v>100</v>
      </c>
      <c r="D42" s="57" t="s">
        <v>124</v>
      </c>
      <c r="E42" s="57" t="s">
        <v>37</v>
      </c>
      <c r="F42" s="60">
        <f>916.1+1468.3</f>
        <v>2384.4</v>
      </c>
      <c r="G42" s="153">
        <f>SUM(Ведомственная!G649)</f>
        <v>2384.4</v>
      </c>
      <c r="I42" s="154">
        <f t="shared" si="0"/>
        <v>0</v>
      </c>
      <c r="J42" s="154"/>
    </row>
    <row r="43" spans="1:10" ht="31.5">
      <c r="A43" s="77" t="s">
        <v>282</v>
      </c>
      <c r="B43" s="56" t="s">
        <v>620</v>
      </c>
      <c r="C43" s="57" t="s">
        <v>134</v>
      </c>
      <c r="D43" s="57" t="s">
        <v>124</v>
      </c>
      <c r="E43" s="57" t="s">
        <v>37</v>
      </c>
      <c r="F43" s="60">
        <v>394023.1</v>
      </c>
      <c r="G43" s="153">
        <f>SUM(Ведомственная!G650)</f>
        <v>394023.1</v>
      </c>
      <c r="I43" s="154">
        <f t="shared" si="0"/>
        <v>0</v>
      </c>
      <c r="J43" s="154"/>
    </row>
    <row r="44" spans="1:10" ht="78.75">
      <c r="A44" s="77" t="s">
        <v>640</v>
      </c>
      <c r="B44" s="56" t="s">
        <v>641</v>
      </c>
      <c r="C44" s="57"/>
      <c r="D44" s="57"/>
      <c r="E44" s="57"/>
      <c r="F44" s="58">
        <f>F45</f>
        <v>31802.9</v>
      </c>
      <c r="I44" s="154">
        <f t="shared" si="0"/>
        <v>-31802.9</v>
      </c>
      <c r="J44" s="154"/>
    </row>
    <row r="45" spans="1:10" ht="15.75">
      <c r="A45" s="77" t="s">
        <v>45</v>
      </c>
      <c r="B45" s="56" t="s">
        <v>641</v>
      </c>
      <c r="C45" s="57">
        <v>300</v>
      </c>
      <c r="D45" s="57" t="s">
        <v>34</v>
      </c>
      <c r="E45" s="57" t="s">
        <v>16</v>
      </c>
      <c r="F45" s="58">
        <v>31802.9</v>
      </c>
      <c r="G45" s="153">
        <f>SUM(Ведомственная!G817)</f>
        <v>31802.9</v>
      </c>
      <c r="I45" s="154">
        <f t="shared" si="0"/>
        <v>0</v>
      </c>
      <c r="J45" s="154"/>
    </row>
    <row r="46" spans="1:10" ht="47.25">
      <c r="A46" s="162" t="s">
        <v>752</v>
      </c>
      <c r="B46" s="73" t="s">
        <v>757</v>
      </c>
      <c r="C46" s="57"/>
      <c r="D46" s="57"/>
      <c r="E46" s="57"/>
      <c r="F46" s="58">
        <f>SUM(F47)+F53</f>
        <v>85981.5</v>
      </c>
      <c r="H46" s="153">
        <f>SUM(G50:G57)</f>
        <v>85981.5</v>
      </c>
      <c r="I46" s="154">
        <f t="shared" si="0"/>
        <v>-85981.5</v>
      </c>
      <c r="J46" s="154"/>
    </row>
    <row r="47" spans="1:10" ht="31.5">
      <c r="A47" s="12" t="s">
        <v>359</v>
      </c>
      <c r="B47" s="73" t="s">
        <v>758</v>
      </c>
      <c r="C47" s="57"/>
      <c r="D47" s="57"/>
      <c r="E47" s="57"/>
      <c r="F47" s="58">
        <f>SUM(F48)</f>
        <v>26500</v>
      </c>
      <c r="I47" s="154">
        <f t="shared" si="0"/>
        <v>-26500</v>
      </c>
      <c r="J47" s="154"/>
    </row>
    <row r="48" spans="1:10" ht="47.25">
      <c r="A48" s="77" t="s">
        <v>611</v>
      </c>
      <c r="B48" s="73" t="s">
        <v>759</v>
      </c>
      <c r="C48" s="57"/>
      <c r="D48" s="57"/>
      <c r="E48" s="57"/>
      <c r="F48" s="58">
        <f>SUM(F49)+F51</f>
        <v>26500</v>
      </c>
      <c r="I48" s="154">
        <f t="shared" si="0"/>
        <v>-26500</v>
      </c>
      <c r="J48" s="154"/>
    </row>
    <row r="49" spans="1:10" ht="15.75">
      <c r="A49" s="70" t="s">
        <v>761</v>
      </c>
      <c r="B49" s="73" t="s">
        <v>760</v>
      </c>
      <c r="C49" s="57"/>
      <c r="D49" s="57"/>
      <c r="E49" s="57"/>
      <c r="F49" s="58">
        <f>SUM(F50)</f>
        <v>11500</v>
      </c>
      <c r="I49" s="154">
        <f t="shared" si="0"/>
        <v>-11500</v>
      </c>
      <c r="J49" s="154"/>
    </row>
    <row r="50" spans="1:10" ht="31.5">
      <c r="A50" s="70" t="s">
        <v>358</v>
      </c>
      <c r="B50" s="73" t="s">
        <v>760</v>
      </c>
      <c r="C50" s="57" t="s">
        <v>312</v>
      </c>
      <c r="D50" s="57" t="s">
        <v>187</v>
      </c>
      <c r="E50" s="57" t="s">
        <v>187</v>
      </c>
      <c r="F50" s="58">
        <v>11500</v>
      </c>
      <c r="G50" s="153">
        <f>SUM(Ведомственная!G273)</f>
        <v>11500</v>
      </c>
      <c r="I50" s="154">
        <f t="shared" si="0"/>
        <v>0</v>
      </c>
      <c r="J50" s="154"/>
    </row>
    <row r="51" spans="1:10" ht="63">
      <c r="A51" s="70" t="s">
        <v>767</v>
      </c>
      <c r="B51" s="73" t="s">
        <v>766</v>
      </c>
      <c r="C51" s="57"/>
      <c r="D51" s="57"/>
      <c r="E51" s="57"/>
      <c r="F51" s="58">
        <f>SUM(F52)</f>
        <v>15000</v>
      </c>
      <c r="I51" s="154"/>
      <c r="J51" s="154"/>
    </row>
    <row r="52" spans="1:10" ht="31.5">
      <c r="A52" s="70" t="s">
        <v>55</v>
      </c>
      <c r="B52" s="73" t="s">
        <v>766</v>
      </c>
      <c r="C52" s="57" t="s">
        <v>100</v>
      </c>
      <c r="D52" s="57" t="s">
        <v>187</v>
      </c>
      <c r="E52" s="57" t="s">
        <v>47</v>
      </c>
      <c r="F52" s="58">
        <v>15000</v>
      </c>
      <c r="G52" s="153">
        <f>SUM(Ведомственная!G226)</f>
        <v>15000</v>
      </c>
      <c r="I52" s="154"/>
      <c r="J52" s="154"/>
    </row>
    <row r="53" spans="1:10" ht="31.5">
      <c r="A53" s="70" t="s">
        <v>769</v>
      </c>
      <c r="B53" s="80" t="s">
        <v>768</v>
      </c>
      <c r="C53" s="57"/>
      <c r="D53" s="57"/>
      <c r="E53" s="57"/>
      <c r="F53" s="64">
        <f>SUM(F54)</f>
        <v>59481.5</v>
      </c>
      <c r="I53" s="154"/>
      <c r="J53" s="154"/>
    </row>
    <row r="54" spans="1:10" ht="47.25">
      <c r="A54" s="77" t="s">
        <v>611</v>
      </c>
      <c r="B54" s="80" t="s">
        <v>770</v>
      </c>
      <c r="C54" s="57"/>
      <c r="D54" s="57"/>
      <c r="E54" s="57"/>
      <c r="F54" s="64">
        <f>SUM(F55)</f>
        <v>59481.5</v>
      </c>
      <c r="I54" s="154"/>
      <c r="J54" s="154"/>
    </row>
    <row r="55" spans="1:10" ht="31.5">
      <c r="A55" s="70" t="s">
        <v>772</v>
      </c>
      <c r="B55" s="80" t="s">
        <v>771</v>
      </c>
      <c r="C55" s="57"/>
      <c r="D55" s="57"/>
      <c r="E55" s="57"/>
      <c r="F55" s="64">
        <f>SUM(F56)</f>
        <v>59481.5</v>
      </c>
      <c r="I55" s="154"/>
      <c r="J55" s="154"/>
    </row>
    <row r="56" spans="1:10" ht="31.5">
      <c r="A56" s="70" t="s">
        <v>55</v>
      </c>
      <c r="B56" s="80" t="s">
        <v>771</v>
      </c>
      <c r="C56" s="57" t="s">
        <v>100</v>
      </c>
      <c r="D56" s="57" t="s">
        <v>187</v>
      </c>
      <c r="E56" s="57" t="s">
        <v>57</v>
      </c>
      <c r="F56" s="64">
        <v>59481.5</v>
      </c>
      <c r="G56" s="153">
        <f>SUM(Ведомственная!G248)</f>
        <v>59481.5</v>
      </c>
      <c r="I56" s="154"/>
      <c r="J56" s="154"/>
    </row>
    <row r="57" spans="1:10" ht="47.25">
      <c r="A57" s="77" t="s">
        <v>688</v>
      </c>
      <c r="B57" s="57" t="s">
        <v>689</v>
      </c>
      <c r="C57" s="57"/>
      <c r="D57" s="57"/>
      <c r="E57" s="57"/>
      <c r="F57" s="60">
        <f>F58+F62+F66</f>
        <v>10965.8</v>
      </c>
      <c r="H57" s="155">
        <f>SUM(G58:G69)</f>
        <v>10965.8</v>
      </c>
      <c r="I57" s="154">
        <f t="shared" si="0"/>
        <v>-10965.8</v>
      </c>
      <c r="J57" s="154"/>
    </row>
    <row r="58" spans="1:10" ht="31.5">
      <c r="A58" s="77" t="s">
        <v>690</v>
      </c>
      <c r="B58" s="57" t="s">
        <v>691</v>
      </c>
      <c r="C58" s="57"/>
      <c r="D58" s="57"/>
      <c r="E58" s="57"/>
      <c r="F58" s="64">
        <f>+F59</f>
        <v>8728.3</v>
      </c>
      <c r="I58" s="154">
        <f t="shared" si="0"/>
        <v>-8728.3</v>
      </c>
      <c r="J58" s="154"/>
    </row>
    <row r="59" spans="1:10" ht="47.25">
      <c r="A59" s="77" t="s">
        <v>699</v>
      </c>
      <c r="B59" s="57" t="s">
        <v>692</v>
      </c>
      <c r="C59" s="57"/>
      <c r="D59" s="57"/>
      <c r="E59" s="57"/>
      <c r="F59" s="64">
        <f>+F60</f>
        <v>8728.3</v>
      </c>
      <c r="I59" s="154">
        <f t="shared" si="0"/>
        <v>-8728.3</v>
      </c>
      <c r="J59" s="154"/>
    </row>
    <row r="60" spans="1:10" ht="31.5">
      <c r="A60" s="77" t="s">
        <v>693</v>
      </c>
      <c r="B60" s="57" t="s">
        <v>694</v>
      </c>
      <c r="C60" s="57"/>
      <c r="D60" s="57"/>
      <c r="E60" s="57"/>
      <c r="F60" s="64">
        <f>+F61</f>
        <v>8728.3</v>
      </c>
      <c r="I60" s="154">
        <f t="shared" si="0"/>
        <v>-8728.3</v>
      </c>
      <c r="J60" s="154"/>
    </row>
    <row r="61" spans="1:10" ht="31.5">
      <c r="A61" s="77" t="s">
        <v>75</v>
      </c>
      <c r="B61" s="57" t="s">
        <v>694</v>
      </c>
      <c r="C61" s="57" t="s">
        <v>134</v>
      </c>
      <c r="D61" s="57" t="s">
        <v>188</v>
      </c>
      <c r="E61" s="57" t="s">
        <v>47</v>
      </c>
      <c r="F61" s="64">
        <v>8728.3</v>
      </c>
      <c r="G61" s="153">
        <f>SUM(Ведомственная!G628)</f>
        <v>8728.3</v>
      </c>
      <c r="I61" s="154">
        <f t="shared" si="0"/>
        <v>0</v>
      </c>
      <c r="J61" s="154"/>
    </row>
    <row r="62" spans="1:10" ht="15.75">
      <c r="A62" s="77" t="s">
        <v>695</v>
      </c>
      <c r="B62" s="57" t="s">
        <v>696</v>
      </c>
      <c r="C62" s="57"/>
      <c r="D62" s="57"/>
      <c r="E62" s="57"/>
      <c r="F62" s="64">
        <f>F63</f>
        <v>704.3</v>
      </c>
      <c r="I62" s="154">
        <f t="shared" si="0"/>
        <v>-704.3</v>
      </c>
      <c r="J62" s="154"/>
    </row>
    <row r="63" spans="1:10" ht="47.25">
      <c r="A63" s="77" t="s">
        <v>611</v>
      </c>
      <c r="B63" s="57" t="s">
        <v>697</v>
      </c>
      <c r="C63" s="57"/>
      <c r="D63" s="57"/>
      <c r="E63" s="57"/>
      <c r="F63" s="64">
        <f>+F64</f>
        <v>704.3</v>
      </c>
      <c r="I63" s="154">
        <f t="shared" si="0"/>
        <v>-704.3</v>
      </c>
      <c r="J63" s="154"/>
    </row>
    <row r="64" spans="1:10" ht="31.5">
      <c r="A64" s="77" t="s">
        <v>693</v>
      </c>
      <c r="B64" s="57" t="s">
        <v>698</v>
      </c>
      <c r="C64" s="57"/>
      <c r="D64" s="57"/>
      <c r="E64" s="57"/>
      <c r="F64" s="60">
        <f>+F65</f>
        <v>704.3</v>
      </c>
      <c r="I64" s="154">
        <f t="shared" si="0"/>
        <v>-704.3</v>
      </c>
      <c r="J64" s="154"/>
    </row>
    <row r="65" spans="1:10" ht="31.5">
      <c r="A65" s="77" t="s">
        <v>282</v>
      </c>
      <c r="B65" s="57" t="s">
        <v>698</v>
      </c>
      <c r="C65" s="57" t="s">
        <v>134</v>
      </c>
      <c r="D65" s="57" t="s">
        <v>188</v>
      </c>
      <c r="E65" s="57" t="s">
        <v>47</v>
      </c>
      <c r="F65" s="60">
        <v>704.3</v>
      </c>
      <c r="G65" s="153">
        <f>SUM(Ведомственная!G632)</f>
        <v>704.3</v>
      </c>
      <c r="I65" s="154">
        <f t="shared" si="0"/>
        <v>0</v>
      </c>
      <c r="J65" s="154"/>
    </row>
    <row r="66" spans="1:10" ht="15.75">
      <c r="A66" s="77" t="s">
        <v>765</v>
      </c>
      <c r="B66" s="57" t="s">
        <v>762</v>
      </c>
      <c r="C66" s="57"/>
      <c r="D66" s="57"/>
      <c r="E66" s="57"/>
      <c r="F66" s="60">
        <f>SUM(F67)</f>
        <v>1533.2</v>
      </c>
      <c r="I66" s="154"/>
      <c r="J66" s="154"/>
    </row>
    <row r="67" spans="1:10" ht="47.25">
      <c r="A67" s="77" t="s">
        <v>611</v>
      </c>
      <c r="B67" s="57" t="s">
        <v>763</v>
      </c>
      <c r="C67" s="57"/>
      <c r="D67" s="57"/>
      <c r="E67" s="57"/>
      <c r="F67" s="60">
        <f>SUM(F68)</f>
        <v>1533.2</v>
      </c>
      <c r="I67" s="154"/>
      <c r="J67" s="154"/>
    </row>
    <row r="68" spans="1:10" ht="31.5">
      <c r="A68" s="77" t="s">
        <v>693</v>
      </c>
      <c r="B68" s="57" t="s">
        <v>764</v>
      </c>
      <c r="C68" s="57"/>
      <c r="D68" s="57"/>
      <c r="E68" s="57"/>
      <c r="F68" s="60">
        <f>SUM(F69)</f>
        <v>1533.2</v>
      </c>
      <c r="I68" s="154"/>
      <c r="J68" s="154"/>
    </row>
    <row r="69" spans="1:10" ht="31.5">
      <c r="A69" s="77" t="s">
        <v>282</v>
      </c>
      <c r="B69" s="57" t="s">
        <v>764</v>
      </c>
      <c r="C69" s="57" t="s">
        <v>134</v>
      </c>
      <c r="D69" s="57" t="s">
        <v>188</v>
      </c>
      <c r="E69" s="57" t="s">
        <v>57</v>
      </c>
      <c r="F69" s="60">
        <v>1533.2</v>
      </c>
      <c r="G69" s="153">
        <f>SUM(Ведомственная!G638)</f>
        <v>1533.2</v>
      </c>
      <c r="I69" s="154"/>
      <c r="J69" s="154"/>
    </row>
    <row r="70" spans="1:10" ht="47.25">
      <c r="A70" s="51" t="s">
        <v>645</v>
      </c>
      <c r="B70" s="53" t="s">
        <v>539</v>
      </c>
      <c r="C70" s="65"/>
      <c r="D70" s="65"/>
      <c r="E70" s="65"/>
      <c r="F70" s="54">
        <f>SUM(F71)+F155+F101</f>
        <v>995911.5</v>
      </c>
      <c r="H70" s="155">
        <f>SUM(G72:G165)</f>
        <v>995911.5000000001</v>
      </c>
      <c r="I70" s="154">
        <f t="shared" si="0"/>
        <v>-995911.5</v>
      </c>
      <c r="J70" s="154">
        <f>SUM(H70-F70)</f>
        <v>1.1641532182693481E-10</v>
      </c>
    </row>
    <row r="71" spans="1:10" ht="15.75">
      <c r="A71" s="51" t="s">
        <v>646</v>
      </c>
      <c r="B71" s="53" t="s">
        <v>540</v>
      </c>
      <c r="C71" s="53"/>
      <c r="D71" s="53"/>
      <c r="E71" s="53"/>
      <c r="F71" s="54">
        <f>SUM(F72)</f>
        <v>299233.4</v>
      </c>
      <c r="I71" s="154">
        <f t="shared" si="0"/>
        <v>-299233.4</v>
      </c>
      <c r="J71" s="154">
        <f>SUM(H71-F71)</f>
        <v>-299233.4</v>
      </c>
    </row>
    <row r="72" spans="1:10" ht="94.5">
      <c r="A72" s="51" t="s">
        <v>536</v>
      </c>
      <c r="B72" s="53" t="s">
        <v>541</v>
      </c>
      <c r="C72" s="53"/>
      <c r="D72" s="53"/>
      <c r="E72" s="53"/>
      <c r="F72" s="54">
        <f>SUM(F73+F78+F81+F84+F87+F90+F96+F98)+F93</f>
        <v>299233.4</v>
      </c>
      <c r="I72" s="154">
        <f t="shared" si="0"/>
        <v>-299233.4</v>
      </c>
      <c r="J72" s="154">
        <f>SUM(H72-F72)</f>
        <v>-299233.4</v>
      </c>
    </row>
    <row r="73" spans="1:10" ht="47.25">
      <c r="A73" s="51" t="s">
        <v>595</v>
      </c>
      <c r="B73" s="52" t="s">
        <v>596</v>
      </c>
      <c r="C73" s="52"/>
      <c r="D73" s="53"/>
      <c r="E73" s="53"/>
      <c r="F73" s="54">
        <f>F74+F75+F77+F76</f>
        <v>65262.4</v>
      </c>
      <c r="I73" s="154">
        <f t="shared" si="0"/>
        <v>-65262.4</v>
      </c>
      <c r="J73" s="154"/>
    </row>
    <row r="74" spans="1:10" ht="63">
      <c r="A74" s="51" t="s">
        <v>54</v>
      </c>
      <c r="B74" s="52" t="s">
        <v>596</v>
      </c>
      <c r="C74" s="52">
        <v>100</v>
      </c>
      <c r="D74" s="53" t="s">
        <v>34</v>
      </c>
      <c r="E74" s="53" t="s">
        <v>16</v>
      </c>
      <c r="F74" s="54">
        <v>43974.5</v>
      </c>
      <c r="G74" s="153">
        <f>SUM(Ведомственная!G526)</f>
        <v>43974.5</v>
      </c>
      <c r="I74" s="154">
        <f t="shared" si="0"/>
        <v>0</v>
      </c>
      <c r="J74" s="154"/>
    </row>
    <row r="75" spans="1:10" ht="31.5">
      <c r="A75" s="51" t="s">
        <v>55</v>
      </c>
      <c r="B75" s="52" t="s">
        <v>596</v>
      </c>
      <c r="C75" s="52">
        <v>200</v>
      </c>
      <c r="D75" s="53" t="s">
        <v>34</v>
      </c>
      <c r="E75" s="53" t="s">
        <v>16</v>
      </c>
      <c r="F75" s="54">
        <v>20564.6</v>
      </c>
      <c r="G75" s="153">
        <f>SUM(Ведомственная!G527)</f>
        <v>20564.6</v>
      </c>
      <c r="I75" s="154">
        <f aca="true" t="shared" si="1" ref="I75:I138">G75-F75</f>
        <v>0</v>
      </c>
      <c r="J75" s="154"/>
    </row>
    <row r="76" spans="1:10" ht="15.75">
      <c r="A76" s="51" t="s">
        <v>45</v>
      </c>
      <c r="B76" s="52" t="s">
        <v>596</v>
      </c>
      <c r="C76" s="52">
        <v>200</v>
      </c>
      <c r="D76" s="53" t="s">
        <v>34</v>
      </c>
      <c r="E76" s="53" t="s">
        <v>16</v>
      </c>
      <c r="F76" s="54">
        <v>185.5</v>
      </c>
      <c r="G76" s="153">
        <f>SUM(Ведомственная!G528)</f>
        <v>185.5</v>
      </c>
      <c r="I76" s="154">
        <f t="shared" si="1"/>
        <v>0</v>
      </c>
      <c r="J76" s="154"/>
    </row>
    <row r="77" spans="1:10" ht="15.75">
      <c r="A77" s="51" t="s">
        <v>25</v>
      </c>
      <c r="B77" s="52" t="s">
        <v>596</v>
      </c>
      <c r="C77" s="52">
        <v>800</v>
      </c>
      <c r="D77" s="53" t="s">
        <v>34</v>
      </c>
      <c r="E77" s="53" t="s">
        <v>16</v>
      </c>
      <c r="F77" s="54">
        <v>537.8</v>
      </c>
      <c r="G77" s="153">
        <f>SUM(Ведомственная!G529)</f>
        <v>537.8</v>
      </c>
      <c r="I77" s="154">
        <f t="shared" si="1"/>
        <v>0</v>
      </c>
      <c r="J77" s="154"/>
    </row>
    <row r="78" spans="1:10" ht="63">
      <c r="A78" s="51" t="s">
        <v>597</v>
      </c>
      <c r="B78" s="52" t="s">
        <v>598</v>
      </c>
      <c r="C78" s="52"/>
      <c r="D78" s="53"/>
      <c r="E78" s="53"/>
      <c r="F78" s="54">
        <f>F79+F80</f>
        <v>14118.5</v>
      </c>
      <c r="I78" s="154">
        <f t="shared" si="1"/>
        <v>-14118.5</v>
      </c>
      <c r="J78" s="154"/>
    </row>
    <row r="79" spans="1:10" ht="31.5">
      <c r="A79" s="51" t="s">
        <v>55</v>
      </c>
      <c r="B79" s="52" t="s">
        <v>598</v>
      </c>
      <c r="C79" s="52">
        <v>200</v>
      </c>
      <c r="D79" s="53" t="s">
        <v>34</v>
      </c>
      <c r="E79" s="53" t="s">
        <v>16</v>
      </c>
      <c r="F79" s="54">
        <v>197.1</v>
      </c>
      <c r="G79" s="153">
        <f>SUM(Ведомственная!G531)</f>
        <v>197.1</v>
      </c>
      <c r="I79" s="154">
        <f t="shared" si="1"/>
        <v>0</v>
      </c>
      <c r="J79" s="154"/>
    </row>
    <row r="80" spans="1:10" ht="15.75">
      <c r="A80" s="51" t="s">
        <v>45</v>
      </c>
      <c r="B80" s="52" t="s">
        <v>598</v>
      </c>
      <c r="C80" s="52">
        <v>300</v>
      </c>
      <c r="D80" s="53" t="s">
        <v>34</v>
      </c>
      <c r="E80" s="53" t="s">
        <v>16</v>
      </c>
      <c r="F80" s="54">
        <v>13921.4</v>
      </c>
      <c r="G80" s="153">
        <f>SUM(Ведомственная!G532)</f>
        <v>13921.4</v>
      </c>
      <c r="I80" s="154">
        <f t="shared" si="1"/>
        <v>0</v>
      </c>
      <c r="J80" s="154"/>
    </row>
    <row r="81" spans="1:10" ht="31.5">
      <c r="A81" s="51" t="s">
        <v>599</v>
      </c>
      <c r="B81" s="52" t="s">
        <v>600</v>
      </c>
      <c r="C81" s="52"/>
      <c r="D81" s="53"/>
      <c r="E81" s="53"/>
      <c r="F81" s="54">
        <f>F82+F83</f>
        <v>52185.4</v>
      </c>
      <c r="I81" s="154">
        <f t="shared" si="1"/>
        <v>-52185.4</v>
      </c>
      <c r="J81" s="154"/>
    </row>
    <row r="82" spans="1:10" ht="31.5">
      <c r="A82" s="51" t="s">
        <v>55</v>
      </c>
      <c r="B82" s="52" t="s">
        <v>600</v>
      </c>
      <c r="C82" s="52">
        <v>200</v>
      </c>
      <c r="D82" s="53" t="s">
        <v>34</v>
      </c>
      <c r="E82" s="53" t="s">
        <v>16</v>
      </c>
      <c r="F82" s="54">
        <v>775.3</v>
      </c>
      <c r="G82" s="153">
        <f>SUM(Ведомственная!G534)</f>
        <v>775.3</v>
      </c>
      <c r="I82" s="154">
        <f t="shared" si="1"/>
        <v>0</v>
      </c>
      <c r="J82" s="154"/>
    </row>
    <row r="83" spans="1:10" ht="15.75">
      <c r="A83" s="51" t="s">
        <v>45</v>
      </c>
      <c r="B83" s="52" t="s">
        <v>600</v>
      </c>
      <c r="C83" s="52">
        <v>300</v>
      </c>
      <c r="D83" s="53" t="s">
        <v>34</v>
      </c>
      <c r="E83" s="53" t="s">
        <v>16</v>
      </c>
      <c r="F83" s="54">
        <v>51410.1</v>
      </c>
      <c r="G83" s="153">
        <f>SUM(Ведомственная!G535)</f>
        <v>51410.1</v>
      </c>
      <c r="I83" s="154">
        <f t="shared" si="1"/>
        <v>0</v>
      </c>
      <c r="J83" s="154"/>
    </row>
    <row r="84" spans="1:10" ht="47.25">
      <c r="A84" s="51" t="s">
        <v>601</v>
      </c>
      <c r="B84" s="52" t="s">
        <v>602</v>
      </c>
      <c r="C84" s="52"/>
      <c r="D84" s="53"/>
      <c r="E84" s="53"/>
      <c r="F84" s="54">
        <f>F85+F86</f>
        <v>5357.2</v>
      </c>
      <c r="I84" s="154">
        <f t="shared" si="1"/>
        <v>-5357.2</v>
      </c>
      <c r="J84" s="154"/>
    </row>
    <row r="85" spans="1:10" ht="31.5">
      <c r="A85" s="51" t="s">
        <v>55</v>
      </c>
      <c r="B85" s="52" t="s">
        <v>602</v>
      </c>
      <c r="C85" s="52">
        <v>200</v>
      </c>
      <c r="D85" s="53" t="s">
        <v>34</v>
      </c>
      <c r="E85" s="53" t="s">
        <v>16</v>
      </c>
      <c r="F85" s="54">
        <v>79.2</v>
      </c>
      <c r="G85" s="153">
        <f>SUM(Ведомственная!G537)</f>
        <v>79.2</v>
      </c>
      <c r="I85" s="154">
        <f t="shared" si="1"/>
        <v>0</v>
      </c>
      <c r="J85" s="154"/>
    </row>
    <row r="86" spans="1:10" ht="15.75">
      <c r="A86" s="51" t="s">
        <v>45</v>
      </c>
      <c r="B86" s="52" t="s">
        <v>602</v>
      </c>
      <c r="C86" s="52">
        <v>300</v>
      </c>
      <c r="D86" s="53" t="s">
        <v>34</v>
      </c>
      <c r="E86" s="53" t="s">
        <v>16</v>
      </c>
      <c r="F86" s="54">
        <v>5278</v>
      </c>
      <c r="G86" s="153">
        <f>SUM(Ведомственная!G538)</f>
        <v>5278</v>
      </c>
      <c r="I86" s="154">
        <f t="shared" si="1"/>
        <v>0</v>
      </c>
      <c r="J86" s="154"/>
    </row>
    <row r="87" spans="1:10" ht="94.5">
      <c r="A87" s="51" t="s">
        <v>603</v>
      </c>
      <c r="B87" s="52" t="s">
        <v>604</v>
      </c>
      <c r="C87" s="52"/>
      <c r="D87" s="53"/>
      <c r="E87" s="53"/>
      <c r="F87" s="54">
        <f>F88+F89</f>
        <v>51036</v>
      </c>
      <c r="I87" s="154">
        <f t="shared" si="1"/>
        <v>-51036</v>
      </c>
      <c r="J87" s="154"/>
    </row>
    <row r="88" spans="1:10" ht="31.5">
      <c r="A88" s="51" t="s">
        <v>55</v>
      </c>
      <c r="B88" s="52" t="s">
        <v>604</v>
      </c>
      <c r="C88" s="52">
        <v>200</v>
      </c>
      <c r="D88" s="53" t="s">
        <v>34</v>
      </c>
      <c r="E88" s="53" t="s">
        <v>16</v>
      </c>
      <c r="F88" s="54">
        <v>753.9</v>
      </c>
      <c r="G88" s="153">
        <f>SUM(Ведомственная!G540)</f>
        <v>753.9</v>
      </c>
      <c r="I88" s="154">
        <f t="shared" si="1"/>
        <v>0</v>
      </c>
      <c r="J88" s="154"/>
    </row>
    <row r="89" spans="1:10" ht="15.75">
      <c r="A89" s="51" t="s">
        <v>45</v>
      </c>
      <c r="B89" s="52" t="s">
        <v>604</v>
      </c>
      <c r="C89" s="52">
        <v>300</v>
      </c>
      <c r="D89" s="53" t="s">
        <v>34</v>
      </c>
      <c r="E89" s="53" t="s">
        <v>16</v>
      </c>
      <c r="F89" s="54">
        <v>50282.1</v>
      </c>
      <c r="G89" s="153">
        <f>SUM(Ведомственная!G541)</f>
        <v>50282.1</v>
      </c>
      <c r="I89" s="154">
        <f t="shared" si="1"/>
        <v>0</v>
      </c>
      <c r="J89" s="154"/>
    </row>
    <row r="90" spans="1:10" ht="63">
      <c r="A90" s="51" t="s">
        <v>605</v>
      </c>
      <c r="B90" s="52" t="s">
        <v>606</v>
      </c>
      <c r="C90" s="52"/>
      <c r="D90" s="53"/>
      <c r="E90" s="53"/>
      <c r="F90" s="54">
        <f>F91+F92</f>
        <v>10110.199999999999</v>
      </c>
      <c r="I90" s="154">
        <f t="shared" si="1"/>
        <v>-10110.199999999999</v>
      </c>
      <c r="J90" s="154"/>
    </row>
    <row r="91" spans="1:10" ht="31.5">
      <c r="A91" s="51" t="s">
        <v>55</v>
      </c>
      <c r="B91" s="52" t="s">
        <v>606</v>
      </c>
      <c r="C91" s="52">
        <v>200</v>
      </c>
      <c r="D91" s="53" t="s">
        <v>34</v>
      </c>
      <c r="E91" s="53" t="s">
        <v>16</v>
      </c>
      <c r="F91" s="54">
        <v>149.9</v>
      </c>
      <c r="G91" s="153">
        <f>SUM(Ведомственная!G543)</f>
        <v>149.9</v>
      </c>
      <c r="I91" s="154">
        <f t="shared" si="1"/>
        <v>0</v>
      </c>
      <c r="J91" s="154"/>
    </row>
    <row r="92" spans="1:10" ht="15.75">
      <c r="A92" s="51" t="s">
        <v>45</v>
      </c>
      <c r="B92" s="52" t="s">
        <v>606</v>
      </c>
      <c r="C92" s="52">
        <v>300</v>
      </c>
      <c r="D92" s="53" t="s">
        <v>34</v>
      </c>
      <c r="E92" s="53" t="s">
        <v>16</v>
      </c>
      <c r="F92" s="54">
        <v>9960.3</v>
      </c>
      <c r="G92" s="153">
        <f>SUM(Ведомственная!G544)</f>
        <v>9960.3</v>
      </c>
      <c r="I92" s="154">
        <f t="shared" si="1"/>
        <v>0</v>
      </c>
      <c r="J92" s="154"/>
    </row>
    <row r="93" spans="1:10" ht="31.5">
      <c r="A93" s="51" t="s">
        <v>607</v>
      </c>
      <c r="B93" s="52" t="s">
        <v>608</v>
      </c>
      <c r="C93" s="52"/>
      <c r="D93" s="53"/>
      <c r="E93" s="53"/>
      <c r="F93" s="54">
        <f>F94+F95</f>
        <v>5528</v>
      </c>
      <c r="I93" s="154">
        <f t="shared" si="1"/>
        <v>-5528</v>
      </c>
      <c r="J93" s="154"/>
    </row>
    <row r="94" spans="1:10" ht="63">
      <c r="A94" s="51" t="s">
        <v>54</v>
      </c>
      <c r="B94" s="52" t="s">
        <v>608</v>
      </c>
      <c r="C94" s="52">
        <v>100</v>
      </c>
      <c r="D94" s="53" t="s">
        <v>34</v>
      </c>
      <c r="E94" s="53" t="s">
        <v>81</v>
      </c>
      <c r="F94" s="54">
        <v>4948.6</v>
      </c>
      <c r="G94" s="153">
        <f>SUM(Ведомственная!G556)</f>
        <v>4948.6</v>
      </c>
      <c r="I94" s="154">
        <f t="shared" si="1"/>
        <v>0</v>
      </c>
      <c r="J94" s="154"/>
    </row>
    <row r="95" spans="1:10" ht="31.5">
      <c r="A95" s="51" t="s">
        <v>55</v>
      </c>
      <c r="B95" s="52" t="s">
        <v>608</v>
      </c>
      <c r="C95" s="52">
        <v>200</v>
      </c>
      <c r="D95" s="53" t="s">
        <v>34</v>
      </c>
      <c r="E95" s="53" t="s">
        <v>81</v>
      </c>
      <c r="F95" s="54">
        <v>579.4</v>
      </c>
      <c r="G95" s="153">
        <f>SUM(Ведомственная!G557)</f>
        <v>579.4</v>
      </c>
      <c r="I95" s="154">
        <f t="shared" si="1"/>
        <v>0</v>
      </c>
      <c r="J95" s="154"/>
    </row>
    <row r="96" spans="1:10" ht="31.5">
      <c r="A96" s="51" t="s">
        <v>537</v>
      </c>
      <c r="B96" s="53" t="s">
        <v>542</v>
      </c>
      <c r="C96" s="53"/>
      <c r="D96" s="53"/>
      <c r="E96" s="53"/>
      <c r="F96" s="54">
        <f>SUM(F97)</f>
        <v>4500</v>
      </c>
      <c r="I96" s="154">
        <f t="shared" si="1"/>
        <v>-4500</v>
      </c>
      <c r="J96" s="154"/>
    </row>
    <row r="97" spans="1:10" ht="31.5">
      <c r="A97" s="51" t="s">
        <v>311</v>
      </c>
      <c r="B97" s="53" t="s">
        <v>542</v>
      </c>
      <c r="C97" s="53" t="s">
        <v>312</v>
      </c>
      <c r="D97" s="53" t="s">
        <v>34</v>
      </c>
      <c r="E97" s="53" t="s">
        <v>16</v>
      </c>
      <c r="F97" s="54">
        <v>4500</v>
      </c>
      <c r="G97" s="153">
        <f>SUM(Ведомственная!G319)</f>
        <v>4500</v>
      </c>
      <c r="I97" s="154">
        <f t="shared" si="1"/>
        <v>0</v>
      </c>
      <c r="J97" s="154"/>
    </row>
    <row r="98" spans="1:10" ht="126">
      <c r="A98" s="51" t="s">
        <v>560</v>
      </c>
      <c r="B98" s="53" t="s">
        <v>561</v>
      </c>
      <c r="C98" s="52"/>
      <c r="D98" s="53"/>
      <c r="E98" s="53"/>
      <c r="F98" s="54">
        <f>SUM(F99:F100)</f>
        <v>91135.7</v>
      </c>
      <c r="I98" s="154">
        <f t="shared" si="1"/>
        <v>-91135.7</v>
      </c>
      <c r="J98" s="154"/>
    </row>
    <row r="99" spans="1:10" ht="31.5">
      <c r="A99" s="51" t="s">
        <v>55</v>
      </c>
      <c r="B99" s="53" t="s">
        <v>561</v>
      </c>
      <c r="C99" s="52">
        <v>200</v>
      </c>
      <c r="D99" s="53" t="s">
        <v>34</v>
      </c>
      <c r="E99" s="53" t="s">
        <v>57</v>
      </c>
      <c r="F99" s="54">
        <v>1241.9</v>
      </c>
      <c r="G99" s="153">
        <f>SUM(Ведомственная!G435)</f>
        <v>1241.9</v>
      </c>
      <c r="I99" s="154">
        <f t="shared" si="1"/>
        <v>0</v>
      </c>
      <c r="J99" s="154"/>
    </row>
    <row r="100" spans="1:10" ht="15.75">
      <c r="A100" s="51" t="s">
        <v>45</v>
      </c>
      <c r="B100" s="53" t="s">
        <v>561</v>
      </c>
      <c r="C100" s="52">
        <v>300</v>
      </c>
      <c r="D100" s="53" t="s">
        <v>34</v>
      </c>
      <c r="E100" s="53" t="s">
        <v>57</v>
      </c>
      <c r="F100" s="54">
        <v>89893.8</v>
      </c>
      <c r="G100" s="153">
        <f>SUM(Ведомственная!G436)</f>
        <v>89893.8</v>
      </c>
      <c r="I100" s="154">
        <f t="shared" si="1"/>
        <v>0</v>
      </c>
      <c r="J100" s="154"/>
    </row>
    <row r="101" spans="1:10" ht="31.5">
      <c r="A101" s="51" t="s">
        <v>562</v>
      </c>
      <c r="B101" s="53" t="s">
        <v>563</v>
      </c>
      <c r="C101" s="52"/>
      <c r="D101" s="53"/>
      <c r="E101" s="53"/>
      <c r="F101" s="54">
        <f>F105+F102</f>
        <v>626479.7</v>
      </c>
      <c r="I101" s="154">
        <f t="shared" si="1"/>
        <v>-626479.7</v>
      </c>
      <c r="J101" s="154"/>
    </row>
    <row r="102" spans="1:10" ht="47.25">
      <c r="A102" s="51" t="s">
        <v>609</v>
      </c>
      <c r="B102" s="52" t="s">
        <v>610</v>
      </c>
      <c r="C102" s="52"/>
      <c r="D102" s="53"/>
      <c r="E102" s="53"/>
      <c r="F102" s="54">
        <f>F103+F104</f>
        <v>4237.2</v>
      </c>
      <c r="I102" s="154">
        <f t="shared" si="1"/>
        <v>-4237.2</v>
      </c>
      <c r="J102" s="154"/>
    </row>
    <row r="103" spans="1:10" ht="63">
      <c r="A103" s="51" t="s">
        <v>54</v>
      </c>
      <c r="B103" s="52" t="s">
        <v>610</v>
      </c>
      <c r="C103" s="52">
        <v>100</v>
      </c>
      <c r="D103" s="53" t="s">
        <v>34</v>
      </c>
      <c r="E103" s="53" t="s">
        <v>81</v>
      </c>
      <c r="F103" s="54">
        <v>3602.4</v>
      </c>
      <c r="G103" s="153">
        <f>SUM(Ведомственная!G560)</f>
        <v>3602.4</v>
      </c>
      <c r="I103" s="154">
        <f t="shared" si="1"/>
        <v>0</v>
      </c>
      <c r="J103" s="154"/>
    </row>
    <row r="104" spans="1:10" ht="31.5">
      <c r="A104" s="51" t="s">
        <v>55</v>
      </c>
      <c r="B104" s="52" t="s">
        <v>610</v>
      </c>
      <c r="C104" s="52">
        <v>200</v>
      </c>
      <c r="D104" s="53" t="s">
        <v>34</v>
      </c>
      <c r="E104" s="53" t="s">
        <v>81</v>
      </c>
      <c r="F104" s="54">
        <v>634.8</v>
      </c>
      <c r="G104" s="153">
        <f>SUM(Ведомственная!G561)</f>
        <v>634.8</v>
      </c>
      <c r="I104" s="154">
        <f t="shared" si="1"/>
        <v>0</v>
      </c>
      <c r="J104" s="154"/>
    </row>
    <row r="105" spans="1:10" ht="94.5">
      <c r="A105" s="51" t="s">
        <v>316</v>
      </c>
      <c r="B105" s="53" t="s">
        <v>564</v>
      </c>
      <c r="C105" s="52"/>
      <c r="D105" s="53"/>
      <c r="E105" s="53"/>
      <c r="F105" s="54">
        <f>F106+F109+F112+F115+F118+F121+F124+F127+F130+F133+F136+F139+F143+F146+F149+F152</f>
        <v>622242.5</v>
      </c>
      <c r="I105" s="154">
        <f t="shared" si="1"/>
        <v>-622242.5</v>
      </c>
      <c r="J105" s="154"/>
    </row>
    <row r="106" spans="1:10" ht="47.25">
      <c r="A106" s="51" t="s">
        <v>565</v>
      </c>
      <c r="B106" s="53" t="s">
        <v>566</v>
      </c>
      <c r="C106" s="52"/>
      <c r="D106" s="53"/>
      <c r="E106" s="53"/>
      <c r="F106" s="54">
        <f>F107+F108</f>
        <v>171422.19999999998</v>
      </c>
      <c r="I106" s="154">
        <f t="shared" si="1"/>
        <v>-171422.19999999998</v>
      </c>
      <c r="J106" s="154"/>
    </row>
    <row r="107" spans="1:10" ht="31.5">
      <c r="A107" s="51" t="s">
        <v>55</v>
      </c>
      <c r="B107" s="53" t="s">
        <v>566</v>
      </c>
      <c r="C107" s="52">
        <v>200</v>
      </c>
      <c r="D107" s="53" t="s">
        <v>34</v>
      </c>
      <c r="E107" s="53" t="s">
        <v>57</v>
      </c>
      <c r="F107" s="54">
        <v>2555.4</v>
      </c>
      <c r="G107" s="153">
        <f>SUM(Ведомственная!G440)</f>
        <v>2555.4</v>
      </c>
      <c r="I107" s="154">
        <f t="shared" si="1"/>
        <v>0</v>
      </c>
      <c r="J107" s="154"/>
    </row>
    <row r="108" spans="1:10" ht="15.75">
      <c r="A108" s="51" t="s">
        <v>45</v>
      </c>
      <c r="B108" s="53" t="s">
        <v>566</v>
      </c>
      <c r="C108" s="52">
        <v>300</v>
      </c>
      <c r="D108" s="53" t="s">
        <v>34</v>
      </c>
      <c r="E108" s="53" t="s">
        <v>57</v>
      </c>
      <c r="F108" s="54">
        <v>168866.8</v>
      </c>
      <c r="G108" s="153">
        <f>SUM(Ведомственная!G441)</f>
        <v>168866.8</v>
      </c>
      <c r="I108" s="154">
        <f t="shared" si="1"/>
        <v>0</v>
      </c>
      <c r="J108" s="154"/>
    </row>
    <row r="109" spans="1:10" ht="47.25">
      <c r="A109" s="51" t="s">
        <v>567</v>
      </c>
      <c r="B109" s="53" t="s">
        <v>568</v>
      </c>
      <c r="C109" s="53"/>
      <c r="D109" s="53"/>
      <c r="E109" s="53"/>
      <c r="F109" s="54">
        <f>F110+F111</f>
        <v>8404.2</v>
      </c>
      <c r="I109" s="154">
        <f t="shared" si="1"/>
        <v>-8404.2</v>
      </c>
      <c r="J109" s="154"/>
    </row>
    <row r="110" spans="1:10" ht="31.5">
      <c r="A110" s="51" t="s">
        <v>55</v>
      </c>
      <c r="B110" s="53" t="s">
        <v>568</v>
      </c>
      <c r="C110" s="53" t="s">
        <v>100</v>
      </c>
      <c r="D110" s="53" t="s">
        <v>34</v>
      </c>
      <c r="E110" s="53" t="s">
        <v>57</v>
      </c>
      <c r="F110" s="54">
        <v>125.5</v>
      </c>
      <c r="G110" s="153">
        <f>SUM(Ведомственная!G443)</f>
        <v>125.5</v>
      </c>
      <c r="I110" s="154">
        <f t="shared" si="1"/>
        <v>0</v>
      </c>
      <c r="J110" s="154"/>
    </row>
    <row r="111" spans="1:10" ht="15.75">
      <c r="A111" s="51" t="s">
        <v>45</v>
      </c>
      <c r="B111" s="53" t="s">
        <v>568</v>
      </c>
      <c r="C111" s="53" t="s">
        <v>108</v>
      </c>
      <c r="D111" s="53" t="s">
        <v>34</v>
      </c>
      <c r="E111" s="53" t="s">
        <v>57</v>
      </c>
      <c r="F111" s="54">
        <v>8278.7</v>
      </c>
      <c r="G111" s="153">
        <f>SUM(Ведомственная!G444)</f>
        <v>8278.7</v>
      </c>
      <c r="I111" s="154">
        <f t="shared" si="1"/>
        <v>0</v>
      </c>
      <c r="J111" s="154"/>
    </row>
    <row r="112" spans="1:10" ht="47.25">
      <c r="A112" s="51" t="s">
        <v>569</v>
      </c>
      <c r="B112" s="53" t="s">
        <v>570</v>
      </c>
      <c r="C112" s="53"/>
      <c r="D112" s="53"/>
      <c r="E112" s="53"/>
      <c r="F112" s="54">
        <f>F113+F114</f>
        <v>105759.9</v>
      </c>
      <c r="I112" s="154">
        <f t="shared" si="1"/>
        <v>-105759.9</v>
      </c>
      <c r="J112" s="154"/>
    </row>
    <row r="113" spans="1:10" ht="31.5">
      <c r="A113" s="51" t="s">
        <v>55</v>
      </c>
      <c r="B113" s="53" t="s">
        <v>570</v>
      </c>
      <c r="C113" s="53" t="s">
        <v>100</v>
      </c>
      <c r="D113" s="53" t="s">
        <v>34</v>
      </c>
      <c r="E113" s="53" t="s">
        <v>57</v>
      </c>
      <c r="F113" s="54">
        <v>1574.4</v>
      </c>
      <c r="G113" s="153">
        <f>SUM(Ведомственная!G446)</f>
        <v>1574.4</v>
      </c>
      <c r="I113" s="154">
        <f t="shared" si="1"/>
        <v>0</v>
      </c>
      <c r="J113" s="154"/>
    </row>
    <row r="114" spans="1:10" ht="15.75">
      <c r="A114" s="51" t="s">
        <v>45</v>
      </c>
      <c r="B114" s="53" t="s">
        <v>570</v>
      </c>
      <c r="C114" s="53" t="s">
        <v>108</v>
      </c>
      <c r="D114" s="53" t="s">
        <v>34</v>
      </c>
      <c r="E114" s="53" t="s">
        <v>57</v>
      </c>
      <c r="F114" s="54">
        <v>104185.5</v>
      </c>
      <c r="G114" s="153">
        <f>SUM(Ведомственная!G447)</f>
        <v>104185.5</v>
      </c>
      <c r="I114" s="154">
        <f t="shared" si="1"/>
        <v>0</v>
      </c>
      <c r="J114" s="154"/>
    </row>
    <row r="115" spans="1:10" ht="63">
      <c r="A115" s="51" t="s">
        <v>571</v>
      </c>
      <c r="B115" s="53" t="s">
        <v>572</v>
      </c>
      <c r="C115" s="53"/>
      <c r="D115" s="53"/>
      <c r="E115" s="53"/>
      <c r="F115" s="54">
        <f>F116+F117</f>
        <v>710.9</v>
      </c>
      <c r="I115" s="154">
        <f t="shared" si="1"/>
        <v>-710.9</v>
      </c>
      <c r="J115" s="154"/>
    </row>
    <row r="116" spans="1:10" ht="31.5">
      <c r="A116" s="51" t="s">
        <v>55</v>
      </c>
      <c r="B116" s="53" t="s">
        <v>572</v>
      </c>
      <c r="C116" s="53" t="s">
        <v>100</v>
      </c>
      <c r="D116" s="53" t="s">
        <v>34</v>
      </c>
      <c r="E116" s="53" t="s">
        <v>57</v>
      </c>
      <c r="F116" s="54">
        <v>10.9</v>
      </c>
      <c r="G116" s="153">
        <f>SUM(Ведомственная!G449)</f>
        <v>10.9</v>
      </c>
      <c r="I116" s="154">
        <f t="shared" si="1"/>
        <v>0</v>
      </c>
      <c r="J116" s="154"/>
    </row>
    <row r="117" spans="1:10" ht="15.75">
      <c r="A117" s="51" t="s">
        <v>45</v>
      </c>
      <c r="B117" s="53" t="s">
        <v>572</v>
      </c>
      <c r="C117" s="53" t="s">
        <v>108</v>
      </c>
      <c r="D117" s="53" t="s">
        <v>34</v>
      </c>
      <c r="E117" s="53" t="s">
        <v>57</v>
      </c>
      <c r="F117" s="54">
        <v>700</v>
      </c>
      <c r="G117" s="153">
        <f>SUM(Ведомственная!G450)</f>
        <v>700</v>
      </c>
      <c r="I117" s="154">
        <f t="shared" si="1"/>
        <v>0</v>
      </c>
      <c r="J117" s="154"/>
    </row>
    <row r="118" spans="1:10" ht="63">
      <c r="A118" s="51" t="s">
        <v>573</v>
      </c>
      <c r="B118" s="53" t="s">
        <v>574</v>
      </c>
      <c r="C118" s="53"/>
      <c r="D118" s="53"/>
      <c r="E118" s="53"/>
      <c r="F118" s="54">
        <f>F119+F120</f>
        <v>90</v>
      </c>
      <c r="I118" s="154">
        <f t="shared" si="1"/>
        <v>-90</v>
      </c>
      <c r="J118" s="154"/>
    </row>
    <row r="119" spans="1:10" ht="31.5">
      <c r="A119" s="51" t="s">
        <v>55</v>
      </c>
      <c r="B119" s="53" t="s">
        <v>574</v>
      </c>
      <c r="C119" s="53" t="s">
        <v>100</v>
      </c>
      <c r="D119" s="53" t="s">
        <v>34</v>
      </c>
      <c r="E119" s="53" t="s">
        <v>57</v>
      </c>
      <c r="F119" s="54">
        <v>1.5</v>
      </c>
      <c r="G119" s="153">
        <f>SUM(Ведомственная!G452)</f>
        <v>1.5</v>
      </c>
      <c r="I119" s="154">
        <f t="shared" si="1"/>
        <v>0</v>
      </c>
      <c r="J119" s="154"/>
    </row>
    <row r="120" spans="1:10" ht="15.75">
      <c r="A120" s="51" t="s">
        <v>45</v>
      </c>
      <c r="B120" s="53" t="s">
        <v>574</v>
      </c>
      <c r="C120" s="53" t="s">
        <v>108</v>
      </c>
      <c r="D120" s="53" t="s">
        <v>34</v>
      </c>
      <c r="E120" s="53" t="s">
        <v>57</v>
      </c>
      <c r="F120" s="54">
        <v>88.5</v>
      </c>
      <c r="G120" s="153">
        <f>SUM(Ведомственная!G453)</f>
        <v>88.5</v>
      </c>
      <c r="I120" s="154">
        <f t="shared" si="1"/>
        <v>0</v>
      </c>
      <c r="J120" s="154"/>
    </row>
    <row r="121" spans="1:10" ht="63">
      <c r="A121" s="51" t="s">
        <v>575</v>
      </c>
      <c r="B121" s="53" t="s">
        <v>576</v>
      </c>
      <c r="C121" s="53"/>
      <c r="D121" s="53"/>
      <c r="E121" s="53"/>
      <c r="F121" s="54">
        <f>F122+F123</f>
        <v>3260.2000000000003</v>
      </c>
      <c r="I121" s="154">
        <f t="shared" si="1"/>
        <v>-3260.2000000000003</v>
      </c>
      <c r="J121" s="154"/>
    </row>
    <row r="122" spans="1:10" ht="31.5">
      <c r="A122" s="51" t="s">
        <v>55</v>
      </c>
      <c r="B122" s="53" t="s">
        <v>576</v>
      </c>
      <c r="C122" s="53" t="s">
        <v>100</v>
      </c>
      <c r="D122" s="53" t="s">
        <v>34</v>
      </c>
      <c r="E122" s="53" t="s">
        <v>57</v>
      </c>
      <c r="F122" s="54">
        <v>80.9</v>
      </c>
      <c r="G122" s="153">
        <f>SUM(Ведомственная!G455)</f>
        <v>80.9</v>
      </c>
      <c r="I122" s="154">
        <f t="shared" si="1"/>
        <v>0</v>
      </c>
      <c r="J122" s="154"/>
    </row>
    <row r="123" spans="1:10" ht="15.75">
      <c r="A123" s="51" t="s">
        <v>45</v>
      </c>
      <c r="B123" s="53" t="s">
        <v>576</v>
      </c>
      <c r="C123" s="53" t="s">
        <v>108</v>
      </c>
      <c r="D123" s="53" t="s">
        <v>34</v>
      </c>
      <c r="E123" s="53" t="s">
        <v>57</v>
      </c>
      <c r="F123" s="54">
        <v>3179.3</v>
      </c>
      <c r="G123" s="153">
        <f>SUM(Ведомственная!G456)</f>
        <v>3179.3</v>
      </c>
      <c r="I123" s="154">
        <f t="shared" si="1"/>
        <v>0</v>
      </c>
      <c r="J123" s="154"/>
    </row>
    <row r="124" spans="1:10" ht="31.5">
      <c r="A124" s="51" t="s">
        <v>577</v>
      </c>
      <c r="B124" s="53" t="s">
        <v>578</v>
      </c>
      <c r="C124" s="53"/>
      <c r="D124" s="53"/>
      <c r="E124" s="53"/>
      <c r="F124" s="54">
        <f>F125+F126</f>
        <v>160047.2</v>
      </c>
      <c r="I124" s="154">
        <f t="shared" si="1"/>
        <v>-160047.2</v>
      </c>
      <c r="J124" s="154"/>
    </row>
    <row r="125" spans="1:10" ht="31.5">
      <c r="A125" s="51" t="s">
        <v>55</v>
      </c>
      <c r="B125" s="53" t="s">
        <v>578</v>
      </c>
      <c r="C125" s="53" t="s">
        <v>100</v>
      </c>
      <c r="D125" s="53" t="s">
        <v>34</v>
      </c>
      <c r="E125" s="53" t="s">
        <v>57</v>
      </c>
      <c r="F125" s="54">
        <v>2373.6</v>
      </c>
      <c r="G125" s="153">
        <f>SUM(Ведомственная!G458)</f>
        <v>2373.6</v>
      </c>
      <c r="I125" s="154">
        <f t="shared" si="1"/>
        <v>0</v>
      </c>
      <c r="J125" s="154"/>
    </row>
    <row r="126" spans="1:10" ht="15.75">
      <c r="A126" s="51" t="s">
        <v>45</v>
      </c>
      <c r="B126" s="53" t="s">
        <v>578</v>
      </c>
      <c r="C126" s="53" t="s">
        <v>108</v>
      </c>
      <c r="D126" s="53" t="s">
        <v>34</v>
      </c>
      <c r="E126" s="53" t="s">
        <v>57</v>
      </c>
      <c r="F126" s="54">
        <v>157673.6</v>
      </c>
      <c r="G126" s="153">
        <f>SUM(Ведомственная!G459)</f>
        <v>157673.6</v>
      </c>
      <c r="I126" s="154">
        <f t="shared" si="1"/>
        <v>0</v>
      </c>
      <c r="J126" s="154"/>
    </row>
    <row r="127" spans="1:10" ht="47.25">
      <c r="A127" s="51" t="s">
        <v>579</v>
      </c>
      <c r="B127" s="53" t="s">
        <v>580</v>
      </c>
      <c r="C127" s="53"/>
      <c r="D127" s="53"/>
      <c r="E127" s="53"/>
      <c r="F127" s="54">
        <f>F128+F129</f>
        <v>1971.5</v>
      </c>
      <c r="I127" s="154">
        <f t="shared" si="1"/>
        <v>-1971.5</v>
      </c>
      <c r="J127" s="154"/>
    </row>
    <row r="128" spans="1:10" ht="31.5">
      <c r="A128" s="51" t="s">
        <v>55</v>
      </c>
      <c r="B128" s="53" t="s">
        <v>580</v>
      </c>
      <c r="C128" s="53" t="s">
        <v>100</v>
      </c>
      <c r="D128" s="53" t="s">
        <v>34</v>
      </c>
      <c r="E128" s="53" t="s">
        <v>57</v>
      </c>
      <c r="F128" s="54">
        <v>29</v>
      </c>
      <c r="G128" s="153">
        <f>SUM(Ведомственная!G461)</f>
        <v>29</v>
      </c>
      <c r="I128" s="154">
        <f t="shared" si="1"/>
        <v>0</v>
      </c>
      <c r="J128" s="154"/>
    </row>
    <row r="129" spans="1:10" ht="15.75">
      <c r="A129" s="51" t="s">
        <v>45</v>
      </c>
      <c r="B129" s="53" t="s">
        <v>580</v>
      </c>
      <c r="C129" s="53" t="s">
        <v>108</v>
      </c>
      <c r="D129" s="53" t="s">
        <v>34</v>
      </c>
      <c r="E129" s="53" t="s">
        <v>57</v>
      </c>
      <c r="F129" s="54">
        <v>1942.5</v>
      </c>
      <c r="G129" s="153">
        <f>SUM(Ведомственная!G462)</f>
        <v>1942.5</v>
      </c>
      <c r="I129" s="154">
        <f t="shared" si="1"/>
        <v>0</v>
      </c>
      <c r="J129" s="154"/>
    </row>
    <row r="130" spans="1:10" ht="47.25">
      <c r="A130" s="51" t="s">
        <v>581</v>
      </c>
      <c r="B130" s="53" t="s">
        <v>582</v>
      </c>
      <c r="C130" s="53"/>
      <c r="D130" s="53"/>
      <c r="E130" s="53"/>
      <c r="F130" s="54">
        <f>F131+F132</f>
        <v>12809.8</v>
      </c>
      <c r="I130" s="154">
        <f t="shared" si="1"/>
        <v>-12809.8</v>
      </c>
      <c r="J130" s="154"/>
    </row>
    <row r="131" spans="1:10" ht="31.5">
      <c r="A131" s="51" t="s">
        <v>55</v>
      </c>
      <c r="B131" s="53" t="s">
        <v>582</v>
      </c>
      <c r="C131" s="53" t="s">
        <v>100</v>
      </c>
      <c r="D131" s="53" t="s">
        <v>34</v>
      </c>
      <c r="E131" s="53" t="s">
        <v>57</v>
      </c>
      <c r="F131" s="54">
        <v>189.3</v>
      </c>
      <c r="G131" s="153">
        <f>SUM(Ведомственная!G464)</f>
        <v>189.3</v>
      </c>
      <c r="I131" s="154">
        <f t="shared" si="1"/>
        <v>0</v>
      </c>
      <c r="J131" s="154"/>
    </row>
    <row r="132" spans="1:10" ht="15.75">
      <c r="A132" s="51" t="s">
        <v>45</v>
      </c>
      <c r="B132" s="53" t="s">
        <v>582</v>
      </c>
      <c r="C132" s="53" t="s">
        <v>108</v>
      </c>
      <c r="D132" s="53" t="s">
        <v>34</v>
      </c>
      <c r="E132" s="53" t="s">
        <v>57</v>
      </c>
      <c r="F132" s="54">
        <v>12620.5</v>
      </c>
      <c r="G132" s="153">
        <f>SUM(Ведомственная!G465)</f>
        <v>12620.5</v>
      </c>
      <c r="I132" s="154">
        <f t="shared" si="1"/>
        <v>0</v>
      </c>
      <c r="J132" s="154"/>
    </row>
    <row r="133" spans="1:10" ht="31.5">
      <c r="A133" s="51" t="s">
        <v>583</v>
      </c>
      <c r="B133" s="53" t="s">
        <v>584</v>
      </c>
      <c r="C133" s="53"/>
      <c r="D133" s="53"/>
      <c r="E133" s="53"/>
      <c r="F133" s="54">
        <f>F134+F135</f>
        <v>127639.90000000001</v>
      </c>
      <c r="I133" s="154">
        <f t="shared" si="1"/>
        <v>-127639.90000000001</v>
      </c>
      <c r="J133" s="154"/>
    </row>
    <row r="134" spans="1:10" ht="31.5">
      <c r="A134" s="51" t="s">
        <v>55</v>
      </c>
      <c r="B134" s="53" t="s">
        <v>584</v>
      </c>
      <c r="C134" s="53" t="s">
        <v>100</v>
      </c>
      <c r="D134" s="53" t="s">
        <v>34</v>
      </c>
      <c r="E134" s="53" t="s">
        <v>57</v>
      </c>
      <c r="F134" s="54">
        <v>1886.3</v>
      </c>
      <c r="G134" s="153">
        <f>SUM(Ведомственная!G467)</f>
        <v>1886.3</v>
      </c>
      <c r="I134" s="154">
        <f t="shared" si="1"/>
        <v>0</v>
      </c>
      <c r="J134" s="154"/>
    </row>
    <row r="135" spans="1:10" ht="15.75">
      <c r="A135" s="51" t="s">
        <v>45</v>
      </c>
      <c r="B135" s="53" t="s">
        <v>584</v>
      </c>
      <c r="C135" s="53" t="s">
        <v>108</v>
      </c>
      <c r="D135" s="53" t="s">
        <v>34</v>
      </c>
      <c r="E135" s="53" t="s">
        <v>57</v>
      </c>
      <c r="F135" s="54">
        <v>125753.6</v>
      </c>
      <c r="G135" s="153">
        <f>SUM(Ведомственная!G468)</f>
        <v>125753.6</v>
      </c>
      <c r="I135" s="154">
        <f t="shared" si="1"/>
        <v>0</v>
      </c>
      <c r="J135" s="154"/>
    </row>
    <row r="136" spans="1:10" ht="94.5">
      <c r="A136" s="51" t="s">
        <v>585</v>
      </c>
      <c r="B136" s="53" t="s">
        <v>586</v>
      </c>
      <c r="C136" s="53"/>
      <c r="D136" s="53"/>
      <c r="E136" s="53"/>
      <c r="F136" s="54">
        <f>F137+F138</f>
        <v>6</v>
      </c>
      <c r="I136" s="154">
        <f t="shared" si="1"/>
        <v>-6</v>
      </c>
      <c r="J136" s="154"/>
    </row>
    <row r="137" spans="1:10" ht="31.5">
      <c r="A137" s="51" t="s">
        <v>55</v>
      </c>
      <c r="B137" s="53" t="s">
        <v>586</v>
      </c>
      <c r="C137" s="53" t="s">
        <v>100</v>
      </c>
      <c r="D137" s="53" t="s">
        <v>34</v>
      </c>
      <c r="E137" s="53" t="s">
        <v>57</v>
      </c>
      <c r="F137" s="54">
        <v>0.1</v>
      </c>
      <c r="G137" s="153">
        <f>SUM(Ведомственная!G470)</f>
        <v>0.1</v>
      </c>
      <c r="I137" s="154">
        <f t="shared" si="1"/>
        <v>0</v>
      </c>
      <c r="J137" s="154"/>
    </row>
    <row r="138" spans="1:10" ht="15.75">
      <c r="A138" s="51" t="s">
        <v>45</v>
      </c>
      <c r="B138" s="53" t="s">
        <v>586</v>
      </c>
      <c r="C138" s="53" t="s">
        <v>108</v>
      </c>
      <c r="D138" s="53" t="s">
        <v>34</v>
      </c>
      <c r="E138" s="53" t="s">
        <v>57</v>
      </c>
      <c r="F138" s="54">
        <v>5.9</v>
      </c>
      <c r="G138" s="153">
        <f>SUM(Ведомственная!G471)</f>
        <v>5.9</v>
      </c>
      <c r="I138" s="154">
        <f t="shared" si="1"/>
        <v>0</v>
      </c>
      <c r="J138" s="154"/>
    </row>
    <row r="139" spans="1:10" ht="47.25">
      <c r="A139" s="51" t="s">
        <v>587</v>
      </c>
      <c r="B139" s="53" t="s">
        <v>588</v>
      </c>
      <c r="C139" s="53"/>
      <c r="D139" s="53"/>
      <c r="E139" s="53"/>
      <c r="F139" s="54">
        <f>F140+F141+F142</f>
        <v>8057.1</v>
      </c>
      <c r="I139" s="154">
        <f aca="true" t="shared" si="2" ref="I139:I166">G139-F139</f>
        <v>-8057.1</v>
      </c>
      <c r="J139" s="154"/>
    </row>
    <row r="140" spans="1:10" ht="31.5">
      <c r="A140" s="51" t="s">
        <v>55</v>
      </c>
      <c r="B140" s="53" t="s">
        <v>588</v>
      </c>
      <c r="C140" s="53" t="s">
        <v>100</v>
      </c>
      <c r="D140" s="53" t="s">
        <v>34</v>
      </c>
      <c r="E140" s="53" t="s">
        <v>57</v>
      </c>
      <c r="F140" s="54">
        <v>28.7</v>
      </c>
      <c r="G140" s="153">
        <f>SUM(Ведомственная!G473)</f>
        <v>28.7</v>
      </c>
      <c r="I140" s="154">
        <f t="shared" si="2"/>
        <v>0</v>
      </c>
      <c r="J140" s="154"/>
    </row>
    <row r="141" spans="1:10" ht="15.75">
      <c r="A141" s="51" t="s">
        <v>45</v>
      </c>
      <c r="B141" s="53" t="s">
        <v>588</v>
      </c>
      <c r="C141" s="53" t="s">
        <v>108</v>
      </c>
      <c r="D141" s="53" t="s">
        <v>34</v>
      </c>
      <c r="E141" s="53" t="s">
        <v>57</v>
      </c>
      <c r="F141" s="54">
        <v>7561.6</v>
      </c>
      <c r="G141" s="153">
        <f>SUM(Ведомственная!G474+Ведомственная!G807)+Ведомственная!G909</f>
        <v>7561.6</v>
      </c>
      <c r="I141" s="154">
        <f t="shared" si="2"/>
        <v>0</v>
      </c>
      <c r="J141" s="154"/>
    </row>
    <row r="142" spans="1:10" ht="31.5">
      <c r="A142" s="51" t="s">
        <v>133</v>
      </c>
      <c r="B142" s="53" t="s">
        <v>588</v>
      </c>
      <c r="C142" s="53" t="s">
        <v>134</v>
      </c>
      <c r="D142" s="53" t="s">
        <v>34</v>
      </c>
      <c r="E142" s="53" t="s">
        <v>57</v>
      </c>
      <c r="F142" s="54">
        <v>466.8</v>
      </c>
      <c r="G142" s="153">
        <f>Ведомственная!G808</f>
        <v>466.8</v>
      </c>
      <c r="I142" s="154">
        <f t="shared" si="2"/>
        <v>0</v>
      </c>
      <c r="J142" s="154"/>
    </row>
    <row r="143" spans="1:10" ht="63">
      <c r="A143" s="51" t="s">
        <v>589</v>
      </c>
      <c r="B143" s="53" t="s">
        <v>590</v>
      </c>
      <c r="C143" s="53"/>
      <c r="D143" s="53"/>
      <c r="E143" s="53"/>
      <c r="F143" s="54">
        <f>F144+F145</f>
        <v>1635.2</v>
      </c>
      <c r="I143" s="154">
        <f t="shared" si="2"/>
        <v>-1635.2</v>
      </c>
      <c r="J143" s="154"/>
    </row>
    <row r="144" spans="1:10" ht="31.5">
      <c r="A144" s="51" t="s">
        <v>55</v>
      </c>
      <c r="B144" s="53" t="s">
        <v>590</v>
      </c>
      <c r="C144" s="53" t="s">
        <v>100</v>
      </c>
      <c r="D144" s="53" t="s">
        <v>34</v>
      </c>
      <c r="E144" s="53" t="s">
        <v>57</v>
      </c>
      <c r="F144" s="54">
        <v>28.4</v>
      </c>
      <c r="G144" s="153">
        <f>SUM(Ведомственная!G476)</f>
        <v>28.4</v>
      </c>
      <c r="I144" s="154">
        <f t="shared" si="2"/>
        <v>0</v>
      </c>
      <c r="J144" s="154"/>
    </row>
    <row r="145" spans="1:10" ht="15.75">
      <c r="A145" s="51" t="s">
        <v>45</v>
      </c>
      <c r="B145" s="53" t="s">
        <v>590</v>
      </c>
      <c r="C145" s="53" t="s">
        <v>108</v>
      </c>
      <c r="D145" s="53" t="s">
        <v>34</v>
      </c>
      <c r="E145" s="53" t="s">
        <v>57</v>
      </c>
      <c r="F145" s="54">
        <v>1606.8</v>
      </c>
      <c r="G145" s="153">
        <f>SUM(Ведомственная!G477)</f>
        <v>1606.8</v>
      </c>
      <c r="I145" s="154">
        <f t="shared" si="2"/>
        <v>0</v>
      </c>
      <c r="J145" s="154"/>
    </row>
    <row r="146" spans="1:10" ht="31.5">
      <c r="A146" s="51" t="s">
        <v>591</v>
      </c>
      <c r="B146" s="53" t="s">
        <v>592</v>
      </c>
      <c r="C146" s="53"/>
      <c r="D146" s="53"/>
      <c r="E146" s="53"/>
      <c r="F146" s="54">
        <f>F147+F148</f>
        <v>69.3</v>
      </c>
      <c r="I146" s="154">
        <f t="shared" si="2"/>
        <v>-69.3</v>
      </c>
      <c r="J146" s="154"/>
    </row>
    <row r="147" spans="1:10" ht="31.5">
      <c r="A147" s="51" t="s">
        <v>55</v>
      </c>
      <c r="B147" s="53" t="s">
        <v>592</v>
      </c>
      <c r="C147" s="53" t="s">
        <v>100</v>
      </c>
      <c r="D147" s="53" t="s">
        <v>34</v>
      </c>
      <c r="E147" s="53" t="s">
        <v>57</v>
      </c>
      <c r="F147" s="54">
        <v>1</v>
      </c>
      <c r="G147" s="153">
        <f>SUM(Ведомственная!G479)</f>
        <v>1</v>
      </c>
      <c r="I147" s="154">
        <f t="shared" si="2"/>
        <v>0</v>
      </c>
      <c r="J147" s="154"/>
    </row>
    <row r="148" spans="1:10" ht="15.75">
      <c r="A148" s="51" t="s">
        <v>45</v>
      </c>
      <c r="B148" s="53" t="s">
        <v>592</v>
      </c>
      <c r="C148" s="53" t="s">
        <v>108</v>
      </c>
      <c r="D148" s="53" t="s">
        <v>34</v>
      </c>
      <c r="E148" s="53" t="s">
        <v>57</v>
      </c>
      <c r="F148" s="54">
        <v>68.3</v>
      </c>
      <c r="G148" s="153">
        <f>SUM(Ведомственная!G480)</f>
        <v>68.3</v>
      </c>
      <c r="I148" s="154">
        <f t="shared" si="2"/>
        <v>0</v>
      </c>
      <c r="J148" s="154"/>
    </row>
    <row r="149" spans="1:10" ht="63">
      <c r="A149" s="51" t="s">
        <v>593</v>
      </c>
      <c r="B149" s="53" t="s">
        <v>594</v>
      </c>
      <c r="C149" s="53"/>
      <c r="D149" s="53"/>
      <c r="E149" s="53"/>
      <c r="F149" s="54">
        <f>F150+F151</f>
        <v>400.9</v>
      </c>
      <c r="I149" s="154">
        <f t="shared" si="2"/>
        <v>-400.9</v>
      </c>
      <c r="J149" s="154"/>
    </row>
    <row r="150" spans="1:10" ht="31.5">
      <c r="A150" s="51" t="s">
        <v>55</v>
      </c>
      <c r="B150" s="53" t="s">
        <v>594</v>
      </c>
      <c r="C150" s="53" t="s">
        <v>100</v>
      </c>
      <c r="D150" s="53" t="s">
        <v>34</v>
      </c>
      <c r="E150" s="53" t="s">
        <v>57</v>
      </c>
      <c r="F150" s="54">
        <v>5.2</v>
      </c>
      <c r="G150" s="153">
        <f>SUM(Ведомственная!G482)</f>
        <v>5.2</v>
      </c>
      <c r="I150" s="154">
        <f t="shared" si="2"/>
        <v>0</v>
      </c>
      <c r="J150" s="154"/>
    </row>
    <row r="151" spans="1:10" ht="15.75">
      <c r="A151" s="51" t="s">
        <v>45</v>
      </c>
      <c r="B151" s="53" t="s">
        <v>594</v>
      </c>
      <c r="C151" s="53" t="s">
        <v>108</v>
      </c>
      <c r="D151" s="53" t="s">
        <v>34</v>
      </c>
      <c r="E151" s="53" t="s">
        <v>57</v>
      </c>
      <c r="F151" s="54">
        <v>395.7</v>
      </c>
      <c r="G151" s="153">
        <f>SUM(Ведомственная!G483)</f>
        <v>395.7</v>
      </c>
      <c r="I151" s="154">
        <f t="shared" si="2"/>
        <v>0</v>
      </c>
      <c r="J151" s="154"/>
    </row>
    <row r="152" spans="1:10" ht="31.5">
      <c r="A152" s="51" t="s">
        <v>704</v>
      </c>
      <c r="B152" s="53" t="s">
        <v>705</v>
      </c>
      <c r="C152" s="53"/>
      <c r="D152" s="53"/>
      <c r="E152" s="53"/>
      <c r="F152" s="54">
        <f>SUM(F153:F154)</f>
        <v>19958.2</v>
      </c>
      <c r="I152" s="154"/>
      <c r="J152" s="154"/>
    </row>
    <row r="153" spans="1:10" ht="31.5">
      <c r="A153" s="51" t="s">
        <v>55</v>
      </c>
      <c r="B153" s="53" t="s">
        <v>705</v>
      </c>
      <c r="C153" s="53" t="s">
        <v>100</v>
      </c>
      <c r="D153" s="53" t="s">
        <v>34</v>
      </c>
      <c r="E153" s="53" t="s">
        <v>57</v>
      </c>
      <c r="F153" s="54">
        <v>491.5</v>
      </c>
      <c r="G153" s="153">
        <f>SUM(Ведомственная!G485)</f>
        <v>491.5</v>
      </c>
      <c r="I153" s="154">
        <f t="shared" si="2"/>
        <v>0</v>
      </c>
      <c r="J153" s="154"/>
    </row>
    <row r="154" spans="1:10" ht="15.75">
      <c r="A154" s="51" t="s">
        <v>45</v>
      </c>
      <c r="B154" s="53" t="s">
        <v>705</v>
      </c>
      <c r="C154" s="53" t="s">
        <v>108</v>
      </c>
      <c r="D154" s="53" t="s">
        <v>34</v>
      </c>
      <c r="E154" s="53" t="s">
        <v>57</v>
      </c>
      <c r="F154" s="54">
        <v>19466.7</v>
      </c>
      <c r="G154" s="153">
        <f>SUM(Ведомственная!G486)</f>
        <v>19466.7</v>
      </c>
      <c r="I154" s="154">
        <f t="shared" si="2"/>
        <v>0</v>
      </c>
      <c r="J154" s="154"/>
    </row>
    <row r="155" spans="1:10" ht="47.25">
      <c r="A155" s="51" t="s">
        <v>554</v>
      </c>
      <c r="B155" s="53" t="s">
        <v>555</v>
      </c>
      <c r="C155" s="52"/>
      <c r="D155" s="53"/>
      <c r="E155" s="53"/>
      <c r="F155" s="54">
        <f>F161+F156</f>
        <v>70198.4</v>
      </c>
      <c r="I155" s="154">
        <f t="shared" si="2"/>
        <v>-70198.4</v>
      </c>
      <c r="J155" s="154"/>
    </row>
    <row r="156" spans="1:10" ht="47.25">
      <c r="A156" s="51" t="s">
        <v>611</v>
      </c>
      <c r="B156" s="52" t="s">
        <v>612</v>
      </c>
      <c r="C156" s="52"/>
      <c r="D156" s="53"/>
      <c r="E156" s="53"/>
      <c r="F156" s="54">
        <f>F157</f>
        <v>17222.6</v>
      </c>
      <c r="I156" s="154">
        <f t="shared" si="2"/>
        <v>-17222.6</v>
      </c>
      <c r="J156" s="154"/>
    </row>
    <row r="157" spans="1:10" ht="31.5">
      <c r="A157" s="51" t="s">
        <v>613</v>
      </c>
      <c r="B157" s="52" t="s">
        <v>614</v>
      </c>
      <c r="C157" s="52"/>
      <c r="D157" s="53"/>
      <c r="E157" s="53"/>
      <c r="F157" s="54">
        <f>F158+F159+F160</f>
        <v>17222.6</v>
      </c>
      <c r="I157" s="154">
        <f t="shared" si="2"/>
        <v>-17222.6</v>
      </c>
      <c r="J157" s="154"/>
    </row>
    <row r="158" spans="1:10" ht="63">
      <c r="A158" s="51" t="s">
        <v>54</v>
      </c>
      <c r="B158" s="52" t="s">
        <v>614</v>
      </c>
      <c r="C158" s="52">
        <v>100</v>
      </c>
      <c r="D158" s="53" t="s">
        <v>34</v>
      </c>
      <c r="E158" s="53" t="s">
        <v>81</v>
      </c>
      <c r="F158" s="54">
        <v>14583.1</v>
      </c>
      <c r="G158" s="153">
        <f>SUM(Ведомственная!G565)</f>
        <v>14583.1</v>
      </c>
      <c r="I158" s="154">
        <f t="shared" si="2"/>
        <v>0</v>
      </c>
      <c r="J158" s="154"/>
    </row>
    <row r="159" spans="1:10" ht="31.5">
      <c r="A159" s="51" t="s">
        <v>55</v>
      </c>
      <c r="B159" s="52" t="s">
        <v>614</v>
      </c>
      <c r="C159" s="52">
        <v>200</v>
      </c>
      <c r="D159" s="53" t="s">
        <v>34</v>
      </c>
      <c r="E159" s="53" t="s">
        <v>81</v>
      </c>
      <c r="F159" s="54">
        <v>2321.2</v>
      </c>
      <c r="G159" s="153">
        <f>SUM(Ведомственная!G566)</f>
        <v>2321.2</v>
      </c>
      <c r="I159" s="154">
        <f t="shared" si="2"/>
        <v>0</v>
      </c>
      <c r="J159" s="154"/>
    </row>
    <row r="160" spans="1:10" ht="15.75">
      <c r="A160" s="51" t="s">
        <v>25</v>
      </c>
      <c r="B160" s="52" t="s">
        <v>614</v>
      </c>
      <c r="C160" s="52">
        <v>800</v>
      </c>
      <c r="D160" s="53" t="s">
        <v>34</v>
      </c>
      <c r="E160" s="53" t="s">
        <v>81</v>
      </c>
      <c r="F160" s="54">
        <v>318.3</v>
      </c>
      <c r="G160" s="153">
        <f>SUM(Ведомственная!G567)</f>
        <v>318.3</v>
      </c>
      <c r="I160" s="154">
        <f t="shared" si="2"/>
        <v>0</v>
      </c>
      <c r="J160" s="154"/>
    </row>
    <row r="161" spans="1:10" ht="94.5">
      <c r="A161" s="51" t="s">
        <v>316</v>
      </c>
      <c r="B161" s="53" t="s">
        <v>556</v>
      </c>
      <c r="C161" s="52"/>
      <c r="D161" s="53"/>
      <c r="E161" s="53"/>
      <c r="F161" s="54">
        <f>F162</f>
        <v>52975.8</v>
      </c>
      <c r="I161" s="154">
        <f t="shared" si="2"/>
        <v>-52975.8</v>
      </c>
      <c r="J161" s="154"/>
    </row>
    <row r="162" spans="1:10" ht="31.5">
      <c r="A162" s="51" t="s">
        <v>557</v>
      </c>
      <c r="B162" s="53" t="s">
        <v>558</v>
      </c>
      <c r="C162" s="52"/>
      <c r="D162" s="53"/>
      <c r="E162" s="53"/>
      <c r="F162" s="54">
        <f>F163+F164+F165</f>
        <v>52975.8</v>
      </c>
      <c r="I162" s="154">
        <f t="shared" si="2"/>
        <v>-52975.8</v>
      </c>
      <c r="J162" s="154"/>
    </row>
    <row r="163" spans="1:10" ht="63">
      <c r="A163" s="51" t="s">
        <v>54</v>
      </c>
      <c r="B163" s="53" t="s">
        <v>558</v>
      </c>
      <c r="C163" s="52">
        <v>100</v>
      </c>
      <c r="D163" s="53" t="s">
        <v>34</v>
      </c>
      <c r="E163" s="53" t="s">
        <v>47</v>
      </c>
      <c r="F163" s="54">
        <v>44851.4</v>
      </c>
      <c r="G163" s="153">
        <f>SUM(Ведомственная!G420)</f>
        <v>44851.4</v>
      </c>
      <c r="I163" s="154">
        <f t="shared" si="2"/>
        <v>0</v>
      </c>
      <c r="J163" s="154"/>
    </row>
    <row r="164" spans="1:10" ht="31.5">
      <c r="A164" s="51" t="s">
        <v>55</v>
      </c>
      <c r="B164" s="53" t="s">
        <v>558</v>
      </c>
      <c r="C164" s="52">
        <v>200</v>
      </c>
      <c r="D164" s="53" t="s">
        <v>34</v>
      </c>
      <c r="E164" s="53" t="s">
        <v>47</v>
      </c>
      <c r="F164" s="54">
        <v>7911.4</v>
      </c>
      <c r="G164" s="153">
        <f>SUM(Ведомственная!G421)</f>
        <v>7911.4</v>
      </c>
      <c r="I164" s="154">
        <f t="shared" si="2"/>
        <v>0</v>
      </c>
      <c r="J164" s="154"/>
    </row>
    <row r="165" spans="1:10" ht="15.75">
      <c r="A165" s="51" t="s">
        <v>25</v>
      </c>
      <c r="B165" s="53" t="s">
        <v>558</v>
      </c>
      <c r="C165" s="52">
        <v>800</v>
      </c>
      <c r="D165" s="53" t="s">
        <v>34</v>
      </c>
      <c r="E165" s="53" t="s">
        <v>47</v>
      </c>
      <c r="F165" s="54">
        <v>213</v>
      </c>
      <c r="G165" s="153">
        <f>SUM(Ведомственная!G422)</f>
        <v>213</v>
      </c>
      <c r="I165" s="154">
        <f t="shared" si="2"/>
        <v>0</v>
      </c>
      <c r="J165" s="154"/>
    </row>
    <row r="166" spans="1:10" ht="63">
      <c r="A166" s="51" t="s">
        <v>549</v>
      </c>
      <c r="B166" s="53" t="s">
        <v>550</v>
      </c>
      <c r="C166" s="53"/>
      <c r="D166" s="53"/>
      <c r="E166" s="53"/>
      <c r="F166" s="54">
        <f>SUM(F167)</f>
        <v>4545.5</v>
      </c>
      <c r="H166" s="159">
        <f>SUM(G169:G171)</f>
        <v>4545.5</v>
      </c>
      <c r="I166" s="154">
        <f t="shared" si="2"/>
        <v>-4545.5</v>
      </c>
      <c r="J166" s="154">
        <f aca="true" t="shared" si="3" ref="J166:J214">SUM(H166-F166)</f>
        <v>0</v>
      </c>
    </row>
    <row r="167" spans="1:10" ht="94.5">
      <c r="A167" s="55" t="s">
        <v>245</v>
      </c>
      <c r="B167" s="53" t="s">
        <v>551</v>
      </c>
      <c r="C167" s="53"/>
      <c r="D167" s="53"/>
      <c r="E167" s="53"/>
      <c r="F167" s="54">
        <f>SUM(F168)</f>
        <v>4545.5</v>
      </c>
      <c r="J167" s="154">
        <f t="shared" si="3"/>
        <v>-4545.5</v>
      </c>
    </row>
    <row r="168" spans="1:10" ht="31.5">
      <c r="A168" s="51" t="s">
        <v>284</v>
      </c>
      <c r="B168" s="53" t="s">
        <v>552</v>
      </c>
      <c r="C168" s="53"/>
      <c r="D168" s="53"/>
      <c r="E168" s="53"/>
      <c r="F168" s="54">
        <f>SUM(F169:F171)</f>
        <v>4545.5</v>
      </c>
      <c r="J168" s="154">
        <f t="shared" si="3"/>
        <v>-4545.5</v>
      </c>
    </row>
    <row r="169" spans="1:10" ht="63">
      <c r="A169" s="51" t="s">
        <v>54</v>
      </c>
      <c r="B169" s="53" t="s">
        <v>552</v>
      </c>
      <c r="C169" s="53" t="s">
        <v>98</v>
      </c>
      <c r="D169" s="53" t="s">
        <v>57</v>
      </c>
      <c r="E169" s="53" t="s">
        <v>16</v>
      </c>
      <c r="F169" s="54">
        <v>3540.2</v>
      </c>
      <c r="G169" s="153">
        <f>SUM(Ведомственная!G141)</f>
        <v>3540.2</v>
      </c>
      <c r="I169" s="154">
        <f aca="true" t="shared" si="4" ref="I169:I233">G169-F169</f>
        <v>0</v>
      </c>
      <c r="J169" s="154">
        <f t="shared" si="3"/>
        <v>-3540.2</v>
      </c>
    </row>
    <row r="170" spans="1:10" ht="31.5">
      <c r="A170" s="51" t="s">
        <v>55</v>
      </c>
      <c r="B170" s="53" t="s">
        <v>552</v>
      </c>
      <c r="C170" s="53" t="s">
        <v>100</v>
      </c>
      <c r="D170" s="53" t="s">
        <v>57</v>
      </c>
      <c r="E170" s="53" t="s">
        <v>16</v>
      </c>
      <c r="F170" s="54">
        <v>907.3</v>
      </c>
      <c r="G170" s="153">
        <f>SUM(Ведомственная!G142)</f>
        <v>907.3</v>
      </c>
      <c r="I170" s="154">
        <f t="shared" si="4"/>
        <v>0</v>
      </c>
      <c r="J170" s="154">
        <f t="shared" si="3"/>
        <v>-907.3</v>
      </c>
    </row>
    <row r="171" spans="1:10" ht="15.75">
      <c r="A171" s="51" t="s">
        <v>25</v>
      </c>
      <c r="B171" s="53" t="s">
        <v>552</v>
      </c>
      <c r="C171" s="53" t="s">
        <v>105</v>
      </c>
      <c r="D171" s="53" t="s">
        <v>57</v>
      </c>
      <c r="E171" s="53" t="s">
        <v>16</v>
      </c>
      <c r="F171" s="54">
        <v>98</v>
      </c>
      <c r="G171" s="153">
        <f>SUM(Ведомственная!G143)</f>
        <v>98</v>
      </c>
      <c r="I171" s="154">
        <f t="shared" si="4"/>
        <v>0</v>
      </c>
      <c r="J171" s="154">
        <f t="shared" si="3"/>
        <v>-98</v>
      </c>
    </row>
    <row r="172" spans="1:10" ht="31.5">
      <c r="A172" s="51" t="s">
        <v>318</v>
      </c>
      <c r="B172" s="52" t="s">
        <v>285</v>
      </c>
      <c r="C172" s="52"/>
      <c r="D172" s="53"/>
      <c r="E172" s="53"/>
      <c r="F172" s="54">
        <f>SUM(F173+F177)</f>
        <v>3010</v>
      </c>
      <c r="H172" s="155">
        <f>SUM(G176:G182)</f>
        <v>3010</v>
      </c>
      <c r="I172" s="154">
        <f t="shared" si="4"/>
        <v>-3010</v>
      </c>
      <c r="J172" s="154">
        <f t="shared" si="3"/>
        <v>0</v>
      </c>
    </row>
    <row r="173" spans="1:10" ht="47.25">
      <c r="A173" s="165" t="s">
        <v>784</v>
      </c>
      <c r="B173" s="53" t="s">
        <v>286</v>
      </c>
      <c r="C173" s="52"/>
      <c r="D173" s="53"/>
      <c r="E173" s="53"/>
      <c r="F173" s="54">
        <f>SUM(F174)</f>
        <v>1500</v>
      </c>
      <c r="I173" s="154">
        <f t="shared" si="4"/>
        <v>-1500</v>
      </c>
      <c r="J173" s="154">
        <f t="shared" si="3"/>
        <v>-1500</v>
      </c>
    </row>
    <row r="174" spans="1:10" ht="47.25">
      <c r="A174" s="66" t="s">
        <v>21</v>
      </c>
      <c r="B174" s="53" t="s">
        <v>343</v>
      </c>
      <c r="C174" s="52"/>
      <c r="D174" s="53"/>
      <c r="E174" s="53"/>
      <c r="F174" s="54">
        <f>SUM(F175)</f>
        <v>1500</v>
      </c>
      <c r="I174" s="154">
        <f t="shared" si="4"/>
        <v>-1500</v>
      </c>
      <c r="J174" s="154">
        <f t="shared" si="3"/>
        <v>-1500</v>
      </c>
    </row>
    <row r="175" spans="1:10" ht="31.5">
      <c r="A175" s="51" t="s">
        <v>287</v>
      </c>
      <c r="B175" s="53" t="s">
        <v>344</v>
      </c>
      <c r="C175" s="53"/>
      <c r="D175" s="53"/>
      <c r="E175" s="53"/>
      <c r="F175" s="54">
        <f>SUM(F176)</f>
        <v>1500</v>
      </c>
      <c r="I175" s="154">
        <f t="shared" si="4"/>
        <v>-1500</v>
      </c>
      <c r="J175" s="154">
        <f t="shared" si="3"/>
        <v>-1500</v>
      </c>
    </row>
    <row r="176" spans="1:10" ht="15.75">
      <c r="A176" s="51" t="s">
        <v>25</v>
      </c>
      <c r="B176" s="53" t="s">
        <v>344</v>
      </c>
      <c r="C176" s="53" t="s">
        <v>105</v>
      </c>
      <c r="D176" s="53" t="s">
        <v>16</v>
      </c>
      <c r="E176" s="53" t="s">
        <v>27</v>
      </c>
      <c r="F176" s="54">
        <v>1500</v>
      </c>
      <c r="G176" s="153">
        <f>SUM(Ведомственная!G196)</f>
        <v>1500</v>
      </c>
      <c r="I176" s="154">
        <f t="shared" si="4"/>
        <v>0</v>
      </c>
      <c r="J176" s="154">
        <f t="shared" si="3"/>
        <v>-1500</v>
      </c>
    </row>
    <row r="177" spans="1:10" ht="31.5">
      <c r="A177" s="51" t="s">
        <v>288</v>
      </c>
      <c r="B177" s="53" t="s">
        <v>289</v>
      </c>
      <c r="C177" s="52"/>
      <c r="D177" s="53"/>
      <c r="E177" s="53"/>
      <c r="F177" s="54">
        <f>SUM(F178)</f>
        <v>1510</v>
      </c>
      <c r="I177" s="154">
        <f t="shared" si="4"/>
        <v>-1510</v>
      </c>
      <c r="J177" s="154">
        <f t="shared" si="3"/>
        <v>-1510</v>
      </c>
    </row>
    <row r="178" spans="1:10" ht="31.5">
      <c r="A178" s="66" t="s">
        <v>72</v>
      </c>
      <c r="B178" s="53" t="s">
        <v>644</v>
      </c>
      <c r="C178" s="52"/>
      <c r="D178" s="53"/>
      <c r="E178" s="53"/>
      <c r="F178" s="54">
        <f>SUM(F179)+F181</f>
        <v>1510</v>
      </c>
      <c r="I178" s="154">
        <f t="shared" si="4"/>
        <v>-1510</v>
      </c>
      <c r="J178" s="154">
        <f t="shared" si="3"/>
        <v>-1510</v>
      </c>
    </row>
    <row r="179" spans="1:10" ht="47.25">
      <c r="A179" s="51" t="s">
        <v>290</v>
      </c>
      <c r="B179" s="53" t="s">
        <v>342</v>
      </c>
      <c r="C179" s="53"/>
      <c r="D179" s="53"/>
      <c r="E179" s="53"/>
      <c r="F179" s="54">
        <f>SUM(F180)</f>
        <v>1500</v>
      </c>
      <c r="I179" s="154">
        <f t="shared" si="4"/>
        <v>-1500</v>
      </c>
      <c r="J179" s="154">
        <f t="shared" si="3"/>
        <v>-1500</v>
      </c>
    </row>
    <row r="180" spans="1:10" ht="31.5">
      <c r="A180" s="51" t="s">
        <v>282</v>
      </c>
      <c r="B180" s="53" t="s">
        <v>342</v>
      </c>
      <c r="C180" s="53" t="s">
        <v>134</v>
      </c>
      <c r="D180" s="53" t="s">
        <v>16</v>
      </c>
      <c r="E180" s="53" t="s">
        <v>27</v>
      </c>
      <c r="F180" s="54">
        <v>1500</v>
      </c>
      <c r="G180" s="153">
        <f>SUM(Ведомственная!G200)</f>
        <v>1500</v>
      </c>
      <c r="I180" s="154">
        <f t="shared" si="4"/>
        <v>0</v>
      </c>
      <c r="J180" s="154">
        <f t="shared" si="3"/>
        <v>-1500</v>
      </c>
    </row>
    <row r="181" spans="1:10" ht="47.25">
      <c r="A181" s="51" t="s">
        <v>676</v>
      </c>
      <c r="B181" s="53" t="s">
        <v>654</v>
      </c>
      <c r="C181" s="53"/>
      <c r="D181" s="53"/>
      <c r="E181" s="67"/>
      <c r="F181" s="54">
        <f>SUM(F182)</f>
        <v>10</v>
      </c>
      <c r="I181" s="154">
        <f t="shared" si="4"/>
        <v>-10</v>
      </c>
      <c r="J181" s="154"/>
    </row>
    <row r="182" spans="1:10" ht="31.5">
      <c r="A182" s="51" t="s">
        <v>282</v>
      </c>
      <c r="B182" s="53" t="s">
        <v>654</v>
      </c>
      <c r="C182" s="53" t="s">
        <v>134</v>
      </c>
      <c r="D182" s="53" t="s">
        <v>16</v>
      </c>
      <c r="E182" s="53" t="s">
        <v>27</v>
      </c>
      <c r="F182" s="54">
        <v>10</v>
      </c>
      <c r="G182" s="153">
        <f>SUM(Ведомственная!G202)</f>
        <v>10</v>
      </c>
      <c r="I182" s="154">
        <f t="shared" si="4"/>
        <v>0</v>
      </c>
      <c r="J182" s="154"/>
    </row>
    <row r="183" spans="1:10" ht="31.5">
      <c r="A183" s="51" t="s">
        <v>517</v>
      </c>
      <c r="B183" s="53" t="s">
        <v>257</v>
      </c>
      <c r="C183" s="52"/>
      <c r="D183" s="53"/>
      <c r="E183" s="53"/>
      <c r="F183" s="54">
        <f>SUM(F184)</f>
        <v>357.70000000000005</v>
      </c>
      <c r="H183" s="155">
        <f>SUM(G186:G187)</f>
        <v>357.70000000000005</v>
      </c>
      <c r="I183" s="154">
        <f t="shared" si="4"/>
        <v>-357.70000000000005</v>
      </c>
      <c r="J183" s="154">
        <f t="shared" si="3"/>
        <v>0</v>
      </c>
    </row>
    <row r="184" spans="1:10" ht="94.5">
      <c r="A184" s="55" t="s">
        <v>245</v>
      </c>
      <c r="B184" s="52" t="s">
        <v>529</v>
      </c>
      <c r="C184" s="52"/>
      <c r="D184" s="53"/>
      <c r="E184" s="53"/>
      <c r="F184" s="54">
        <f>SUM(F185)</f>
        <v>357.70000000000005</v>
      </c>
      <c r="I184" s="154">
        <f t="shared" si="4"/>
        <v>-357.70000000000005</v>
      </c>
      <c r="J184" s="154">
        <f t="shared" si="3"/>
        <v>-357.70000000000005</v>
      </c>
    </row>
    <row r="185" spans="1:10" ht="31.5">
      <c r="A185" s="51" t="s">
        <v>254</v>
      </c>
      <c r="B185" s="52" t="s">
        <v>530</v>
      </c>
      <c r="C185" s="52"/>
      <c r="D185" s="53"/>
      <c r="E185" s="53"/>
      <c r="F185" s="54">
        <f>SUM(F186:F187)</f>
        <v>357.70000000000005</v>
      </c>
      <c r="I185" s="154">
        <f t="shared" si="4"/>
        <v>-357.70000000000005</v>
      </c>
      <c r="J185" s="154">
        <f t="shared" si="3"/>
        <v>-357.70000000000005</v>
      </c>
    </row>
    <row r="186" spans="1:10" ht="63">
      <c r="A186" s="51" t="s">
        <v>54</v>
      </c>
      <c r="B186" s="52" t="s">
        <v>530</v>
      </c>
      <c r="C186" s="52">
        <v>100</v>
      </c>
      <c r="D186" s="53" t="s">
        <v>37</v>
      </c>
      <c r="E186" s="53" t="s">
        <v>16</v>
      </c>
      <c r="F186" s="54">
        <v>288.8</v>
      </c>
      <c r="G186" s="153">
        <f>SUM(Ведомственная!G69)</f>
        <v>288.8</v>
      </c>
      <c r="I186" s="154">
        <f t="shared" si="4"/>
        <v>0</v>
      </c>
      <c r="J186" s="154">
        <f t="shared" si="3"/>
        <v>-288.8</v>
      </c>
    </row>
    <row r="187" spans="1:10" ht="31.5">
      <c r="A187" s="51" t="s">
        <v>55</v>
      </c>
      <c r="B187" s="52" t="s">
        <v>530</v>
      </c>
      <c r="C187" s="53" t="s">
        <v>100</v>
      </c>
      <c r="D187" s="53" t="s">
        <v>37</v>
      </c>
      <c r="E187" s="53" t="s">
        <v>16</v>
      </c>
      <c r="F187" s="54">
        <v>68.9</v>
      </c>
      <c r="G187" s="153">
        <f>SUM(Ведомственная!G70)</f>
        <v>68.9</v>
      </c>
      <c r="I187" s="154">
        <f t="shared" si="4"/>
        <v>0</v>
      </c>
      <c r="J187" s="154">
        <f t="shared" si="3"/>
        <v>-68.9</v>
      </c>
    </row>
    <row r="188" spans="1:10" ht="31.5">
      <c r="A188" s="51" t="s">
        <v>258</v>
      </c>
      <c r="B188" s="53" t="s">
        <v>259</v>
      </c>
      <c r="C188" s="52"/>
      <c r="D188" s="53"/>
      <c r="E188" s="53"/>
      <c r="F188" s="54">
        <f>SUM(F189:F190)</f>
        <v>100</v>
      </c>
      <c r="H188" s="153">
        <f>SUM(G189:G190)</f>
        <v>100</v>
      </c>
      <c r="I188" s="154">
        <f t="shared" si="4"/>
        <v>-100</v>
      </c>
      <c r="J188" s="154">
        <f t="shared" si="3"/>
        <v>0</v>
      </c>
    </row>
    <row r="189" spans="1:10" ht="31.5">
      <c r="A189" s="51" t="s">
        <v>55</v>
      </c>
      <c r="B189" s="52" t="s">
        <v>259</v>
      </c>
      <c r="C189" s="52">
        <v>200</v>
      </c>
      <c r="D189" s="53" t="s">
        <v>37</v>
      </c>
      <c r="E189" s="53">
        <v>13</v>
      </c>
      <c r="F189" s="54">
        <v>100</v>
      </c>
      <c r="G189" s="153">
        <f>SUM(Ведомственная!G94)</f>
        <v>100</v>
      </c>
      <c r="I189" s="154">
        <f t="shared" si="4"/>
        <v>0</v>
      </c>
      <c r="J189" s="154">
        <f t="shared" si="3"/>
        <v>-100</v>
      </c>
    </row>
    <row r="190" spans="1:10" ht="29.25" customHeight="1" hidden="1">
      <c r="A190" s="51" t="s">
        <v>25</v>
      </c>
      <c r="B190" s="52" t="s">
        <v>259</v>
      </c>
      <c r="C190" s="52">
        <v>800</v>
      </c>
      <c r="D190" s="53" t="s">
        <v>37</v>
      </c>
      <c r="E190" s="53">
        <v>13</v>
      </c>
      <c r="F190" s="54"/>
      <c r="G190" s="153">
        <f>SUM(Ведомственная!G95)</f>
        <v>0</v>
      </c>
      <c r="I190" s="154">
        <f t="shared" si="4"/>
        <v>0</v>
      </c>
      <c r="J190" s="154">
        <f t="shared" si="3"/>
        <v>0</v>
      </c>
    </row>
    <row r="191" spans="1:10" ht="31.5">
      <c r="A191" s="55" t="s">
        <v>238</v>
      </c>
      <c r="B191" s="52" t="s">
        <v>239</v>
      </c>
      <c r="C191" s="52"/>
      <c r="D191" s="53"/>
      <c r="E191" s="53"/>
      <c r="F191" s="54">
        <f>SUM(F192)</f>
        <v>128445.90000000001</v>
      </c>
      <c r="H191" s="155">
        <f>SUM(G192:G206)</f>
        <v>128445.90000000001</v>
      </c>
      <c r="I191" s="154">
        <f t="shared" si="4"/>
        <v>-128445.90000000001</v>
      </c>
      <c r="J191" s="154">
        <f t="shared" si="3"/>
        <v>0</v>
      </c>
    </row>
    <row r="192" spans="1:10" ht="47.25">
      <c r="A192" s="51" t="s">
        <v>83</v>
      </c>
      <c r="B192" s="53" t="s">
        <v>240</v>
      </c>
      <c r="C192" s="53"/>
      <c r="D192" s="53"/>
      <c r="E192" s="53"/>
      <c r="F192" s="54">
        <f>SUM(F193)+F195+F199+F202+F204</f>
        <v>128445.90000000001</v>
      </c>
      <c r="I192" s="154">
        <f t="shared" si="4"/>
        <v>-128445.90000000001</v>
      </c>
      <c r="J192" s="154">
        <f t="shared" si="3"/>
        <v>-128445.90000000001</v>
      </c>
    </row>
    <row r="193" spans="1:10" ht="15.75">
      <c r="A193" s="51" t="s">
        <v>241</v>
      </c>
      <c r="B193" s="53" t="s">
        <v>242</v>
      </c>
      <c r="C193" s="53"/>
      <c r="D193" s="53"/>
      <c r="E193" s="53"/>
      <c r="F193" s="54">
        <f>SUM(F194)</f>
        <v>1618.2</v>
      </c>
      <c r="I193" s="154">
        <f t="shared" si="4"/>
        <v>-1618.2</v>
      </c>
      <c r="J193" s="154">
        <f t="shared" si="3"/>
        <v>-1618.2</v>
      </c>
    </row>
    <row r="194" spans="1:10" ht="63">
      <c r="A194" s="51" t="s">
        <v>54</v>
      </c>
      <c r="B194" s="53" t="s">
        <v>242</v>
      </c>
      <c r="C194" s="53" t="s">
        <v>98</v>
      </c>
      <c r="D194" s="53" t="s">
        <v>37</v>
      </c>
      <c r="E194" s="53" t="s">
        <v>47</v>
      </c>
      <c r="F194" s="54">
        <v>1618.2</v>
      </c>
      <c r="G194" s="153">
        <f>SUM(Ведомственная!G58)</f>
        <v>1618.2</v>
      </c>
      <c r="I194" s="154">
        <f t="shared" si="4"/>
        <v>0</v>
      </c>
      <c r="J194" s="154">
        <f t="shared" si="3"/>
        <v>-1618.2</v>
      </c>
    </row>
    <row r="195" spans="1:10" ht="15.75">
      <c r="A195" s="51" t="s">
        <v>85</v>
      </c>
      <c r="B195" s="53" t="s">
        <v>250</v>
      </c>
      <c r="C195" s="53"/>
      <c r="D195" s="53"/>
      <c r="E195" s="53"/>
      <c r="F195" s="54">
        <f>SUM(F196:F198)</f>
        <v>97941</v>
      </c>
      <c r="I195" s="154">
        <f t="shared" si="4"/>
        <v>-97941</v>
      </c>
      <c r="J195" s="154">
        <f t="shared" si="3"/>
        <v>-97941</v>
      </c>
    </row>
    <row r="196" spans="1:10" ht="63">
      <c r="A196" s="51" t="s">
        <v>54</v>
      </c>
      <c r="B196" s="53" t="s">
        <v>250</v>
      </c>
      <c r="C196" s="53" t="s">
        <v>98</v>
      </c>
      <c r="D196" s="53" t="s">
        <v>37</v>
      </c>
      <c r="E196" s="53" t="s">
        <v>16</v>
      </c>
      <c r="F196" s="54">
        <f>97846.9</f>
        <v>97846.9</v>
      </c>
      <c r="G196" s="153">
        <f>SUM(Ведомственная!G74)</f>
        <v>97846.9</v>
      </c>
      <c r="I196" s="154">
        <f t="shared" si="4"/>
        <v>0</v>
      </c>
      <c r="J196" s="154">
        <f t="shared" si="3"/>
        <v>-97846.9</v>
      </c>
    </row>
    <row r="197" spans="1:10" ht="29.25" customHeight="1">
      <c r="A197" s="51" t="s">
        <v>55</v>
      </c>
      <c r="B197" s="53" t="s">
        <v>250</v>
      </c>
      <c r="C197" s="53" t="s">
        <v>100</v>
      </c>
      <c r="D197" s="53" t="s">
        <v>37</v>
      </c>
      <c r="E197" s="53" t="s">
        <v>16</v>
      </c>
      <c r="F197" s="54">
        <v>94.1</v>
      </c>
      <c r="G197" s="153">
        <f>SUM(Ведомственная!G75)</f>
        <v>94.1</v>
      </c>
      <c r="I197" s="154">
        <f t="shared" si="4"/>
        <v>0</v>
      </c>
      <c r="J197" s="154">
        <f t="shared" si="3"/>
        <v>-94.1</v>
      </c>
    </row>
    <row r="198" spans="1:10" ht="15.75" hidden="1">
      <c r="A198" s="51" t="s">
        <v>45</v>
      </c>
      <c r="B198" s="53" t="s">
        <v>250</v>
      </c>
      <c r="C198" s="53" t="s">
        <v>108</v>
      </c>
      <c r="D198" s="53" t="s">
        <v>37</v>
      </c>
      <c r="E198" s="53" t="s">
        <v>16</v>
      </c>
      <c r="F198" s="54">
        <v>0</v>
      </c>
      <c r="G198" s="153">
        <f>SUM(Ведомственная!G76)</f>
        <v>0</v>
      </c>
      <c r="I198" s="154">
        <f t="shared" si="4"/>
        <v>0</v>
      </c>
      <c r="J198" s="154">
        <f t="shared" si="3"/>
        <v>0</v>
      </c>
    </row>
    <row r="199" spans="1:10" ht="15.75">
      <c r="A199" s="51" t="s">
        <v>104</v>
      </c>
      <c r="B199" s="52" t="s">
        <v>260</v>
      </c>
      <c r="C199" s="52"/>
      <c r="D199" s="53"/>
      <c r="E199" s="53"/>
      <c r="F199" s="54">
        <f>SUM(F200:F201)</f>
        <v>3792.6</v>
      </c>
      <c r="I199" s="154">
        <f t="shared" si="4"/>
        <v>-3792.6</v>
      </c>
      <c r="J199" s="154">
        <f t="shared" si="3"/>
        <v>-3792.6</v>
      </c>
    </row>
    <row r="200" spans="1:10" ht="31.5">
      <c r="A200" s="51" t="s">
        <v>55</v>
      </c>
      <c r="B200" s="52" t="s">
        <v>260</v>
      </c>
      <c r="C200" s="52">
        <v>200</v>
      </c>
      <c r="D200" s="53" t="s">
        <v>37</v>
      </c>
      <c r="E200" s="53">
        <v>13</v>
      </c>
      <c r="F200" s="54">
        <v>3723</v>
      </c>
      <c r="G200" s="153">
        <f>SUM(Ведомственная!G99)</f>
        <v>3723</v>
      </c>
      <c r="I200" s="154">
        <f t="shared" si="4"/>
        <v>0</v>
      </c>
      <c r="J200" s="154">
        <f t="shared" si="3"/>
        <v>-3723</v>
      </c>
    </row>
    <row r="201" spans="1:10" ht="15.75">
      <c r="A201" s="51" t="s">
        <v>25</v>
      </c>
      <c r="B201" s="52" t="s">
        <v>260</v>
      </c>
      <c r="C201" s="52">
        <v>800</v>
      </c>
      <c r="D201" s="53" t="s">
        <v>37</v>
      </c>
      <c r="E201" s="53">
        <v>13</v>
      </c>
      <c r="F201" s="54">
        <v>69.6</v>
      </c>
      <c r="G201" s="153">
        <f>SUM(Ведомственная!G100)</f>
        <v>69.6</v>
      </c>
      <c r="I201" s="154">
        <f t="shared" si="4"/>
        <v>0</v>
      </c>
      <c r="J201" s="154">
        <f t="shared" si="3"/>
        <v>-69.6</v>
      </c>
    </row>
    <row r="202" spans="1:10" ht="31.5">
      <c r="A202" s="51" t="s">
        <v>106</v>
      </c>
      <c r="B202" s="52" t="s">
        <v>261</v>
      </c>
      <c r="C202" s="52"/>
      <c r="D202" s="53"/>
      <c r="E202" s="53"/>
      <c r="F202" s="54">
        <f>SUM(F203)</f>
        <v>9482.800000000001</v>
      </c>
      <c r="I202" s="154">
        <f t="shared" si="4"/>
        <v>-9482.800000000001</v>
      </c>
      <c r="J202" s="154">
        <f t="shared" si="3"/>
        <v>-9482.800000000001</v>
      </c>
    </row>
    <row r="203" spans="1:10" ht="31.5">
      <c r="A203" s="51" t="s">
        <v>55</v>
      </c>
      <c r="B203" s="52" t="s">
        <v>261</v>
      </c>
      <c r="C203" s="52">
        <v>200</v>
      </c>
      <c r="D203" s="53" t="s">
        <v>37</v>
      </c>
      <c r="E203" s="53">
        <v>13</v>
      </c>
      <c r="F203" s="54">
        <f>9633.1-150.3</f>
        <v>9482.800000000001</v>
      </c>
      <c r="G203" s="153">
        <f>SUM(Ведомственная!G102)</f>
        <v>9482.800000000001</v>
      </c>
      <c r="I203" s="154">
        <f t="shared" si="4"/>
        <v>0</v>
      </c>
      <c r="J203" s="154">
        <f t="shared" si="3"/>
        <v>-9482.800000000001</v>
      </c>
    </row>
    <row r="204" spans="1:10" ht="31.5">
      <c r="A204" s="51" t="s">
        <v>107</v>
      </c>
      <c r="B204" s="52" t="s">
        <v>262</v>
      </c>
      <c r="C204" s="52"/>
      <c r="D204" s="53"/>
      <c r="E204" s="53"/>
      <c r="F204" s="54">
        <f>SUM(F205:F206)</f>
        <v>15611.300000000001</v>
      </c>
      <c r="I204" s="154">
        <f t="shared" si="4"/>
        <v>-15611.300000000001</v>
      </c>
      <c r="J204" s="154">
        <f t="shared" si="3"/>
        <v>-15611.300000000001</v>
      </c>
    </row>
    <row r="205" spans="1:10" ht="31.5">
      <c r="A205" s="51" t="s">
        <v>55</v>
      </c>
      <c r="B205" s="52" t="s">
        <v>262</v>
      </c>
      <c r="C205" s="52">
        <v>200</v>
      </c>
      <c r="D205" s="53" t="s">
        <v>37</v>
      </c>
      <c r="E205" s="53">
        <v>13</v>
      </c>
      <c r="F205" s="54">
        <f>12920.2-64.4</f>
        <v>12855.800000000001</v>
      </c>
      <c r="G205" s="153">
        <f>SUM(Ведомственная!G104)</f>
        <v>12855.8</v>
      </c>
      <c r="I205" s="154">
        <f t="shared" si="4"/>
        <v>0</v>
      </c>
      <c r="J205" s="154">
        <f t="shared" si="3"/>
        <v>-12855.800000000001</v>
      </c>
    </row>
    <row r="206" spans="1:10" ht="15.75">
      <c r="A206" s="51" t="s">
        <v>25</v>
      </c>
      <c r="B206" s="52" t="s">
        <v>262</v>
      </c>
      <c r="C206" s="52">
        <v>800</v>
      </c>
      <c r="D206" s="53" t="s">
        <v>37</v>
      </c>
      <c r="E206" s="53">
        <v>13</v>
      </c>
      <c r="F206" s="54">
        <v>2755.5</v>
      </c>
      <c r="G206" s="153">
        <f>SUM(Ведомственная!G105)</f>
        <v>2755.5</v>
      </c>
      <c r="I206" s="154">
        <f t="shared" si="4"/>
        <v>0</v>
      </c>
      <c r="J206" s="154">
        <f t="shared" si="3"/>
        <v>-2755.5</v>
      </c>
    </row>
    <row r="207" spans="1:10" ht="31.5">
      <c r="A207" s="99" t="s">
        <v>360</v>
      </c>
      <c r="B207" s="68" t="s">
        <v>410</v>
      </c>
      <c r="C207" s="68"/>
      <c r="D207" s="68"/>
      <c r="E207" s="68"/>
      <c r="F207" s="69">
        <f>SUM(F208,F215)</f>
        <v>84872.4</v>
      </c>
      <c r="H207" s="155">
        <f>SUM(G210:G217)</f>
        <v>84872.40000000001</v>
      </c>
      <c r="I207" s="154">
        <f t="shared" si="4"/>
        <v>-84872.4</v>
      </c>
      <c r="J207" s="154">
        <f t="shared" si="3"/>
        <v>1.4551915228366852E-11</v>
      </c>
    </row>
    <row r="208" spans="1:10" ht="15.75">
      <c r="A208" s="17" t="s">
        <v>38</v>
      </c>
      <c r="B208" s="68" t="s">
        <v>411</v>
      </c>
      <c r="C208" s="68"/>
      <c r="D208" s="68"/>
      <c r="E208" s="68"/>
      <c r="F208" s="69">
        <f>SUM(F209+F213)+F211</f>
        <v>79948.9</v>
      </c>
      <c r="I208" s="154">
        <f t="shared" si="4"/>
        <v>-79948.9</v>
      </c>
      <c r="J208" s="154">
        <f t="shared" si="3"/>
        <v>-79948.9</v>
      </c>
    </row>
    <row r="209" spans="1:10" ht="15.75">
      <c r="A209" s="17" t="s">
        <v>361</v>
      </c>
      <c r="B209" s="68" t="s">
        <v>412</v>
      </c>
      <c r="C209" s="68"/>
      <c r="D209" s="68"/>
      <c r="E209" s="68"/>
      <c r="F209" s="69">
        <f>SUM(F210)</f>
        <v>48841.9</v>
      </c>
      <c r="I209" s="154">
        <f t="shared" si="4"/>
        <v>-48841.9</v>
      </c>
      <c r="J209" s="154">
        <f t="shared" si="3"/>
        <v>-48841.9</v>
      </c>
    </row>
    <row r="210" spans="1:10" ht="29.25" customHeight="1">
      <c r="A210" s="17" t="s">
        <v>55</v>
      </c>
      <c r="B210" s="68" t="s">
        <v>412</v>
      </c>
      <c r="C210" s="68" t="s">
        <v>100</v>
      </c>
      <c r="D210" s="68" t="s">
        <v>187</v>
      </c>
      <c r="E210" s="68" t="s">
        <v>57</v>
      </c>
      <c r="F210" s="69">
        <v>48841.9</v>
      </c>
      <c r="G210" s="153">
        <f>SUM(Ведомственная!G252)</f>
        <v>48841.9</v>
      </c>
      <c r="I210" s="154">
        <f t="shared" si="4"/>
        <v>0</v>
      </c>
      <c r="J210" s="154">
        <f t="shared" si="3"/>
        <v>-48841.9</v>
      </c>
    </row>
    <row r="211" spans="1:10" ht="15.75">
      <c r="A211" s="17" t="s">
        <v>362</v>
      </c>
      <c r="B211" s="68" t="s">
        <v>413</v>
      </c>
      <c r="C211" s="68"/>
      <c r="D211" s="68"/>
      <c r="E211" s="68"/>
      <c r="F211" s="69">
        <f>SUM(F212)</f>
        <v>1585.9</v>
      </c>
      <c r="I211" s="154">
        <f t="shared" si="4"/>
        <v>-1585.9</v>
      </c>
      <c r="J211" s="154">
        <f t="shared" si="3"/>
        <v>-1585.9</v>
      </c>
    </row>
    <row r="212" spans="1:10" ht="31.5">
      <c r="A212" s="17" t="s">
        <v>55</v>
      </c>
      <c r="B212" s="68" t="s">
        <v>413</v>
      </c>
      <c r="C212" s="68" t="s">
        <v>100</v>
      </c>
      <c r="D212" s="68" t="s">
        <v>187</v>
      </c>
      <c r="E212" s="68" t="s">
        <v>57</v>
      </c>
      <c r="F212" s="69">
        <v>1585.9</v>
      </c>
      <c r="G212" s="153">
        <f>SUM(Ведомственная!G254)</f>
        <v>1585.9</v>
      </c>
      <c r="I212" s="154">
        <f t="shared" si="4"/>
        <v>0</v>
      </c>
      <c r="J212" s="154">
        <f t="shared" si="3"/>
        <v>-1585.9</v>
      </c>
    </row>
    <row r="213" spans="1:10" ht="15.75">
      <c r="A213" s="17" t="s">
        <v>363</v>
      </c>
      <c r="B213" s="68" t="s">
        <v>414</v>
      </c>
      <c r="C213" s="68"/>
      <c r="D213" s="68"/>
      <c r="E213" s="68"/>
      <c r="F213" s="69">
        <f>SUM(F214)</f>
        <v>29521.1</v>
      </c>
      <c r="I213" s="154">
        <f t="shared" si="4"/>
        <v>-29521.1</v>
      </c>
      <c r="J213" s="154">
        <f t="shared" si="3"/>
        <v>-29521.1</v>
      </c>
    </row>
    <row r="214" spans="1:10" ht="31.5">
      <c r="A214" s="17" t="s">
        <v>55</v>
      </c>
      <c r="B214" s="68" t="s">
        <v>414</v>
      </c>
      <c r="C214" s="68" t="s">
        <v>100</v>
      </c>
      <c r="D214" s="68" t="s">
        <v>187</v>
      </c>
      <c r="E214" s="68" t="s">
        <v>57</v>
      </c>
      <c r="F214" s="69">
        <v>29521.1</v>
      </c>
      <c r="G214" s="153">
        <f>SUM(Ведомственная!G256)</f>
        <v>29521.100000000002</v>
      </c>
      <c r="I214" s="154">
        <f t="shared" si="4"/>
        <v>0</v>
      </c>
      <c r="J214" s="154">
        <f t="shared" si="3"/>
        <v>-29521.1</v>
      </c>
    </row>
    <row r="215" spans="1:10" ht="47.25">
      <c r="A215" s="17" t="s">
        <v>29</v>
      </c>
      <c r="B215" s="68" t="s">
        <v>415</v>
      </c>
      <c r="C215" s="68"/>
      <c r="D215" s="68"/>
      <c r="E215" s="68"/>
      <c r="F215" s="69">
        <f>SUM(F216)</f>
        <v>4923.5</v>
      </c>
      <c r="I215" s="154">
        <f t="shared" si="4"/>
        <v>-4923.5</v>
      </c>
      <c r="J215" s="154">
        <f aca="true" t="shared" si="5" ref="J215:J282">SUM(H215-F215)</f>
        <v>-4923.5</v>
      </c>
    </row>
    <row r="216" spans="1:10" ht="15.75">
      <c r="A216" s="17" t="s">
        <v>363</v>
      </c>
      <c r="B216" s="68" t="s">
        <v>416</v>
      </c>
      <c r="C216" s="68"/>
      <c r="D216" s="68"/>
      <c r="E216" s="68"/>
      <c r="F216" s="69">
        <f>SUM(F217)</f>
        <v>4923.5</v>
      </c>
      <c r="I216" s="154">
        <f t="shared" si="4"/>
        <v>-4923.5</v>
      </c>
      <c r="J216" s="154">
        <f t="shared" si="5"/>
        <v>-4923.5</v>
      </c>
    </row>
    <row r="217" spans="1:10" ht="31.5">
      <c r="A217" s="17" t="s">
        <v>282</v>
      </c>
      <c r="B217" s="68" t="s">
        <v>416</v>
      </c>
      <c r="C217" s="68" t="s">
        <v>134</v>
      </c>
      <c r="D217" s="68" t="s">
        <v>187</v>
      </c>
      <c r="E217" s="68" t="s">
        <v>57</v>
      </c>
      <c r="F217" s="69">
        <v>4923.5</v>
      </c>
      <c r="G217" s="153">
        <f>SUM(Ведомственная!G259)</f>
        <v>4923.5</v>
      </c>
      <c r="I217" s="154">
        <f t="shared" si="4"/>
        <v>0</v>
      </c>
      <c r="J217" s="154">
        <f t="shared" si="5"/>
        <v>-4923.5</v>
      </c>
    </row>
    <row r="218" spans="1:10" ht="47.25">
      <c r="A218" s="17" t="s">
        <v>353</v>
      </c>
      <c r="B218" s="68" t="s">
        <v>400</v>
      </c>
      <c r="C218" s="68"/>
      <c r="D218" s="68"/>
      <c r="E218" s="68"/>
      <c r="F218" s="69">
        <f>SUM(F219)</f>
        <v>38959.3</v>
      </c>
      <c r="H218" s="155">
        <f>SUM(G220:G222)</f>
        <v>38959.3</v>
      </c>
      <c r="I218" s="154">
        <f t="shared" si="4"/>
        <v>-38959.3</v>
      </c>
      <c r="J218" s="154">
        <f t="shared" si="5"/>
        <v>0</v>
      </c>
    </row>
    <row r="219" spans="1:10" ht="15.75">
      <c r="A219" s="17" t="s">
        <v>38</v>
      </c>
      <c r="B219" s="68" t="s">
        <v>401</v>
      </c>
      <c r="C219" s="68"/>
      <c r="D219" s="68"/>
      <c r="E219" s="68"/>
      <c r="F219" s="69">
        <f>SUM(F220)</f>
        <v>38959.3</v>
      </c>
      <c r="I219" s="154">
        <f t="shared" si="4"/>
        <v>-38959.3</v>
      </c>
      <c r="J219" s="154">
        <f t="shared" si="5"/>
        <v>-38959.3</v>
      </c>
    </row>
    <row r="220" spans="1:10" ht="15.75">
      <c r="A220" s="17" t="s">
        <v>354</v>
      </c>
      <c r="B220" s="68" t="s">
        <v>402</v>
      </c>
      <c r="C220" s="68"/>
      <c r="D220" s="68"/>
      <c r="E220" s="68"/>
      <c r="F220" s="69">
        <f>SUM(F221:F222)</f>
        <v>38959.3</v>
      </c>
      <c r="I220" s="154">
        <f t="shared" si="4"/>
        <v>-38959.3</v>
      </c>
      <c r="J220" s="154">
        <f t="shared" si="5"/>
        <v>-38959.3</v>
      </c>
    </row>
    <row r="221" spans="1:10" ht="31.5">
      <c r="A221" s="17" t="s">
        <v>55</v>
      </c>
      <c r="B221" s="68" t="s">
        <v>402</v>
      </c>
      <c r="C221" s="68" t="s">
        <v>100</v>
      </c>
      <c r="D221" s="68" t="s">
        <v>187</v>
      </c>
      <c r="E221" s="68" t="s">
        <v>47</v>
      </c>
      <c r="F221" s="69">
        <v>4935.4</v>
      </c>
      <c r="G221" s="153">
        <f>SUM(Ведомственная!G230)</f>
        <v>4935.4</v>
      </c>
      <c r="I221" s="154">
        <f t="shared" si="4"/>
        <v>0</v>
      </c>
      <c r="J221" s="154">
        <f t="shared" si="5"/>
        <v>-4935.4</v>
      </c>
    </row>
    <row r="222" spans="1:10" ht="15.75">
      <c r="A222" s="70" t="s">
        <v>25</v>
      </c>
      <c r="B222" s="68" t="s">
        <v>402</v>
      </c>
      <c r="C222" s="68" t="s">
        <v>105</v>
      </c>
      <c r="D222" s="68" t="s">
        <v>187</v>
      </c>
      <c r="E222" s="68" t="s">
        <v>47</v>
      </c>
      <c r="F222" s="69">
        <v>34023.9</v>
      </c>
      <c r="G222" s="153">
        <f>SUM(Ведомственная!G231)</f>
        <v>34023.9</v>
      </c>
      <c r="I222" s="154"/>
      <c r="J222" s="154"/>
    </row>
    <row r="223" spans="1:10" ht="47.25">
      <c r="A223" s="17" t="s">
        <v>440</v>
      </c>
      <c r="B223" s="68" t="s">
        <v>403</v>
      </c>
      <c r="C223" s="68"/>
      <c r="D223" s="68"/>
      <c r="E223" s="68"/>
      <c r="F223" s="69">
        <f>SUM(F224)</f>
        <v>2557</v>
      </c>
      <c r="H223" s="155">
        <f>SUM(G224:G228)</f>
        <v>2557</v>
      </c>
      <c r="I223" s="154">
        <f t="shared" si="4"/>
        <v>-2557</v>
      </c>
      <c r="J223" s="154">
        <f t="shared" si="5"/>
        <v>0</v>
      </c>
    </row>
    <row r="224" spans="1:10" ht="15.75">
      <c r="A224" s="17" t="s">
        <v>38</v>
      </c>
      <c r="B224" s="68" t="s">
        <v>404</v>
      </c>
      <c r="C224" s="68"/>
      <c r="D224" s="68"/>
      <c r="E224" s="68"/>
      <c r="F224" s="69">
        <f>SUM(F227)+F225</f>
        <v>2557</v>
      </c>
      <c r="I224" s="154">
        <f t="shared" si="4"/>
        <v>-2557</v>
      </c>
      <c r="J224" s="154">
        <f t="shared" si="5"/>
        <v>-2557</v>
      </c>
    </row>
    <row r="225" spans="1:10" ht="15.75">
      <c r="A225" s="17" t="s">
        <v>363</v>
      </c>
      <c r="B225" s="68" t="s">
        <v>417</v>
      </c>
      <c r="C225" s="68"/>
      <c r="D225" s="68"/>
      <c r="E225" s="68"/>
      <c r="F225" s="69">
        <f>SUM(F226)</f>
        <v>1550</v>
      </c>
      <c r="I225" s="154">
        <f t="shared" si="4"/>
        <v>-1550</v>
      </c>
      <c r="J225" s="154">
        <f t="shared" si="5"/>
        <v>-1550</v>
      </c>
    </row>
    <row r="226" spans="1:10" ht="31.5">
      <c r="A226" s="17" t="s">
        <v>55</v>
      </c>
      <c r="B226" s="68" t="s">
        <v>417</v>
      </c>
      <c r="C226" s="68" t="s">
        <v>100</v>
      </c>
      <c r="D226" s="68" t="s">
        <v>187</v>
      </c>
      <c r="E226" s="68" t="s">
        <v>57</v>
      </c>
      <c r="F226" s="69">
        <v>1550</v>
      </c>
      <c r="G226" s="161">
        <f>SUM(Ведомственная!G263)</f>
        <v>1550</v>
      </c>
      <c r="I226" s="154">
        <f t="shared" si="4"/>
        <v>0</v>
      </c>
      <c r="J226" s="154">
        <f t="shared" si="5"/>
        <v>-1550</v>
      </c>
    </row>
    <row r="227" spans="1:10" ht="15.75">
      <c r="A227" s="17" t="s">
        <v>354</v>
      </c>
      <c r="B227" s="68" t="s">
        <v>405</v>
      </c>
      <c r="C227" s="68"/>
      <c r="D227" s="68"/>
      <c r="E227" s="68"/>
      <c r="F227" s="69">
        <f>SUM(F228)</f>
        <v>1007</v>
      </c>
      <c r="G227" s="161"/>
      <c r="I227" s="154">
        <f t="shared" si="4"/>
        <v>-1007</v>
      </c>
      <c r="J227" s="154">
        <f t="shared" si="5"/>
        <v>-1007</v>
      </c>
    </row>
    <row r="228" spans="1:10" ht="31.5">
      <c r="A228" s="17" t="s">
        <v>55</v>
      </c>
      <c r="B228" s="68" t="s">
        <v>405</v>
      </c>
      <c r="C228" s="68" t="s">
        <v>100</v>
      </c>
      <c r="D228" s="68" t="s">
        <v>187</v>
      </c>
      <c r="E228" s="68" t="s">
        <v>47</v>
      </c>
      <c r="F228" s="69">
        <v>1007</v>
      </c>
      <c r="G228" s="161">
        <f>SUM(Ведомственная!G235)</f>
        <v>1007</v>
      </c>
      <c r="I228" s="154">
        <f t="shared" si="4"/>
        <v>0</v>
      </c>
      <c r="J228" s="154">
        <f t="shared" si="5"/>
        <v>-1007</v>
      </c>
    </row>
    <row r="229" spans="1:10" ht="47.25">
      <c r="A229" s="17" t="s">
        <v>345</v>
      </c>
      <c r="B229" s="68" t="s">
        <v>386</v>
      </c>
      <c r="C229" s="68"/>
      <c r="D229" s="68"/>
      <c r="E229" s="68"/>
      <c r="F229" s="69">
        <f>SUM(F230)+F235</f>
        <v>173904</v>
      </c>
      <c r="G229" s="161"/>
      <c r="H229" s="155">
        <f>SUM(G231:G240)</f>
        <v>173904</v>
      </c>
      <c r="I229" s="154">
        <f t="shared" si="4"/>
        <v>-173904</v>
      </c>
      <c r="J229" s="154">
        <f t="shared" si="5"/>
        <v>0</v>
      </c>
    </row>
    <row r="230" spans="1:10" ht="31.5">
      <c r="A230" s="17" t="s">
        <v>349</v>
      </c>
      <c r="B230" s="68" t="s">
        <v>391</v>
      </c>
      <c r="C230" s="68"/>
      <c r="D230" s="68"/>
      <c r="E230" s="68"/>
      <c r="F230" s="69">
        <f>SUM(F231)</f>
        <v>94883.1</v>
      </c>
      <c r="I230" s="154">
        <f t="shared" si="4"/>
        <v>-94883.1</v>
      </c>
      <c r="J230" s="154">
        <f t="shared" si="5"/>
        <v>-94883.1</v>
      </c>
    </row>
    <row r="231" spans="1:10" ht="15.75">
      <c r="A231" s="17" t="s">
        <v>38</v>
      </c>
      <c r="B231" s="68" t="s">
        <v>392</v>
      </c>
      <c r="C231" s="68"/>
      <c r="D231" s="68"/>
      <c r="E231" s="68"/>
      <c r="F231" s="69">
        <f>SUM(F232)</f>
        <v>94883.1</v>
      </c>
      <c r="I231" s="154">
        <f t="shared" si="4"/>
        <v>-94883.1</v>
      </c>
      <c r="J231" s="154">
        <f t="shared" si="5"/>
        <v>-94883.1</v>
      </c>
    </row>
    <row r="232" spans="1:10" ht="47.25">
      <c r="A232" s="17" t="s">
        <v>350</v>
      </c>
      <c r="B232" s="68" t="s">
        <v>393</v>
      </c>
      <c r="C232" s="68"/>
      <c r="D232" s="68"/>
      <c r="E232" s="68"/>
      <c r="F232" s="69">
        <f>SUM(F233:F234)</f>
        <v>94883.1</v>
      </c>
      <c r="I232" s="154">
        <f t="shared" si="4"/>
        <v>-94883.1</v>
      </c>
      <c r="J232" s="154">
        <f t="shared" si="5"/>
        <v>-94883.1</v>
      </c>
    </row>
    <row r="233" spans="1:10" ht="31.5">
      <c r="A233" s="17" t="s">
        <v>55</v>
      </c>
      <c r="B233" s="68" t="s">
        <v>393</v>
      </c>
      <c r="C233" s="68" t="s">
        <v>100</v>
      </c>
      <c r="D233" s="68" t="s">
        <v>16</v>
      </c>
      <c r="E233" s="68" t="s">
        <v>191</v>
      </c>
      <c r="F233" s="69">
        <v>94150</v>
      </c>
      <c r="G233" s="161">
        <f>SUM(Ведомственная!G181)</f>
        <v>94150</v>
      </c>
      <c r="I233" s="154">
        <f t="shared" si="4"/>
        <v>0</v>
      </c>
      <c r="J233" s="154">
        <f t="shared" si="5"/>
        <v>-94150</v>
      </c>
    </row>
    <row r="234" spans="1:10" ht="31.5">
      <c r="A234" s="70" t="s">
        <v>358</v>
      </c>
      <c r="B234" s="68" t="s">
        <v>393</v>
      </c>
      <c r="C234" s="68" t="s">
        <v>312</v>
      </c>
      <c r="D234" s="68" t="s">
        <v>16</v>
      </c>
      <c r="E234" s="68" t="s">
        <v>191</v>
      </c>
      <c r="F234" s="69">
        <v>733.1</v>
      </c>
      <c r="G234" s="161">
        <f>SUM(Ведомственная!G182)</f>
        <v>733.1</v>
      </c>
      <c r="I234" s="154">
        <f aca="true" t="shared" si="6" ref="I234:I297">G234-F234</f>
        <v>0</v>
      </c>
      <c r="J234" s="154">
        <f t="shared" si="5"/>
        <v>-733.1</v>
      </c>
    </row>
    <row r="235" spans="1:10" ht="31.5">
      <c r="A235" s="17" t="s">
        <v>346</v>
      </c>
      <c r="B235" s="68" t="s">
        <v>387</v>
      </c>
      <c r="C235" s="68"/>
      <c r="D235" s="68"/>
      <c r="E235" s="68"/>
      <c r="F235" s="69">
        <f>SUM(F236)</f>
        <v>79020.9</v>
      </c>
      <c r="I235" s="154">
        <f t="shared" si="6"/>
        <v>-79020.9</v>
      </c>
      <c r="J235" s="154">
        <f t="shared" si="5"/>
        <v>-79020.9</v>
      </c>
    </row>
    <row r="236" spans="1:10" ht="47.25">
      <c r="A236" s="17" t="s">
        <v>21</v>
      </c>
      <c r="B236" s="68" t="s">
        <v>388</v>
      </c>
      <c r="C236" s="68"/>
      <c r="D236" s="68"/>
      <c r="E236" s="68"/>
      <c r="F236" s="69">
        <f>SUM(F237+F239)</f>
        <v>79020.9</v>
      </c>
      <c r="I236" s="154">
        <f t="shared" si="6"/>
        <v>-79020.9</v>
      </c>
      <c r="J236" s="154">
        <f t="shared" si="5"/>
        <v>-79020.9</v>
      </c>
    </row>
    <row r="237" spans="1:10" ht="15.75">
      <c r="A237" s="17" t="s">
        <v>23</v>
      </c>
      <c r="B237" s="68" t="s">
        <v>389</v>
      </c>
      <c r="C237" s="68"/>
      <c r="D237" s="68"/>
      <c r="E237" s="68"/>
      <c r="F237" s="69">
        <f>SUM(F238)</f>
        <v>33420.9</v>
      </c>
      <c r="I237" s="154">
        <f t="shared" si="6"/>
        <v>-33420.9</v>
      </c>
      <c r="J237" s="154">
        <f t="shared" si="5"/>
        <v>-33420.9</v>
      </c>
    </row>
    <row r="238" spans="1:10" ht="15.75">
      <c r="A238" s="17" t="s">
        <v>25</v>
      </c>
      <c r="B238" s="68" t="s">
        <v>389</v>
      </c>
      <c r="C238" s="68" t="s">
        <v>105</v>
      </c>
      <c r="D238" s="68" t="s">
        <v>16</v>
      </c>
      <c r="E238" s="68" t="s">
        <v>18</v>
      </c>
      <c r="F238" s="69">
        <v>33420.9</v>
      </c>
      <c r="G238" s="153">
        <f>SUM(Ведомственная!G173)</f>
        <v>33420.9</v>
      </c>
      <c r="I238" s="154">
        <f t="shared" si="6"/>
        <v>0</v>
      </c>
      <c r="J238" s="154">
        <f t="shared" si="5"/>
        <v>-33420.9</v>
      </c>
    </row>
    <row r="239" spans="1:10" ht="15.75">
      <c r="A239" s="17" t="s">
        <v>347</v>
      </c>
      <c r="B239" s="68" t="s">
        <v>390</v>
      </c>
      <c r="C239" s="68"/>
      <c r="D239" s="68"/>
      <c r="E239" s="68"/>
      <c r="F239" s="69">
        <f>SUM(F240)</f>
        <v>45600</v>
      </c>
      <c r="I239" s="154">
        <f t="shared" si="6"/>
        <v>-45600</v>
      </c>
      <c r="J239" s="154">
        <f t="shared" si="5"/>
        <v>-45600</v>
      </c>
    </row>
    <row r="240" spans="1:10" ht="15.75">
      <c r="A240" s="17" t="s">
        <v>25</v>
      </c>
      <c r="B240" s="68" t="s">
        <v>390</v>
      </c>
      <c r="C240" s="68" t="s">
        <v>105</v>
      </c>
      <c r="D240" s="68" t="s">
        <v>16</v>
      </c>
      <c r="E240" s="68" t="s">
        <v>18</v>
      </c>
      <c r="F240" s="69">
        <v>45600</v>
      </c>
      <c r="G240" s="153">
        <f>SUM(Ведомственная!G175)</f>
        <v>45600</v>
      </c>
      <c r="I240" s="154">
        <f t="shared" si="6"/>
        <v>0</v>
      </c>
      <c r="J240" s="154">
        <f t="shared" si="5"/>
        <v>-45600</v>
      </c>
    </row>
    <row r="241" spans="1:10" ht="47.25">
      <c r="A241" s="17" t="s">
        <v>439</v>
      </c>
      <c r="B241" s="68" t="s">
        <v>394</v>
      </c>
      <c r="C241" s="68"/>
      <c r="D241" s="68"/>
      <c r="E241" s="68"/>
      <c r="F241" s="69">
        <f>SUM(F242)</f>
        <v>6000</v>
      </c>
      <c r="H241" s="155">
        <f>SUM(G242:G244)</f>
        <v>6000</v>
      </c>
      <c r="I241" s="154">
        <f t="shared" si="6"/>
        <v>-6000</v>
      </c>
      <c r="J241" s="154">
        <f t="shared" si="5"/>
        <v>0</v>
      </c>
    </row>
    <row r="242" spans="1:10" ht="15.75">
      <c r="A242" s="17" t="s">
        <v>38</v>
      </c>
      <c r="B242" s="68" t="s">
        <v>395</v>
      </c>
      <c r="C242" s="68"/>
      <c r="D242" s="68"/>
      <c r="E242" s="68"/>
      <c r="F242" s="69">
        <f>SUM(F243)</f>
        <v>6000</v>
      </c>
      <c r="I242" s="154">
        <f t="shared" si="6"/>
        <v>-6000</v>
      </c>
      <c r="J242" s="154">
        <f t="shared" si="5"/>
        <v>-6000</v>
      </c>
    </row>
    <row r="243" spans="1:10" ht="47.25">
      <c r="A243" s="17" t="s">
        <v>350</v>
      </c>
      <c r="B243" s="68" t="s">
        <v>396</v>
      </c>
      <c r="C243" s="68"/>
      <c r="D243" s="68"/>
      <c r="E243" s="68"/>
      <c r="F243" s="69">
        <f>SUM(F244)</f>
        <v>6000</v>
      </c>
      <c r="I243" s="154">
        <f t="shared" si="6"/>
        <v>-6000</v>
      </c>
      <c r="J243" s="154">
        <f t="shared" si="5"/>
        <v>-6000</v>
      </c>
    </row>
    <row r="244" spans="1:10" ht="31.5">
      <c r="A244" s="17" t="s">
        <v>55</v>
      </c>
      <c r="B244" s="68" t="s">
        <v>396</v>
      </c>
      <c r="C244" s="68" t="s">
        <v>100</v>
      </c>
      <c r="D244" s="68" t="s">
        <v>16</v>
      </c>
      <c r="E244" s="68" t="s">
        <v>191</v>
      </c>
      <c r="F244" s="69">
        <v>6000</v>
      </c>
      <c r="G244" s="153">
        <f>SUM(Ведомственная!G186)</f>
        <v>6000</v>
      </c>
      <c r="I244" s="154">
        <f t="shared" si="6"/>
        <v>0</v>
      </c>
      <c r="J244" s="154">
        <f t="shared" si="5"/>
        <v>-6000</v>
      </c>
    </row>
    <row r="245" spans="1:10" ht="47.25">
      <c r="A245" s="17" t="s">
        <v>369</v>
      </c>
      <c r="B245" s="68" t="s">
        <v>375</v>
      </c>
      <c r="C245" s="68"/>
      <c r="D245" s="68"/>
      <c r="E245" s="68"/>
      <c r="F245" s="69">
        <f>SUM(F246,F256,F260)</f>
        <v>18595.1</v>
      </c>
      <c r="H245" s="155">
        <f>SUM(G246:G262)</f>
        <v>18595.1</v>
      </c>
      <c r="I245" s="154">
        <f t="shared" si="6"/>
        <v>-18595.1</v>
      </c>
      <c r="J245" s="154">
        <f t="shared" si="5"/>
        <v>0</v>
      </c>
    </row>
    <row r="246" spans="1:10" ht="47.25">
      <c r="A246" s="17" t="s">
        <v>370</v>
      </c>
      <c r="B246" s="68" t="s">
        <v>376</v>
      </c>
      <c r="C246" s="68"/>
      <c r="D246" s="68"/>
      <c r="E246" s="68"/>
      <c r="F246" s="69">
        <f>SUM(F247,F252)</f>
        <v>16755.3</v>
      </c>
      <c r="I246" s="154">
        <f t="shared" si="6"/>
        <v>-16755.3</v>
      </c>
      <c r="J246" s="154">
        <f t="shared" si="5"/>
        <v>-16755.3</v>
      </c>
    </row>
    <row r="247" spans="1:10" ht="15.75">
      <c r="A247" s="17" t="s">
        <v>38</v>
      </c>
      <c r="B247" s="68" t="s">
        <v>377</v>
      </c>
      <c r="C247" s="68"/>
      <c r="D247" s="68"/>
      <c r="E247" s="68"/>
      <c r="F247" s="69">
        <f>SUM(F248)+F250</f>
        <v>1079.9</v>
      </c>
      <c r="I247" s="154">
        <f t="shared" si="6"/>
        <v>-1079.9</v>
      </c>
      <c r="J247" s="154">
        <f t="shared" si="5"/>
        <v>-1079.9</v>
      </c>
    </row>
    <row r="248" spans="1:10" ht="31.5">
      <c r="A248" s="17" t="s">
        <v>371</v>
      </c>
      <c r="B248" s="68" t="s">
        <v>378</v>
      </c>
      <c r="C248" s="68"/>
      <c r="D248" s="68"/>
      <c r="E248" s="68"/>
      <c r="F248" s="69">
        <f>SUM(F249)</f>
        <v>1036.9</v>
      </c>
      <c r="I248" s="154">
        <f t="shared" si="6"/>
        <v>-1036.9</v>
      </c>
      <c r="J248" s="154">
        <f t="shared" si="5"/>
        <v>-1036.9</v>
      </c>
    </row>
    <row r="249" spans="1:10" ht="31.5">
      <c r="A249" s="17" t="s">
        <v>55</v>
      </c>
      <c r="B249" s="68" t="s">
        <v>378</v>
      </c>
      <c r="C249" s="68" t="s">
        <v>100</v>
      </c>
      <c r="D249" s="68" t="s">
        <v>57</v>
      </c>
      <c r="E249" s="68" t="s">
        <v>191</v>
      </c>
      <c r="F249" s="69">
        <v>1036.9</v>
      </c>
      <c r="G249" s="153">
        <f>SUM(Ведомственная!G149)</f>
        <v>1036.9</v>
      </c>
      <c r="I249" s="154">
        <f t="shared" si="6"/>
        <v>0</v>
      </c>
      <c r="J249" s="154">
        <f t="shared" si="5"/>
        <v>-1036.9</v>
      </c>
    </row>
    <row r="250" spans="1:10" ht="31.5">
      <c r="A250" s="17" t="s">
        <v>372</v>
      </c>
      <c r="B250" s="68" t="s">
        <v>379</v>
      </c>
      <c r="C250" s="68"/>
      <c r="D250" s="68"/>
      <c r="E250" s="68"/>
      <c r="F250" s="69">
        <f>SUM(F251)</f>
        <v>43</v>
      </c>
      <c r="I250" s="154">
        <f t="shared" si="6"/>
        <v>-43</v>
      </c>
      <c r="J250" s="154">
        <f t="shared" si="5"/>
        <v>-43</v>
      </c>
    </row>
    <row r="251" spans="1:10" ht="31.5">
      <c r="A251" s="17" t="s">
        <v>55</v>
      </c>
      <c r="B251" s="68" t="s">
        <v>379</v>
      </c>
      <c r="C251" s="68" t="s">
        <v>100</v>
      </c>
      <c r="D251" s="68" t="s">
        <v>57</v>
      </c>
      <c r="E251" s="68" t="s">
        <v>191</v>
      </c>
      <c r="F251" s="69">
        <v>43</v>
      </c>
      <c r="G251" s="153">
        <f>SUM(Ведомственная!G151)</f>
        <v>43</v>
      </c>
      <c r="I251" s="154">
        <f t="shared" si="6"/>
        <v>0</v>
      </c>
      <c r="J251" s="154">
        <f t="shared" si="5"/>
        <v>-43</v>
      </c>
    </row>
    <row r="252" spans="1:10" ht="31.5">
      <c r="A252" s="17" t="s">
        <v>48</v>
      </c>
      <c r="B252" s="68" t="s">
        <v>380</v>
      </c>
      <c r="C252" s="68"/>
      <c r="D252" s="68"/>
      <c r="E252" s="68"/>
      <c r="F252" s="69">
        <f>SUM(F253:F255)</f>
        <v>15675.4</v>
      </c>
      <c r="I252" s="154">
        <f t="shared" si="6"/>
        <v>-15675.4</v>
      </c>
      <c r="J252" s="154">
        <f t="shared" si="5"/>
        <v>-15675.4</v>
      </c>
    </row>
    <row r="253" spans="1:10" ht="63">
      <c r="A253" s="17" t="s">
        <v>54</v>
      </c>
      <c r="B253" s="68" t="s">
        <v>380</v>
      </c>
      <c r="C253" s="68" t="s">
        <v>98</v>
      </c>
      <c r="D253" s="68" t="s">
        <v>57</v>
      </c>
      <c r="E253" s="68" t="s">
        <v>191</v>
      </c>
      <c r="F253" s="69">
        <v>10390.1</v>
      </c>
      <c r="G253" s="153">
        <f>SUM(Ведомственная!G153)</f>
        <v>10390.1</v>
      </c>
      <c r="I253" s="154">
        <f t="shared" si="6"/>
        <v>0</v>
      </c>
      <c r="J253" s="154">
        <f t="shared" si="5"/>
        <v>-10390.1</v>
      </c>
    </row>
    <row r="254" spans="1:10" ht="31.5">
      <c r="A254" s="17" t="s">
        <v>55</v>
      </c>
      <c r="B254" s="68" t="s">
        <v>380</v>
      </c>
      <c r="C254" s="68" t="s">
        <v>100</v>
      </c>
      <c r="D254" s="68" t="s">
        <v>57</v>
      </c>
      <c r="E254" s="68" t="s">
        <v>191</v>
      </c>
      <c r="F254" s="69">
        <v>5163.2</v>
      </c>
      <c r="G254" s="153">
        <f>SUM(Ведомственная!G154)</f>
        <v>5163.2</v>
      </c>
      <c r="I254" s="154">
        <f t="shared" si="6"/>
        <v>0</v>
      </c>
      <c r="J254" s="154">
        <f t="shared" si="5"/>
        <v>-5163.2</v>
      </c>
    </row>
    <row r="255" spans="1:10" ht="15.75">
      <c r="A255" s="17" t="s">
        <v>25</v>
      </c>
      <c r="B255" s="68" t="s">
        <v>380</v>
      </c>
      <c r="C255" s="68" t="s">
        <v>105</v>
      </c>
      <c r="D255" s="68" t="s">
        <v>57</v>
      </c>
      <c r="E255" s="68" t="s">
        <v>191</v>
      </c>
      <c r="F255" s="69">
        <v>122.1</v>
      </c>
      <c r="G255" s="153">
        <f>SUM(Ведомственная!G155)</f>
        <v>122.1</v>
      </c>
      <c r="I255" s="154">
        <f t="shared" si="6"/>
        <v>0</v>
      </c>
      <c r="J255" s="154">
        <f t="shared" si="5"/>
        <v>-122.1</v>
      </c>
    </row>
    <row r="256" spans="1:10" ht="47.25">
      <c r="A256" s="17" t="s">
        <v>373</v>
      </c>
      <c r="B256" s="68" t="s">
        <v>381</v>
      </c>
      <c r="C256" s="68"/>
      <c r="D256" s="68"/>
      <c r="E256" s="68"/>
      <c r="F256" s="69">
        <f>SUM(F257)</f>
        <v>1199.8</v>
      </c>
      <c r="I256" s="154">
        <f t="shared" si="6"/>
        <v>-1199.8</v>
      </c>
      <c r="J256" s="154">
        <f t="shared" si="5"/>
        <v>-1199.8</v>
      </c>
    </row>
    <row r="257" spans="1:10" ht="15.75">
      <c r="A257" s="17" t="s">
        <v>38</v>
      </c>
      <c r="B257" s="68" t="s">
        <v>382</v>
      </c>
      <c r="C257" s="68"/>
      <c r="D257" s="68"/>
      <c r="E257" s="68"/>
      <c r="F257" s="69">
        <f>SUM(F258)</f>
        <v>1199.8</v>
      </c>
      <c r="I257" s="154">
        <f t="shared" si="6"/>
        <v>-1199.8</v>
      </c>
      <c r="J257" s="154">
        <f t="shared" si="5"/>
        <v>-1199.8</v>
      </c>
    </row>
    <row r="258" spans="1:10" ht="31.5">
      <c r="A258" s="17" t="s">
        <v>372</v>
      </c>
      <c r="B258" s="68" t="s">
        <v>383</v>
      </c>
      <c r="C258" s="68"/>
      <c r="D258" s="68"/>
      <c r="E258" s="68"/>
      <c r="F258" s="69">
        <f>SUM(F259)</f>
        <v>1199.8</v>
      </c>
      <c r="I258" s="154">
        <f t="shared" si="6"/>
        <v>-1199.8</v>
      </c>
      <c r="J258" s="154">
        <f t="shared" si="5"/>
        <v>-1199.8</v>
      </c>
    </row>
    <row r="259" spans="1:10" ht="31.5">
      <c r="A259" s="17" t="s">
        <v>55</v>
      </c>
      <c r="B259" s="68" t="s">
        <v>383</v>
      </c>
      <c r="C259" s="68" t="s">
        <v>100</v>
      </c>
      <c r="D259" s="68" t="s">
        <v>57</v>
      </c>
      <c r="E259" s="68" t="s">
        <v>191</v>
      </c>
      <c r="F259" s="69">
        <v>1199.8</v>
      </c>
      <c r="G259" s="153">
        <f>SUM(Ведомственная!G159)</f>
        <v>1199.8</v>
      </c>
      <c r="I259" s="154">
        <f t="shared" si="6"/>
        <v>0</v>
      </c>
      <c r="J259" s="154">
        <f t="shared" si="5"/>
        <v>-1199.8</v>
      </c>
    </row>
    <row r="260" spans="1:10" ht="47.25">
      <c r="A260" s="17" t="s">
        <v>374</v>
      </c>
      <c r="B260" s="68" t="s">
        <v>384</v>
      </c>
      <c r="C260" s="68"/>
      <c r="D260" s="68"/>
      <c r="E260" s="68"/>
      <c r="F260" s="69">
        <f>SUM(F261)</f>
        <v>640</v>
      </c>
      <c r="I260" s="154">
        <f t="shared" si="6"/>
        <v>-640</v>
      </c>
      <c r="J260" s="154">
        <f t="shared" si="5"/>
        <v>-640</v>
      </c>
    </row>
    <row r="261" spans="1:10" ht="15.75">
      <c r="A261" s="17" t="s">
        <v>38</v>
      </c>
      <c r="B261" s="68" t="s">
        <v>385</v>
      </c>
      <c r="C261" s="68"/>
      <c r="D261" s="68"/>
      <c r="E261" s="68"/>
      <c r="F261" s="69">
        <f>SUM(F262)</f>
        <v>640</v>
      </c>
      <c r="I261" s="154">
        <f t="shared" si="6"/>
        <v>-640</v>
      </c>
      <c r="J261" s="154">
        <f t="shared" si="5"/>
        <v>-640</v>
      </c>
    </row>
    <row r="262" spans="1:10" ht="31.5">
      <c r="A262" s="17" t="s">
        <v>55</v>
      </c>
      <c r="B262" s="68" t="s">
        <v>385</v>
      </c>
      <c r="C262" s="68" t="s">
        <v>100</v>
      </c>
      <c r="D262" s="68" t="s">
        <v>57</v>
      </c>
      <c r="E262" s="68" t="s">
        <v>191</v>
      </c>
      <c r="F262" s="69">
        <v>640</v>
      </c>
      <c r="G262" s="153">
        <f>SUM(Ведомственная!G162)</f>
        <v>640</v>
      </c>
      <c r="I262" s="154">
        <f t="shared" si="6"/>
        <v>0</v>
      </c>
      <c r="J262" s="154">
        <f t="shared" si="5"/>
        <v>-640</v>
      </c>
    </row>
    <row r="263" spans="1:10" ht="31.5">
      <c r="A263" s="51" t="s">
        <v>304</v>
      </c>
      <c r="B263" s="52" t="s">
        <v>305</v>
      </c>
      <c r="C263" s="52"/>
      <c r="D263" s="53"/>
      <c r="E263" s="53"/>
      <c r="F263" s="54">
        <f>SUM(F271)+F264+F268</f>
        <v>3456</v>
      </c>
      <c r="H263" s="155">
        <f>SUM(G264:G272)</f>
        <v>3456</v>
      </c>
      <c r="I263" s="154">
        <f t="shared" si="6"/>
        <v>-3456</v>
      </c>
      <c r="J263" s="154">
        <f t="shared" si="5"/>
        <v>0</v>
      </c>
    </row>
    <row r="264" spans="1:10" ht="31.5">
      <c r="A264" s="17" t="s">
        <v>356</v>
      </c>
      <c r="B264" s="68" t="s">
        <v>406</v>
      </c>
      <c r="C264" s="68"/>
      <c r="D264" s="68"/>
      <c r="E264" s="68"/>
      <c r="F264" s="69">
        <f>SUM(F265)</f>
        <v>395.5</v>
      </c>
      <c r="I264" s="154">
        <f t="shared" si="6"/>
        <v>-395.5</v>
      </c>
      <c r="J264" s="154">
        <f t="shared" si="5"/>
        <v>-395.5</v>
      </c>
    </row>
    <row r="265" spans="1:10" ht="31.5">
      <c r="A265" s="17" t="s">
        <v>357</v>
      </c>
      <c r="B265" s="68" t="s">
        <v>407</v>
      </c>
      <c r="C265" s="68"/>
      <c r="D265" s="68"/>
      <c r="E265" s="68"/>
      <c r="F265" s="69">
        <f>SUM(F266:F267)</f>
        <v>395.5</v>
      </c>
      <c r="I265" s="154">
        <f t="shared" si="6"/>
        <v>-395.5</v>
      </c>
      <c r="J265" s="154">
        <f t="shared" si="5"/>
        <v>-395.5</v>
      </c>
    </row>
    <row r="266" spans="1:10" ht="29.25" customHeight="1">
      <c r="A266" s="17" t="s">
        <v>358</v>
      </c>
      <c r="B266" s="68" t="s">
        <v>407</v>
      </c>
      <c r="C266" s="68" t="s">
        <v>312</v>
      </c>
      <c r="D266" s="68" t="s">
        <v>16</v>
      </c>
      <c r="E266" s="68" t="s">
        <v>191</v>
      </c>
      <c r="F266" s="69">
        <v>395.5</v>
      </c>
      <c r="G266" s="153">
        <f>SUM(Ведомственная!G190)</f>
        <v>395.5</v>
      </c>
      <c r="I266" s="154">
        <f t="shared" si="6"/>
        <v>0</v>
      </c>
      <c r="J266" s="154">
        <f t="shared" si="5"/>
        <v>-395.5</v>
      </c>
    </row>
    <row r="267" spans="1:10" ht="31.5" hidden="1">
      <c r="A267" s="17" t="s">
        <v>358</v>
      </c>
      <c r="B267" s="68" t="s">
        <v>407</v>
      </c>
      <c r="C267" s="68" t="s">
        <v>312</v>
      </c>
      <c r="D267" s="68" t="s">
        <v>187</v>
      </c>
      <c r="E267" s="68" t="s">
        <v>47</v>
      </c>
      <c r="F267" s="69"/>
      <c r="G267" s="153">
        <f>SUM(Ведомственная!G239)</f>
        <v>0</v>
      </c>
      <c r="I267" s="154">
        <f t="shared" si="6"/>
        <v>0</v>
      </c>
      <c r="J267" s="154">
        <f t="shared" si="5"/>
        <v>0</v>
      </c>
    </row>
    <row r="268" spans="1:10" ht="31.5">
      <c r="A268" s="17" t="s">
        <v>359</v>
      </c>
      <c r="B268" s="68" t="s">
        <v>408</v>
      </c>
      <c r="C268" s="68"/>
      <c r="D268" s="68"/>
      <c r="E268" s="68"/>
      <c r="F268" s="69">
        <f>SUM(F269)</f>
        <v>2560.5</v>
      </c>
      <c r="I268" s="154">
        <f t="shared" si="6"/>
        <v>-2560.5</v>
      </c>
      <c r="J268" s="154">
        <f t="shared" si="5"/>
        <v>-2560.5</v>
      </c>
    </row>
    <row r="269" spans="1:10" ht="31.5">
      <c r="A269" s="17" t="s">
        <v>357</v>
      </c>
      <c r="B269" s="68" t="s">
        <v>409</v>
      </c>
      <c r="C269" s="68"/>
      <c r="D269" s="68"/>
      <c r="E269" s="68"/>
      <c r="F269" s="69">
        <f>SUM(F270)</f>
        <v>2560.5</v>
      </c>
      <c r="I269" s="154">
        <f t="shared" si="6"/>
        <v>-2560.5</v>
      </c>
      <c r="J269" s="154">
        <f t="shared" si="5"/>
        <v>-2560.5</v>
      </c>
    </row>
    <row r="270" spans="1:10" ht="31.5">
      <c r="A270" s="17" t="s">
        <v>358</v>
      </c>
      <c r="B270" s="68" t="s">
        <v>409</v>
      </c>
      <c r="C270" s="68" t="s">
        <v>312</v>
      </c>
      <c r="D270" s="68" t="s">
        <v>187</v>
      </c>
      <c r="E270" s="68" t="s">
        <v>47</v>
      </c>
      <c r="F270" s="69">
        <v>2560.5</v>
      </c>
      <c r="G270" s="153">
        <f>SUM(Ведомственная!G242)</f>
        <v>2560.5</v>
      </c>
      <c r="I270" s="154">
        <f t="shared" si="6"/>
        <v>0</v>
      </c>
      <c r="J270" s="154">
        <f t="shared" si="5"/>
        <v>-2560.5</v>
      </c>
    </row>
    <row r="271" spans="1:10" ht="31.5">
      <c r="A271" s="51" t="s">
        <v>319</v>
      </c>
      <c r="B271" s="52" t="s">
        <v>306</v>
      </c>
      <c r="C271" s="52"/>
      <c r="D271" s="53"/>
      <c r="E271" s="53"/>
      <c r="F271" s="54">
        <f>SUM(F272)</f>
        <v>500</v>
      </c>
      <c r="I271" s="154">
        <f t="shared" si="6"/>
        <v>-500</v>
      </c>
      <c r="J271" s="154">
        <f t="shared" si="5"/>
        <v>-500</v>
      </c>
    </row>
    <row r="272" spans="1:10" ht="15.75">
      <c r="A272" s="51" t="s">
        <v>45</v>
      </c>
      <c r="B272" s="52" t="s">
        <v>306</v>
      </c>
      <c r="C272" s="52">
        <v>300</v>
      </c>
      <c r="D272" s="53" t="s">
        <v>34</v>
      </c>
      <c r="E272" s="53" t="s">
        <v>57</v>
      </c>
      <c r="F272" s="54">
        <v>500</v>
      </c>
      <c r="G272" s="153">
        <f>SUM(Ведомственная!G310)</f>
        <v>500</v>
      </c>
      <c r="I272" s="154">
        <f t="shared" si="6"/>
        <v>0</v>
      </c>
      <c r="J272" s="154">
        <f t="shared" si="5"/>
        <v>-500</v>
      </c>
    </row>
    <row r="273" spans="1:10" ht="31.5">
      <c r="A273" s="17" t="s">
        <v>351</v>
      </c>
      <c r="B273" s="68" t="s">
        <v>397</v>
      </c>
      <c r="C273" s="68"/>
      <c r="D273" s="68"/>
      <c r="E273" s="68"/>
      <c r="F273" s="69">
        <f>SUM(F277)+F274</f>
        <v>7424.1</v>
      </c>
      <c r="H273" s="155">
        <f>SUM(G274:G281)</f>
        <v>7424.1</v>
      </c>
      <c r="I273" s="154">
        <f t="shared" si="6"/>
        <v>-7424.1</v>
      </c>
      <c r="J273" s="154">
        <f t="shared" si="5"/>
        <v>0</v>
      </c>
    </row>
    <row r="274" spans="1:10" ht="31.5">
      <c r="A274" s="17" t="s">
        <v>357</v>
      </c>
      <c r="B274" s="71" t="s">
        <v>420</v>
      </c>
      <c r="C274" s="71"/>
      <c r="D274" s="71"/>
      <c r="E274" s="71"/>
      <c r="F274" s="72">
        <f>SUM(F275)+F276</f>
        <v>2362.9</v>
      </c>
      <c r="I274" s="154">
        <f t="shared" si="6"/>
        <v>-2362.9</v>
      </c>
      <c r="J274" s="154">
        <f t="shared" si="5"/>
        <v>-2362.9</v>
      </c>
    </row>
    <row r="275" spans="1:10" ht="31.5">
      <c r="A275" s="17" t="s">
        <v>358</v>
      </c>
      <c r="B275" s="71" t="s">
        <v>420</v>
      </c>
      <c r="C275" s="71" t="s">
        <v>312</v>
      </c>
      <c r="D275" s="71" t="s">
        <v>187</v>
      </c>
      <c r="E275" s="71" t="s">
        <v>187</v>
      </c>
      <c r="F275" s="72">
        <f>510.8+467-0.1</f>
        <v>977.6999999999999</v>
      </c>
      <c r="G275" s="153">
        <f>SUM(Ведомственная!G276)+Ведомственная!G305+Ведомственная!G347</f>
        <v>977.6999999999999</v>
      </c>
      <c r="I275" s="154">
        <f t="shared" si="6"/>
        <v>0</v>
      </c>
      <c r="J275" s="154">
        <f t="shared" si="5"/>
        <v>-977.6999999999999</v>
      </c>
    </row>
    <row r="276" spans="1:10" ht="31.5">
      <c r="A276" s="17" t="s">
        <v>358</v>
      </c>
      <c r="B276" s="71" t="s">
        <v>420</v>
      </c>
      <c r="C276" s="71" t="s">
        <v>312</v>
      </c>
      <c r="D276" s="71" t="s">
        <v>188</v>
      </c>
      <c r="E276" s="71" t="s">
        <v>187</v>
      </c>
      <c r="F276" s="72">
        <v>1385.2</v>
      </c>
      <c r="G276" s="153">
        <f>Ведомственная!G357</f>
        <v>1385.2</v>
      </c>
      <c r="I276" s="154">
        <f t="shared" si="6"/>
        <v>0</v>
      </c>
      <c r="J276" s="154">
        <f t="shared" si="5"/>
        <v>-1385.2</v>
      </c>
    </row>
    <row r="277" spans="1:10" ht="31.5">
      <c r="A277" s="17" t="s">
        <v>352</v>
      </c>
      <c r="B277" s="68" t="s">
        <v>398</v>
      </c>
      <c r="C277" s="68"/>
      <c r="D277" s="68"/>
      <c r="E277" s="68"/>
      <c r="F277" s="69">
        <f>SUM(F278)</f>
        <v>5061.2</v>
      </c>
      <c r="I277" s="154">
        <f t="shared" si="6"/>
        <v>-5061.2</v>
      </c>
      <c r="J277" s="154">
        <f t="shared" si="5"/>
        <v>-5061.2</v>
      </c>
    </row>
    <row r="278" spans="1:10" ht="31.5">
      <c r="A278" s="17" t="s">
        <v>48</v>
      </c>
      <c r="B278" s="68" t="s">
        <v>399</v>
      </c>
      <c r="C278" s="68"/>
      <c r="D278" s="68"/>
      <c r="E278" s="68"/>
      <c r="F278" s="69">
        <f>SUM(F279:F281)</f>
        <v>5061.2</v>
      </c>
      <c r="I278" s="154">
        <f t="shared" si="6"/>
        <v>-5061.2</v>
      </c>
      <c r="J278" s="154">
        <f t="shared" si="5"/>
        <v>-5061.2</v>
      </c>
    </row>
    <row r="279" spans="1:10" ht="63">
      <c r="A279" s="17" t="s">
        <v>54</v>
      </c>
      <c r="B279" s="68" t="s">
        <v>399</v>
      </c>
      <c r="C279" s="68" t="s">
        <v>98</v>
      </c>
      <c r="D279" s="68" t="s">
        <v>16</v>
      </c>
      <c r="E279" s="68" t="s">
        <v>27</v>
      </c>
      <c r="F279" s="69">
        <v>3995.8</v>
      </c>
      <c r="G279" s="153">
        <f>SUM(Ведомственная!G206)</f>
        <v>3995.8</v>
      </c>
      <c r="I279" s="154">
        <f t="shared" si="6"/>
        <v>0</v>
      </c>
      <c r="J279" s="154">
        <f t="shared" si="5"/>
        <v>-3995.8</v>
      </c>
    </row>
    <row r="280" spans="1:10" ht="31.5">
      <c r="A280" s="17" t="s">
        <v>55</v>
      </c>
      <c r="B280" s="68" t="s">
        <v>399</v>
      </c>
      <c r="C280" s="68" t="s">
        <v>100</v>
      </c>
      <c r="D280" s="68" t="s">
        <v>16</v>
      </c>
      <c r="E280" s="68" t="s">
        <v>27</v>
      </c>
      <c r="F280" s="69">
        <v>1032</v>
      </c>
      <c r="G280" s="153">
        <f>SUM(Ведомственная!G207)</f>
        <v>1032</v>
      </c>
      <c r="I280" s="154">
        <f t="shared" si="6"/>
        <v>0</v>
      </c>
      <c r="J280" s="154">
        <f t="shared" si="5"/>
        <v>-1032</v>
      </c>
    </row>
    <row r="281" spans="1:10" ht="15.75">
      <c r="A281" s="17" t="s">
        <v>25</v>
      </c>
      <c r="B281" s="68" t="s">
        <v>399</v>
      </c>
      <c r="C281" s="68" t="s">
        <v>105</v>
      </c>
      <c r="D281" s="68" t="s">
        <v>16</v>
      </c>
      <c r="E281" s="68" t="s">
        <v>27</v>
      </c>
      <c r="F281" s="69">
        <v>33.4</v>
      </c>
      <c r="G281" s="153">
        <f>SUM(Ведомственная!G208)</f>
        <v>33.4</v>
      </c>
      <c r="I281" s="154">
        <f t="shared" si="6"/>
        <v>0</v>
      </c>
      <c r="J281" s="154">
        <f t="shared" si="5"/>
        <v>-33.4</v>
      </c>
    </row>
    <row r="282" spans="1:10" ht="31.5">
      <c r="A282" s="51" t="s">
        <v>301</v>
      </c>
      <c r="B282" s="52" t="s">
        <v>302</v>
      </c>
      <c r="C282" s="52"/>
      <c r="D282" s="53"/>
      <c r="E282" s="53"/>
      <c r="F282" s="54">
        <f>SUM(F283+F289)</f>
        <v>5657.8</v>
      </c>
      <c r="H282" s="155">
        <f>SUM(G285:G292)</f>
        <v>5657.799999999999</v>
      </c>
      <c r="I282" s="154">
        <f t="shared" si="6"/>
        <v>-5657.8</v>
      </c>
      <c r="J282" s="154">
        <f t="shared" si="5"/>
        <v>-9.094947017729282E-13</v>
      </c>
    </row>
    <row r="283" spans="1:10" ht="15.75">
      <c r="A283" s="51" t="s">
        <v>38</v>
      </c>
      <c r="B283" s="52" t="s">
        <v>314</v>
      </c>
      <c r="C283" s="52"/>
      <c r="D283" s="53"/>
      <c r="E283" s="53"/>
      <c r="F283" s="54">
        <f>SUM(F284)+F286</f>
        <v>894.1</v>
      </c>
      <c r="I283" s="154">
        <f t="shared" si="6"/>
        <v>-894.1</v>
      </c>
      <c r="J283" s="154">
        <f aca="true" t="shared" si="7" ref="J283:J348">SUM(H283-F283)</f>
        <v>-894.1</v>
      </c>
    </row>
    <row r="284" spans="1:10" ht="47.25" hidden="1">
      <c r="A284" s="51" t="s">
        <v>365</v>
      </c>
      <c r="B284" s="52" t="s">
        <v>366</v>
      </c>
      <c r="C284" s="52"/>
      <c r="D284" s="53"/>
      <c r="E284" s="53"/>
      <c r="F284" s="54">
        <f>SUM(F285)</f>
        <v>0</v>
      </c>
      <c r="I284" s="154">
        <f t="shared" si="6"/>
        <v>0</v>
      </c>
      <c r="J284" s="154">
        <f t="shared" si="7"/>
        <v>0</v>
      </c>
    </row>
    <row r="285" spans="1:10" ht="15.75" hidden="1">
      <c r="A285" s="51" t="s">
        <v>99</v>
      </c>
      <c r="B285" s="52" t="s">
        <v>366</v>
      </c>
      <c r="C285" s="53" t="s">
        <v>100</v>
      </c>
      <c r="D285" s="53"/>
      <c r="E285" s="53"/>
      <c r="F285" s="54"/>
      <c r="G285" s="153">
        <f>SUM(Ведомственная!G292)</f>
        <v>0</v>
      </c>
      <c r="I285" s="154">
        <f t="shared" si="6"/>
        <v>0</v>
      </c>
      <c r="J285" s="154">
        <f t="shared" si="7"/>
        <v>0</v>
      </c>
    </row>
    <row r="286" spans="1:10" ht="47.25">
      <c r="A286" s="51" t="s">
        <v>365</v>
      </c>
      <c r="B286" s="52" t="s">
        <v>366</v>
      </c>
      <c r="C286" s="52"/>
      <c r="D286" s="53"/>
      <c r="E286" s="53"/>
      <c r="F286" s="54">
        <f>SUM(F287:F288)</f>
        <v>894.1</v>
      </c>
      <c r="I286" s="154">
        <f t="shared" si="6"/>
        <v>-894.1</v>
      </c>
      <c r="J286" s="154">
        <f t="shared" si="7"/>
        <v>-894.1</v>
      </c>
    </row>
    <row r="287" spans="1:10" ht="63">
      <c r="A287" s="51" t="s">
        <v>54</v>
      </c>
      <c r="B287" s="52" t="s">
        <v>366</v>
      </c>
      <c r="C287" s="52">
        <v>100</v>
      </c>
      <c r="D287" s="53" t="s">
        <v>81</v>
      </c>
      <c r="E287" s="53" t="s">
        <v>187</v>
      </c>
      <c r="F287" s="54">
        <v>25</v>
      </c>
      <c r="G287" s="153">
        <f>SUM(Ведомственная!G294)</f>
        <v>25</v>
      </c>
      <c r="I287" s="154">
        <f t="shared" si="6"/>
        <v>0</v>
      </c>
      <c r="J287" s="154">
        <f t="shared" si="7"/>
        <v>-25</v>
      </c>
    </row>
    <row r="288" spans="1:10" ht="31.5">
      <c r="A288" s="51" t="s">
        <v>55</v>
      </c>
      <c r="B288" s="52" t="s">
        <v>366</v>
      </c>
      <c r="C288" s="53" t="s">
        <v>100</v>
      </c>
      <c r="D288" s="53" t="s">
        <v>81</v>
      </c>
      <c r="E288" s="53" t="s">
        <v>187</v>
      </c>
      <c r="F288" s="54">
        <v>869.1</v>
      </c>
      <c r="G288" s="153">
        <f>SUM(Ведомственная!G295)</f>
        <v>869.1</v>
      </c>
      <c r="I288" s="154">
        <f t="shared" si="6"/>
        <v>0</v>
      </c>
      <c r="J288" s="154">
        <f t="shared" si="7"/>
        <v>-869.1</v>
      </c>
    </row>
    <row r="289" spans="1:10" ht="31.5">
      <c r="A289" s="51" t="s">
        <v>48</v>
      </c>
      <c r="B289" s="52" t="s">
        <v>303</v>
      </c>
      <c r="C289" s="52"/>
      <c r="D289" s="53"/>
      <c r="E289" s="53"/>
      <c r="F289" s="54">
        <f>SUM(F290:F292)</f>
        <v>4763.7</v>
      </c>
      <c r="I289" s="154">
        <f t="shared" si="6"/>
        <v>-4763.7</v>
      </c>
      <c r="J289" s="154">
        <f t="shared" si="7"/>
        <v>-4763.7</v>
      </c>
    </row>
    <row r="290" spans="1:10" ht="63">
      <c r="A290" s="51" t="s">
        <v>54</v>
      </c>
      <c r="B290" s="52" t="s">
        <v>303</v>
      </c>
      <c r="C290" s="53" t="s">
        <v>98</v>
      </c>
      <c r="D290" s="53" t="s">
        <v>81</v>
      </c>
      <c r="E290" s="53" t="s">
        <v>57</v>
      </c>
      <c r="F290" s="54">
        <v>3964.8</v>
      </c>
      <c r="G290" s="153">
        <f>SUM(Ведомственная!G285)</f>
        <v>3964.7999999999997</v>
      </c>
      <c r="I290" s="154">
        <f t="shared" si="6"/>
        <v>0</v>
      </c>
      <c r="J290" s="154">
        <f t="shared" si="7"/>
        <v>-3964.8</v>
      </c>
    </row>
    <row r="291" spans="1:10" ht="31.5">
      <c r="A291" s="51" t="s">
        <v>55</v>
      </c>
      <c r="B291" s="52" t="s">
        <v>303</v>
      </c>
      <c r="C291" s="53" t="s">
        <v>100</v>
      </c>
      <c r="D291" s="53" t="s">
        <v>81</v>
      </c>
      <c r="E291" s="53" t="s">
        <v>57</v>
      </c>
      <c r="F291" s="54">
        <f>684+60</f>
        <v>744</v>
      </c>
      <c r="G291" s="153">
        <f>SUM(Ведомственная!G286)</f>
        <v>743.9999999999999</v>
      </c>
      <c r="I291" s="154">
        <f t="shared" si="6"/>
        <v>0</v>
      </c>
      <c r="J291" s="154">
        <f t="shared" si="7"/>
        <v>-744</v>
      </c>
    </row>
    <row r="292" spans="1:10" ht="15.75">
      <c r="A292" s="51" t="s">
        <v>25</v>
      </c>
      <c r="B292" s="52" t="s">
        <v>303</v>
      </c>
      <c r="C292" s="53" t="s">
        <v>105</v>
      </c>
      <c r="D292" s="53" t="s">
        <v>81</v>
      </c>
      <c r="E292" s="53" t="s">
        <v>57</v>
      </c>
      <c r="F292" s="54">
        <v>54.9</v>
      </c>
      <c r="G292" s="153">
        <f>SUM(Ведомственная!G287)</f>
        <v>54.9</v>
      </c>
      <c r="I292" s="154">
        <f t="shared" si="6"/>
        <v>0</v>
      </c>
      <c r="J292" s="154">
        <f t="shared" si="7"/>
        <v>-54.9</v>
      </c>
    </row>
    <row r="293" spans="1:10" ht="47.25">
      <c r="A293" s="51" t="s">
        <v>315</v>
      </c>
      <c r="B293" s="52" t="s">
        <v>263</v>
      </c>
      <c r="C293" s="52"/>
      <c r="D293" s="53"/>
      <c r="E293" s="53"/>
      <c r="F293" s="54">
        <f>SUM(F294)+F303+F301</f>
        <v>10532</v>
      </c>
      <c r="H293" s="155">
        <f>SUM(G294:G307)</f>
        <v>10532</v>
      </c>
      <c r="I293" s="154">
        <f t="shared" si="6"/>
        <v>-10532</v>
      </c>
      <c r="J293" s="154">
        <f t="shared" si="7"/>
        <v>0</v>
      </c>
    </row>
    <row r="294" spans="1:10" ht="47.25">
      <c r="A294" s="51" t="s">
        <v>264</v>
      </c>
      <c r="B294" s="52" t="s">
        <v>265</v>
      </c>
      <c r="C294" s="52"/>
      <c r="D294" s="53"/>
      <c r="E294" s="53"/>
      <c r="F294" s="54">
        <f>SUM(F297)+F295</f>
        <v>9882</v>
      </c>
      <c r="I294" s="154">
        <f t="shared" si="6"/>
        <v>-9882</v>
      </c>
      <c r="J294" s="154">
        <f t="shared" si="7"/>
        <v>-9882</v>
      </c>
    </row>
    <row r="295" spans="1:10" ht="47.25">
      <c r="A295" s="70" t="s">
        <v>651</v>
      </c>
      <c r="B295" s="52" t="s">
        <v>652</v>
      </c>
      <c r="C295" s="73"/>
      <c r="D295" s="74"/>
      <c r="E295" s="67"/>
      <c r="F295" s="72">
        <f>F296</f>
        <v>2000</v>
      </c>
      <c r="I295" s="154">
        <f t="shared" si="6"/>
        <v>-2000</v>
      </c>
      <c r="J295" s="154">
        <f t="shared" si="7"/>
        <v>-2000</v>
      </c>
    </row>
    <row r="296" spans="1:10" ht="31.5">
      <c r="A296" s="70" t="s">
        <v>358</v>
      </c>
      <c r="B296" s="52" t="s">
        <v>652</v>
      </c>
      <c r="C296" s="73" t="s">
        <v>312</v>
      </c>
      <c r="D296" s="53" t="s">
        <v>124</v>
      </c>
      <c r="E296" s="53" t="s">
        <v>37</v>
      </c>
      <c r="F296" s="72">
        <v>2000</v>
      </c>
      <c r="G296" s="153">
        <f>Ведомственная!G301</f>
        <v>2000</v>
      </c>
      <c r="I296" s="154">
        <f t="shared" si="6"/>
        <v>0</v>
      </c>
      <c r="J296" s="154"/>
    </row>
    <row r="297" spans="1:10" ht="47.25">
      <c r="A297" s="51" t="s">
        <v>83</v>
      </c>
      <c r="B297" s="52" t="s">
        <v>266</v>
      </c>
      <c r="C297" s="52"/>
      <c r="D297" s="53"/>
      <c r="E297" s="53"/>
      <c r="F297" s="54">
        <f>SUM(F298)</f>
        <v>7882</v>
      </c>
      <c r="I297" s="154">
        <f t="shared" si="6"/>
        <v>-7882</v>
      </c>
      <c r="J297" s="154">
        <f t="shared" si="7"/>
        <v>-7882</v>
      </c>
    </row>
    <row r="298" spans="1:10" ht="31.5">
      <c r="A298" s="51" t="s">
        <v>267</v>
      </c>
      <c r="B298" s="52" t="s">
        <v>268</v>
      </c>
      <c r="C298" s="52"/>
      <c r="D298" s="53"/>
      <c r="E298" s="53"/>
      <c r="F298" s="54">
        <f>SUM(F299:F300)</f>
        <v>7882</v>
      </c>
      <c r="I298" s="154">
        <f aca="true" t="shared" si="8" ref="I298:I361">G298-F298</f>
        <v>-7882</v>
      </c>
      <c r="J298" s="154">
        <f t="shared" si="7"/>
        <v>-7882</v>
      </c>
    </row>
    <row r="299" spans="1:10" ht="31.5">
      <c r="A299" s="51" t="s">
        <v>55</v>
      </c>
      <c r="B299" s="52" t="s">
        <v>268</v>
      </c>
      <c r="C299" s="52">
        <v>200</v>
      </c>
      <c r="D299" s="53" t="s">
        <v>37</v>
      </c>
      <c r="E299" s="53">
        <v>13</v>
      </c>
      <c r="F299" s="54">
        <v>7797</v>
      </c>
      <c r="G299" s="153">
        <f>SUM(Ведомственная!G110)</f>
        <v>7797</v>
      </c>
      <c r="I299" s="154">
        <f t="shared" si="8"/>
        <v>0</v>
      </c>
      <c r="J299" s="154">
        <f t="shared" si="7"/>
        <v>-7797</v>
      </c>
    </row>
    <row r="300" spans="1:10" ht="15.75">
      <c r="A300" s="51" t="s">
        <v>25</v>
      </c>
      <c r="B300" s="52" t="s">
        <v>268</v>
      </c>
      <c r="C300" s="52">
        <v>800</v>
      </c>
      <c r="D300" s="53" t="s">
        <v>37</v>
      </c>
      <c r="E300" s="53">
        <v>13</v>
      </c>
      <c r="F300" s="54">
        <v>85</v>
      </c>
      <c r="G300" s="153">
        <f>SUM(Ведомственная!G111)</f>
        <v>85</v>
      </c>
      <c r="I300" s="154">
        <f t="shared" si="8"/>
        <v>0</v>
      </c>
      <c r="J300" s="154">
        <f t="shared" si="7"/>
        <v>-85</v>
      </c>
    </row>
    <row r="301" spans="1:10" ht="47.25">
      <c r="A301" s="51" t="s">
        <v>291</v>
      </c>
      <c r="B301" s="52" t="s">
        <v>292</v>
      </c>
      <c r="C301" s="53"/>
      <c r="D301" s="53"/>
      <c r="E301" s="53"/>
      <c r="F301" s="54">
        <f>SUM(F302)</f>
        <v>550</v>
      </c>
      <c r="I301" s="154">
        <f t="shared" si="8"/>
        <v>-550</v>
      </c>
      <c r="J301" s="154">
        <f t="shared" si="7"/>
        <v>-550</v>
      </c>
    </row>
    <row r="302" spans="1:10" ht="31.5">
      <c r="A302" s="51" t="s">
        <v>55</v>
      </c>
      <c r="B302" s="52" t="s">
        <v>292</v>
      </c>
      <c r="C302" s="53" t="s">
        <v>100</v>
      </c>
      <c r="D302" s="53" t="s">
        <v>16</v>
      </c>
      <c r="E302" s="53" t="s">
        <v>27</v>
      </c>
      <c r="F302" s="54">
        <f>490+60</f>
        <v>550</v>
      </c>
      <c r="G302" s="153">
        <f>SUM(Ведомственная!G211)</f>
        <v>550</v>
      </c>
      <c r="I302" s="154">
        <f t="shared" si="8"/>
        <v>0</v>
      </c>
      <c r="J302" s="154">
        <f t="shared" si="7"/>
        <v>-550</v>
      </c>
    </row>
    <row r="303" spans="1:10" ht="31.5">
      <c r="A303" s="51" t="s">
        <v>269</v>
      </c>
      <c r="B303" s="52" t="s">
        <v>270</v>
      </c>
      <c r="C303" s="52"/>
      <c r="D303" s="53"/>
      <c r="E303" s="53"/>
      <c r="F303" s="54">
        <f>SUM(F304)</f>
        <v>100</v>
      </c>
      <c r="I303" s="154">
        <f t="shared" si="8"/>
        <v>-100</v>
      </c>
      <c r="J303" s="154">
        <f t="shared" si="7"/>
        <v>-100</v>
      </c>
    </row>
    <row r="304" spans="1:10" ht="47.25">
      <c r="A304" s="51" t="s">
        <v>83</v>
      </c>
      <c r="B304" s="52" t="s">
        <v>271</v>
      </c>
      <c r="C304" s="52"/>
      <c r="D304" s="53"/>
      <c r="E304" s="53"/>
      <c r="F304" s="54">
        <f>SUM(F305)</f>
        <v>100</v>
      </c>
      <c r="I304" s="154">
        <f t="shared" si="8"/>
        <v>-100</v>
      </c>
      <c r="J304" s="154">
        <f t="shared" si="7"/>
        <v>-100</v>
      </c>
    </row>
    <row r="305" spans="1:10" ht="31.5">
      <c r="A305" s="51" t="s">
        <v>267</v>
      </c>
      <c r="B305" s="52" t="s">
        <v>272</v>
      </c>
      <c r="C305" s="52"/>
      <c r="D305" s="53"/>
      <c r="E305" s="53"/>
      <c r="F305" s="54">
        <f>SUM(F306:F307)</f>
        <v>100</v>
      </c>
      <c r="I305" s="154">
        <f t="shared" si="8"/>
        <v>-100</v>
      </c>
      <c r="J305" s="154">
        <f t="shared" si="7"/>
        <v>-100</v>
      </c>
    </row>
    <row r="306" spans="1:10" ht="29.25" customHeight="1">
      <c r="A306" s="51" t="s">
        <v>55</v>
      </c>
      <c r="B306" s="52" t="s">
        <v>272</v>
      </c>
      <c r="C306" s="52">
        <v>200</v>
      </c>
      <c r="D306" s="53" t="s">
        <v>37</v>
      </c>
      <c r="E306" s="53">
        <v>13</v>
      </c>
      <c r="F306" s="54">
        <v>100</v>
      </c>
      <c r="G306" s="153">
        <f>SUM(Ведомственная!G115)</f>
        <v>100</v>
      </c>
      <c r="I306" s="154">
        <f t="shared" si="8"/>
        <v>0</v>
      </c>
      <c r="J306" s="154">
        <f t="shared" si="7"/>
        <v>-100</v>
      </c>
    </row>
    <row r="307" spans="1:10" ht="15.75" hidden="1">
      <c r="A307" s="51" t="s">
        <v>25</v>
      </c>
      <c r="B307" s="52" t="s">
        <v>272</v>
      </c>
      <c r="C307" s="52">
        <v>800</v>
      </c>
      <c r="D307" s="53" t="s">
        <v>37</v>
      </c>
      <c r="E307" s="53">
        <v>13</v>
      </c>
      <c r="F307" s="54"/>
      <c r="G307" s="153">
        <f>SUM(Ведомственная!G116)</f>
        <v>0</v>
      </c>
      <c r="I307" s="154">
        <f t="shared" si="8"/>
        <v>0</v>
      </c>
      <c r="J307" s="154">
        <f t="shared" si="7"/>
        <v>0</v>
      </c>
    </row>
    <row r="308" spans="1:10" ht="31.5">
      <c r="A308" s="51" t="s">
        <v>294</v>
      </c>
      <c r="B308" s="52" t="s">
        <v>295</v>
      </c>
      <c r="C308" s="53"/>
      <c r="D308" s="53"/>
      <c r="E308" s="53"/>
      <c r="F308" s="54">
        <f>SUM(F309)+F313+F315</f>
        <v>43151</v>
      </c>
      <c r="H308" s="155">
        <f>SUM(G309:G320)</f>
        <v>43151</v>
      </c>
      <c r="I308" s="154">
        <f t="shared" si="8"/>
        <v>-43151</v>
      </c>
      <c r="J308" s="154">
        <f t="shared" si="7"/>
        <v>0</v>
      </c>
    </row>
    <row r="309" spans="1:10" ht="31.5">
      <c r="A309" s="51" t="s">
        <v>296</v>
      </c>
      <c r="B309" s="52" t="s">
        <v>298</v>
      </c>
      <c r="C309" s="53"/>
      <c r="D309" s="53"/>
      <c r="E309" s="53"/>
      <c r="F309" s="54">
        <f>SUM(F311)</f>
        <v>648</v>
      </c>
      <c r="I309" s="154">
        <f t="shared" si="8"/>
        <v>-648</v>
      </c>
      <c r="J309" s="154">
        <f t="shared" si="7"/>
        <v>-648</v>
      </c>
    </row>
    <row r="310" spans="1:10" ht="15.75" hidden="1">
      <c r="A310" s="51" t="s">
        <v>99</v>
      </c>
      <c r="B310" s="52" t="s">
        <v>298</v>
      </c>
      <c r="C310" s="53" t="s">
        <v>100</v>
      </c>
      <c r="D310" s="53"/>
      <c r="E310" s="53"/>
      <c r="F310" s="54">
        <v>0</v>
      </c>
      <c r="G310" s="153">
        <f>SUM(Ведомственная!G220)</f>
        <v>0</v>
      </c>
      <c r="I310" s="154">
        <f t="shared" si="8"/>
        <v>0</v>
      </c>
      <c r="J310" s="154">
        <f t="shared" si="7"/>
        <v>0</v>
      </c>
    </row>
    <row r="311" spans="1:10" ht="31.5">
      <c r="A311" s="70" t="s">
        <v>547</v>
      </c>
      <c r="B311" s="73" t="s">
        <v>548</v>
      </c>
      <c r="C311" s="73"/>
      <c r="D311" s="73"/>
      <c r="E311" s="73"/>
      <c r="F311" s="74">
        <f>SUM(F312)</f>
        <v>648</v>
      </c>
      <c r="I311" s="154">
        <f t="shared" si="8"/>
        <v>-648</v>
      </c>
      <c r="J311" s="154">
        <f t="shared" si="7"/>
        <v>-648</v>
      </c>
    </row>
    <row r="312" spans="1:10" ht="31.5">
      <c r="A312" s="70" t="s">
        <v>358</v>
      </c>
      <c r="B312" s="73" t="s">
        <v>548</v>
      </c>
      <c r="C312" s="73" t="s">
        <v>312</v>
      </c>
      <c r="D312" s="73" t="s">
        <v>187</v>
      </c>
      <c r="E312" s="73" t="s">
        <v>187</v>
      </c>
      <c r="F312" s="74">
        <v>648</v>
      </c>
      <c r="G312" s="153">
        <f>SUM(Ведомственная!G280)</f>
        <v>648</v>
      </c>
      <c r="I312" s="154">
        <f t="shared" si="8"/>
        <v>0</v>
      </c>
      <c r="J312" s="154">
        <f t="shared" si="7"/>
        <v>-648</v>
      </c>
    </row>
    <row r="313" spans="1:10" ht="78.75" hidden="1">
      <c r="A313" s="51" t="s">
        <v>308</v>
      </c>
      <c r="B313" s="52" t="s">
        <v>309</v>
      </c>
      <c r="C313" s="52"/>
      <c r="D313" s="53"/>
      <c r="E313" s="53"/>
      <c r="F313" s="54">
        <f>SUM(F314)</f>
        <v>0</v>
      </c>
      <c r="I313" s="154">
        <f t="shared" si="8"/>
        <v>0</v>
      </c>
      <c r="J313" s="154">
        <f t="shared" si="7"/>
        <v>0</v>
      </c>
    </row>
    <row r="314" spans="1:10" ht="15.75" hidden="1">
      <c r="A314" s="51" t="s">
        <v>99</v>
      </c>
      <c r="B314" s="52" t="s">
        <v>309</v>
      </c>
      <c r="C314" s="52">
        <v>200</v>
      </c>
      <c r="D314" s="53"/>
      <c r="E314" s="53"/>
      <c r="F314" s="54"/>
      <c r="G314" s="153">
        <f>SUM(Ведомственная!G313)</f>
        <v>0</v>
      </c>
      <c r="I314" s="154">
        <f t="shared" si="8"/>
        <v>0</v>
      </c>
      <c r="J314" s="154">
        <f t="shared" si="7"/>
        <v>0</v>
      </c>
    </row>
    <row r="315" spans="1:10" ht="63">
      <c r="A315" s="51" t="s">
        <v>538</v>
      </c>
      <c r="B315" s="52" t="s">
        <v>543</v>
      </c>
      <c r="C315" s="52"/>
      <c r="D315" s="53"/>
      <c r="E315" s="53"/>
      <c r="F315" s="54">
        <f>SUM(F316)</f>
        <v>42503</v>
      </c>
      <c r="I315" s="154">
        <f t="shared" si="8"/>
        <v>-42503</v>
      </c>
      <c r="J315" s="154">
        <f t="shared" si="7"/>
        <v>-42503</v>
      </c>
    </row>
    <row r="316" spans="1:10" ht="94.5">
      <c r="A316" s="51" t="s">
        <v>536</v>
      </c>
      <c r="B316" s="52" t="s">
        <v>544</v>
      </c>
      <c r="C316" s="52"/>
      <c r="D316" s="53"/>
      <c r="E316" s="53"/>
      <c r="F316" s="54">
        <f>SUM(F317+F319)</f>
        <v>42503</v>
      </c>
      <c r="I316" s="154">
        <f t="shared" si="8"/>
        <v>-42503</v>
      </c>
      <c r="J316" s="154">
        <f t="shared" si="7"/>
        <v>-42503</v>
      </c>
    </row>
    <row r="317" spans="1:10" ht="63">
      <c r="A317" s="70" t="s">
        <v>310</v>
      </c>
      <c r="B317" s="52" t="s">
        <v>545</v>
      </c>
      <c r="C317" s="52"/>
      <c r="D317" s="53"/>
      <c r="E317" s="53"/>
      <c r="F317" s="54">
        <f>SUM(F318)</f>
        <v>18517</v>
      </c>
      <c r="I317" s="154">
        <f t="shared" si="8"/>
        <v>-18517</v>
      </c>
      <c r="J317" s="154">
        <f t="shared" si="7"/>
        <v>-18517</v>
      </c>
    </row>
    <row r="318" spans="1:10" ht="31.5">
      <c r="A318" s="51" t="s">
        <v>311</v>
      </c>
      <c r="B318" s="52" t="s">
        <v>545</v>
      </c>
      <c r="C318" s="52">
        <v>400</v>
      </c>
      <c r="D318" s="53" t="s">
        <v>34</v>
      </c>
      <c r="E318" s="53" t="s">
        <v>16</v>
      </c>
      <c r="F318" s="54">
        <v>18517</v>
      </c>
      <c r="G318" s="153">
        <f>SUM(Ведомственная!G324)</f>
        <v>18517</v>
      </c>
      <c r="I318" s="154">
        <f t="shared" si="8"/>
        <v>0</v>
      </c>
      <c r="J318" s="154">
        <f t="shared" si="7"/>
        <v>-18517</v>
      </c>
    </row>
    <row r="319" spans="1:10" ht="47.25">
      <c r="A319" s="51" t="s">
        <v>313</v>
      </c>
      <c r="B319" s="53" t="s">
        <v>650</v>
      </c>
      <c r="C319" s="52"/>
      <c r="D319" s="53"/>
      <c r="E319" s="53"/>
      <c r="F319" s="54">
        <f>SUM(F320)</f>
        <v>23986</v>
      </c>
      <c r="I319" s="154">
        <f t="shared" si="8"/>
        <v>-23986</v>
      </c>
      <c r="J319" s="154">
        <f t="shared" si="7"/>
        <v>-23986</v>
      </c>
    </row>
    <row r="320" spans="1:10" ht="31.5">
      <c r="A320" s="51" t="s">
        <v>311</v>
      </c>
      <c r="B320" s="53" t="s">
        <v>650</v>
      </c>
      <c r="C320" s="53" t="s">
        <v>312</v>
      </c>
      <c r="D320" s="53"/>
      <c r="E320" s="53"/>
      <c r="F320" s="54">
        <v>23986</v>
      </c>
      <c r="G320" s="153">
        <f>SUM(Ведомственная!G326)</f>
        <v>23986</v>
      </c>
      <c r="I320" s="154">
        <f t="shared" si="8"/>
        <v>0</v>
      </c>
      <c r="J320" s="154">
        <f t="shared" si="7"/>
        <v>-23986</v>
      </c>
    </row>
    <row r="321" spans="1:10" ht="31.5">
      <c r="A321" s="77" t="s">
        <v>488</v>
      </c>
      <c r="B321" s="76" t="s">
        <v>274</v>
      </c>
      <c r="C321" s="76"/>
      <c r="D321" s="76"/>
      <c r="E321" s="76"/>
      <c r="F321" s="58">
        <f>F322</f>
        <v>78</v>
      </c>
      <c r="H321" s="155">
        <f>SUM(G322:G324)</f>
        <v>78</v>
      </c>
      <c r="I321" s="154">
        <f t="shared" si="8"/>
        <v>-78</v>
      </c>
      <c r="J321" s="154">
        <f t="shared" si="7"/>
        <v>0</v>
      </c>
    </row>
    <row r="322" spans="1:10" ht="15.75">
      <c r="A322" s="77" t="s">
        <v>38</v>
      </c>
      <c r="B322" s="76" t="s">
        <v>489</v>
      </c>
      <c r="C322" s="76"/>
      <c r="D322" s="76"/>
      <c r="E322" s="76"/>
      <c r="F322" s="58">
        <f>F323</f>
        <v>78</v>
      </c>
      <c r="I322" s="154">
        <f t="shared" si="8"/>
        <v>-78</v>
      </c>
      <c r="J322" s="154">
        <f t="shared" si="7"/>
        <v>-78</v>
      </c>
    </row>
    <row r="323" spans="1:10" ht="15.75">
      <c r="A323" s="100" t="s">
        <v>167</v>
      </c>
      <c r="B323" s="76" t="s">
        <v>490</v>
      </c>
      <c r="C323" s="76"/>
      <c r="D323" s="76"/>
      <c r="E323" s="76"/>
      <c r="F323" s="58">
        <f>F324</f>
        <v>78</v>
      </c>
      <c r="I323" s="154">
        <f t="shared" si="8"/>
        <v>-78</v>
      </c>
      <c r="J323" s="154">
        <f t="shared" si="7"/>
        <v>-78</v>
      </c>
    </row>
    <row r="324" spans="1:10" ht="31.5">
      <c r="A324" s="77" t="s">
        <v>55</v>
      </c>
      <c r="B324" s="76" t="s">
        <v>490</v>
      </c>
      <c r="C324" s="76" t="s">
        <v>100</v>
      </c>
      <c r="D324" s="76" t="s">
        <v>124</v>
      </c>
      <c r="E324" s="76" t="s">
        <v>124</v>
      </c>
      <c r="F324" s="58">
        <v>78</v>
      </c>
      <c r="G324" s="153">
        <f>SUM(Ведомственная!G760)</f>
        <v>78</v>
      </c>
      <c r="I324" s="154">
        <f t="shared" si="8"/>
        <v>0</v>
      </c>
      <c r="J324" s="154">
        <f t="shared" si="7"/>
        <v>-78</v>
      </c>
    </row>
    <row r="325" spans="1:10" ht="47.25">
      <c r="A325" s="77" t="s">
        <v>491</v>
      </c>
      <c r="B325" s="76" t="s">
        <v>492</v>
      </c>
      <c r="C325" s="76"/>
      <c r="D325" s="76"/>
      <c r="E325" s="76"/>
      <c r="F325" s="58">
        <f>F326</f>
        <v>78.5</v>
      </c>
      <c r="H325" s="155">
        <f>SUM(G326:G328)</f>
        <v>78.5</v>
      </c>
      <c r="I325" s="154">
        <f t="shared" si="8"/>
        <v>-78.5</v>
      </c>
      <c r="J325" s="154">
        <f t="shared" si="7"/>
        <v>0</v>
      </c>
    </row>
    <row r="326" spans="1:10" ht="15.75">
      <c r="A326" s="77" t="s">
        <v>38</v>
      </c>
      <c r="B326" s="76" t="s">
        <v>493</v>
      </c>
      <c r="C326" s="76"/>
      <c r="D326" s="76"/>
      <c r="E326" s="76"/>
      <c r="F326" s="58">
        <f>F327</f>
        <v>78.5</v>
      </c>
      <c r="I326" s="154">
        <f t="shared" si="8"/>
        <v>-78.5</v>
      </c>
      <c r="J326" s="154">
        <f t="shared" si="7"/>
        <v>-78.5</v>
      </c>
    </row>
    <row r="327" spans="1:10" ht="15.75">
      <c r="A327" s="100" t="s">
        <v>167</v>
      </c>
      <c r="B327" s="76" t="s">
        <v>494</v>
      </c>
      <c r="C327" s="76"/>
      <c r="D327" s="76"/>
      <c r="E327" s="76"/>
      <c r="F327" s="58">
        <f>F328</f>
        <v>78.5</v>
      </c>
      <c r="I327" s="154">
        <f t="shared" si="8"/>
        <v>-78.5</v>
      </c>
      <c r="J327" s="154">
        <f t="shared" si="7"/>
        <v>-78.5</v>
      </c>
    </row>
    <row r="328" spans="1:10" ht="31.5">
      <c r="A328" s="77" t="s">
        <v>55</v>
      </c>
      <c r="B328" s="76" t="s">
        <v>494</v>
      </c>
      <c r="C328" s="76" t="s">
        <v>100</v>
      </c>
      <c r="D328" s="76" t="s">
        <v>124</v>
      </c>
      <c r="E328" s="76" t="s">
        <v>124</v>
      </c>
      <c r="F328" s="58">
        <v>78.5</v>
      </c>
      <c r="G328" s="153">
        <f>SUM(Ведомственная!G763)</f>
        <v>78.5</v>
      </c>
      <c r="I328" s="154">
        <f t="shared" si="8"/>
        <v>0</v>
      </c>
      <c r="J328" s="154">
        <f t="shared" si="7"/>
        <v>-78.5</v>
      </c>
    </row>
    <row r="329" spans="1:10" ht="31.5">
      <c r="A329" s="77" t="s">
        <v>126</v>
      </c>
      <c r="B329" s="57" t="s">
        <v>127</v>
      </c>
      <c r="C329" s="57"/>
      <c r="D329" s="57"/>
      <c r="E329" s="57"/>
      <c r="F329" s="60">
        <f>F330+F339+F343+F349+F353+F361+F366+F394</f>
        <v>183686.2</v>
      </c>
      <c r="H329" s="155">
        <f>SUM(G333:G399)</f>
        <v>183686.2</v>
      </c>
      <c r="I329" s="154">
        <f t="shared" si="8"/>
        <v>-183686.2</v>
      </c>
      <c r="J329" s="154">
        <f t="shared" si="7"/>
        <v>0</v>
      </c>
    </row>
    <row r="330" spans="1:10" ht="15.75">
      <c r="A330" s="77" t="s">
        <v>137</v>
      </c>
      <c r="B330" s="57" t="s">
        <v>138</v>
      </c>
      <c r="C330" s="57"/>
      <c r="D330" s="57"/>
      <c r="E330" s="57"/>
      <c r="F330" s="60">
        <f>F331+F334</f>
        <v>59269.399999999994</v>
      </c>
      <c r="I330" s="154">
        <f t="shared" si="8"/>
        <v>-59269.399999999994</v>
      </c>
      <c r="J330" s="154">
        <f t="shared" si="7"/>
        <v>-59269.399999999994</v>
      </c>
    </row>
    <row r="331" spans="1:10" ht="47.25">
      <c r="A331" s="77" t="s">
        <v>29</v>
      </c>
      <c r="B331" s="57" t="s">
        <v>139</v>
      </c>
      <c r="C331" s="57"/>
      <c r="D331" s="57"/>
      <c r="E331" s="57"/>
      <c r="F331" s="60">
        <f>F332</f>
        <v>36097.9</v>
      </c>
      <c r="I331" s="154">
        <f t="shared" si="8"/>
        <v>-36097.9</v>
      </c>
      <c r="J331" s="154">
        <f t="shared" si="7"/>
        <v>-36097.9</v>
      </c>
    </row>
    <row r="332" spans="1:10" ht="15.75">
      <c r="A332" s="77" t="s">
        <v>140</v>
      </c>
      <c r="B332" s="57" t="s">
        <v>141</v>
      </c>
      <c r="C332" s="57"/>
      <c r="D332" s="57"/>
      <c r="E332" s="57"/>
      <c r="F332" s="60">
        <f>F333</f>
        <v>36097.9</v>
      </c>
      <c r="I332" s="154">
        <f t="shared" si="8"/>
        <v>-36097.9</v>
      </c>
      <c r="J332" s="154">
        <f t="shared" si="7"/>
        <v>-36097.9</v>
      </c>
    </row>
    <row r="333" spans="1:10" ht="31.5">
      <c r="A333" s="77" t="s">
        <v>133</v>
      </c>
      <c r="B333" s="57" t="s">
        <v>141</v>
      </c>
      <c r="C333" s="57" t="s">
        <v>134</v>
      </c>
      <c r="D333" s="57" t="s">
        <v>18</v>
      </c>
      <c r="E333" s="57" t="s">
        <v>37</v>
      </c>
      <c r="F333" s="60">
        <v>36097.9</v>
      </c>
      <c r="G333" s="153">
        <f>SUM(Ведомственная!G838)</f>
        <v>36097.9</v>
      </c>
      <c r="I333" s="154">
        <f t="shared" si="8"/>
        <v>0</v>
      </c>
      <c r="J333" s="154">
        <f t="shared" si="7"/>
        <v>-36097.9</v>
      </c>
    </row>
    <row r="334" spans="1:10" ht="31.5">
      <c r="A334" s="77" t="s">
        <v>48</v>
      </c>
      <c r="B334" s="57" t="s">
        <v>142</v>
      </c>
      <c r="C334" s="57"/>
      <c r="D334" s="57"/>
      <c r="E334" s="57"/>
      <c r="F334" s="60">
        <f>F335</f>
        <v>23171.499999999996</v>
      </c>
      <c r="I334" s="154">
        <f t="shared" si="8"/>
        <v>-23171.499999999996</v>
      </c>
      <c r="J334" s="154">
        <f t="shared" si="7"/>
        <v>-23171.499999999996</v>
      </c>
    </row>
    <row r="335" spans="1:10" ht="15.75">
      <c r="A335" s="77" t="s">
        <v>140</v>
      </c>
      <c r="B335" s="57" t="s">
        <v>143</v>
      </c>
      <c r="C335" s="57"/>
      <c r="D335" s="57"/>
      <c r="E335" s="57"/>
      <c r="F335" s="60">
        <f>F336+F337+F338</f>
        <v>23171.499999999996</v>
      </c>
      <c r="I335" s="154">
        <f t="shared" si="8"/>
        <v>-23171.499999999996</v>
      </c>
      <c r="J335" s="154">
        <f t="shared" si="7"/>
        <v>-23171.499999999996</v>
      </c>
    </row>
    <row r="336" spans="1:10" ht="63">
      <c r="A336" s="77" t="s">
        <v>144</v>
      </c>
      <c r="B336" s="57" t="s">
        <v>143</v>
      </c>
      <c r="C336" s="57" t="s">
        <v>98</v>
      </c>
      <c r="D336" s="57" t="s">
        <v>18</v>
      </c>
      <c r="E336" s="57" t="s">
        <v>37</v>
      </c>
      <c r="F336" s="60">
        <v>19412.3</v>
      </c>
      <c r="G336" s="153">
        <f>SUM(Ведомственная!G841)</f>
        <v>19412.3</v>
      </c>
      <c r="I336" s="154">
        <f t="shared" si="8"/>
        <v>0</v>
      </c>
      <c r="J336" s="154">
        <f t="shared" si="7"/>
        <v>-19412.3</v>
      </c>
    </row>
    <row r="337" spans="1:10" ht="31.5">
      <c r="A337" s="77" t="s">
        <v>55</v>
      </c>
      <c r="B337" s="57" t="s">
        <v>143</v>
      </c>
      <c r="C337" s="57" t="s">
        <v>100</v>
      </c>
      <c r="D337" s="57" t="s">
        <v>18</v>
      </c>
      <c r="E337" s="57" t="s">
        <v>37</v>
      </c>
      <c r="F337" s="58">
        <v>3355.6</v>
      </c>
      <c r="G337" s="153">
        <f>SUM(Ведомственная!G842)</f>
        <v>3355.6</v>
      </c>
      <c r="I337" s="154">
        <f t="shared" si="8"/>
        <v>0</v>
      </c>
      <c r="J337" s="154">
        <f t="shared" si="7"/>
        <v>-3355.6</v>
      </c>
    </row>
    <row r="338" spans="1:10" ht="15.75">
      <c r="A338" s="77" t="s">
        <v>25</v>
      </c>
      <c r="B338" s="57" t="s">
        <v>143</v>
      </c>
      <c r="C338" s="57" t="s">
        <v>105</v>
      </c>
      <c r="D338" s="57" t="s">
        <v>18</v>
      </c>
      <c r="E338" s="57" t="s">
        <v>37</v>
      </c>
      <c r="F338" s="60">
        <v>403.6</v>
      </c>
      <c r="G338" s="153">
        <f>SUM(Ведомственная!G843)</f>
        <v>403.6</v>
      </c>
      <c r="I338" s="154">
        <f t="shared" si="8"/>
        <v>0</v>
      </c>
      <c r="J338" s="154">
        <f t="shared" si="7"/>
        <v>-403.6</v>
      </c>
    </row>
    <row r="339" spans="1:10" ht="15.75">
      <c r="A339" s="77" t="s">
        <v>128</v>
      </c>
      <c r="B339" s="57" t="s">
        <v>129</v>
      </c>
      <c r="C339" s="57"/>
      <c r="D339" s="57"/>
      <c r="E339" s="57"/>
      <c r="F339" s="60">
        <f>F340</f>
        <v>61607.6</v>
      </c>
      <c r="I339" s="154">
        <f t="shared" si="8"/>
        <v>-61607.6</v>
      </c>
      <c r="J339" s="154">
        <f t="shared" si="7"/>
        <v>-61607.6</v>
      </c>
    </row>
    <row r="340" spans="1:10" ht="47.25">
      <c r="A340" s="77" t="s">
        <v>29</v>
      </c>
      <c r="B340" s="57" t="s">
        <v>130</v>
      </c>
      <c r="C340" s="57"/>
      <c r="D340" s="57"/>
      <c r="E340" s="57"/>
      <c r="F340" s="60">
        <f>F341</f>
        <v>61607.6</v>
      </c>
      <c r="I340" s="154">
        <f t="shared" si="8"/>
        <v>-61607.6</v>
      </c>
      <c r="J340" s="154">
        <f t="shared" si="7"/>
        <v>-61607.6</v>
      </c>
    </row>
    <row r="341" spans="1:10" ht="15.75">
      <c r="A341" s="77" t="s">
        <v>131</v>
      </c>
      <c r="B341" s="57" t="s">
        <v>132</v>
      </c>
      <c r="C341" s="57"/>
      <c r="D341" s="57"/>
      <c r="E341" s="57"/>
      <c r="F341" s="60">
        <f>F342</f>
        <v>61607.6</v>
      </c>
      <c r="I341" s="154">
        <f t="shared" si="8"/>
        <v>-61607.6</v>
      </c>
      <c r="J341" s="154">
        <f t="shared" si="7"/>
        <v>-61607.6</v>
      </c>
    </row>
    <row r="342" spans="1:10" ht="31.5">
      <c r="A342" s="77" t="s">
        <v>133</v>
      </c>
      <c r="B342" s="57" t="s">
        <v>132</v>
      </c>
      <c r="C342" s="57" t="s">
        <v>134</v>
      </c>
      <c r="D342" s="57" t="s">
        <v>124</v>
      </c>
      <c r="E342" s="57" t="s">
        <v>57</v>
      </c>
      <c r="F342" s="60">
        <v>61607.6</v>
      </c>
      <c r="G342" s="153">
        <f>SUM(Ведомственная!G831)</f>
        <v>61607.6</v>
      </c>
      <c r="I342" s="154">
        <f t="shared" si="8"/>
        <v>0</v>
      </c>
      <c r="J342" s="154">
        <f t="shared" si="7"/>
        <v>-61607.6</v>
      </c>
    </row>
    <row r="343" spans="1:10" ht="31.5">
      <c r="A343" s="77" t="s">
        <v>145</v>
      </c>
      <c r="B343" s="57" t="s">
        <v>146</v>
      </c>
      <c r="C343" s="57"/>
      <c r="D343" s="57"/>
      <c r="E343" s="57"/>
      <c r="F343" s="60">
        <f>F344</f>
        <v>42055.49999999999</v>
      </c>
      <c r="I343" s="154">
        <f t="shared" si="8"/>
        <v>-42055.49999999999</v>
      </c>
      <c r="J343" s="154">
        <f t="shared" si="7"/>
        <v>-42055.49999999999</v>
      </c>
    </row>
    <row r="344" spans="1:10" ht="31.5">
      <c r="A344" s="77" t="s">
        <v>48</v>
      </c>
      <c r="B344" s="57" t="s">
        <v>147</v>
      </c>
      <c r="C344" s="57"/>
      <c r="D344" s="57"/>
      <c r="E344" s="57"/>
      <c r="F344" s="60">
        <f>F345</f>
        <v>42055.49999999999</v>
      </c>
      <c r="I344" s="154">
        <f t="shared" si="8"/>
        <v>-42055.49999999999</v>
      </c>
      <c r="J344" s="154">
        <f t="shared" si="7"/>
        <v>-42055.49999999999</v>
      </c>
    </row>
    <row r="345" spans="1:10" ht="15.75">
      <c r="A345" s="77" t="s">
        <v>148</v>
      </c>
      <c r="B345" s="57" t="s">
        <v>149</v>
      </c>
      <c r="C345" s="57"/>
      <c r="D345" s="57"/>
      <c r="E345" s="57"/>
      <c r="F345" s="60">
        <f>F346+F347+F348</f>
        <v>42055.49999999999</v>
      </c>
      <c r="I345" s="154">
        <f t="shared" si="8"/>
        <v>-42055.49999999999</v>
      </c>
      <c r="J345" s="154">
        <f t="shared" si="7"/>
        <v>-42055.49999999999</v>
      </c>
    </row>
    <row r="346" spans="1:10" ht="63">
      <c r="A346" s="77" t="s">
        <v>144</v>
      </c>
      <c r="B346" s="57" t="s">
        <v>149</v>
      </c>
      <c r="C346" s="57" t="s">
        <v>98</v>
      </c>
      <c r="D346" s="57" t="s">
        <v>18</v>
      </c>
      <c r="E346" s="57" t="s">
        <v>37</v>
      </c>
      <c r="F346" s="60">
        <v>35972.2</v>
      </c>
      <c r="G346" s="153">
        <f>SUM(Ведомственная!G847)</f>
        <v>35972.2</v>
      </c>
      <c r="I346" s="154">
        <f t="shared" si="8"/>
        <v>0</v>
      </c>
      <c r="J346" s="154">
        <f t="shared" si="7"/>
        <v>-35972.2</v>
      </c>
    </row>
    <row r="347" spans="1:10" ht="31.5">
      <c r="A347" s="77" t="s">
        <v>55</v>
      </c>
      <c r="B347" s="57" t="s">
        <v>149</v>
      </c>
      <c r="C347" s="57" t="s">
        <v>100</v>
      </c>
      <c r="D347" s="57" t="s">
        <v>18</v>
      </c>
      <c r="E347" s="57" t="s">
        <v>37</v>
      </c>
      <c r="F347" s="58">
        <v>5555.1</v>
      </c>
      <c r="G347" s="153">
        <f>SUM(Ведомственная!G848)</f>
        <v>5555.1</v>
      </c>
      <c r="I347" s="154">
        <f t="shared" si="8"/>
        <v>0</v>
      </c>
      <c r="J347" s="154">
        <f t="shared" si="7"/>
        <v>-5555.1</v>
      </c>
    </row>
    <row r="348" spans="1:10" ht="15.75">
      <c r="A348" s="77" t="s">
        <v>25</v>
      </c>
      <c r="B348" s="57" t="s">
        <v>149</v>
      </c>
      <c r="C348" s="57" t="s">
        <v>105</v>
      </c>
      <c r="D348" s="57" t="s">
        <v>18</v>
      </c>
      <c r="E348" s="57" t="s">
        <v>37</v>
      </c>
      <c r="F348" s="60">
        <v>528.2</v>
      </c>
      <c r="G348" s="153">
        <f>SUM(Ведомственная!G849)</f>
        <v>528.2</v>
      </c>
      <c r="I348" s="154">
        <f t="shared" si="8"/>
        <v>0</v>
      </c>
      <c r="J348" s="154">
        <f t="shared" si="7"/>
        <v>-528.2</v>
      </c>
    </row>
    <row r="349" spans="1:10" ht="31.5">
      <c r="A349" s="77" t="s">
        <v>150</v>
      </c>
      <c r="B349" s="57" t="s">
        <v>151</v>
      </c>
      <c r="C349" s="57"/>
      <c r="D349" s="57"/>
      <c r="E349" s="57"/>
      <c r="F349" s="60">
        <f>F350</f>
        <v>7857.7</v>
      </c>
      <c r="I349" s="154">
        <f t="shared" si="8"/>
        <v>-7857.7</v>
      </c>
      <c r="J349" s="154">
        <f aca="true" t="shared" si="9" ref="J349:J454">SUM(H349-F349)</f>
        <v>-7857.7</v>
      </c>
    </row>
    <row r="350" spans="1:10" ht="47.25">
      <c r="A350" s="77" t="s">
        <v>29</v>
      </c>
      <c r="B350" s="57" t="s">
        <v>152</v>
      </c>
      <c r="C350" s="57"/>
      <c r="D350" s="57"/>
      <c r="E350" s="57"/>
      <c r="F350" s="60">
        <f>F351</f>
        <v>7857.7</v>
      </c>
      <c r="I350" s="154">
        <f t="shared" si="8"/>
        <v>-7857.7</v>
      </c>
      <c r="J350" s="154">
        <f t="shared" si="9"/>
        <v>-7857.7</v>
      </c>
    </row>
    <row r="351" spans="1:10" ht="15.75">
      <c r="A351" s="77" t="s">
        <v>153</v>
      </c>
      <c r="B351" s="57" t="s">
        <v>154</v>
      </c>
      <c r="C351" s="57"/>
      <c r="D351" s="57"/>
      <c r="E351" s="57"/>
      <c r="F351" s="60">
        <f>F352</f>
        <v>7857.7</v>
      </c>
      <c r="I351" s="154">
        <f t="shared" si="8"/>
        <v>-7857.7</v>
      </c>
      <c r="J351" s="154">
        <f t="shared" si="9"/>
        <v>-7857.7</v>
      </c>
    </row>
    <row r="352" spans="1:10" ht="31.5">
      <c r="A352" s="77" t="s">
        <v>133</v>
      </c>
      <c r="B352" s="57" t="s">
        <v>154</v>
      </c>
      <c r="C352" s="57" t="s">
        <v>134</v>
      </c>
      <c r="D352" s="57" t="s">
        <v>18</v>
      </c>
      <c r="E352" s="57" t="s">
        <v>37</v>
      </c>
      <c r="F352" s="60">
        <v>7857.7</v>
      </c>
      <c r="G352" s="153">
        <f>SUM(Ведомственная!G853)</f>
        <v>7857.7</v>
      </c>
      <c r="I352" s="154">
        <f t="shared" si="8"/>
        <v>0</v>
      </c>
      <c r="J352" s="154">
        <f t="shared" si="9"/>
        <v>-7857.7</v>
      </c>
    </row>
    <row r="353" spans="1:10" ht="31.5">
      <c r="A353" s="77" t="s">
        <v>163</v>
      </c>
      <c r="B353" s="57" t="s">
        <v>164</v>
      </c>
      <c r="C353" s="78"/>
      <c r="D353" s="57"/>
      <c r="E353" s="57"/>
      <c r="F353" s="60">
        <f>F354+F358</f>
        <v>1188.7</v>
      </c>
      <c r="I353" s="154">
        <f t="shared" si="8"/>
        <v>-1188.7</v>
      </c>
      <c r="J353" s="154">
        <f t="shared" si="9"/>
        <v>-1188.7</v>
      </c>
    </row>
    <row r="354" spans="1:10" ht="15.75">
      <c r="A354" s="77" t="s">
        <v>165</v>
      </c>
      <c r="B354" s="57" t="s">
        <v>166</v>
      </c>
      <c r="C354" s="78"/>
      <c r="D354" s="57"/>
      <c r="E354" s="57"/>
      <c r="F354" s="60">
        <f>F355</f>
        <v>791.1</v>
      </c>
      <c r="I354" s="154">
        <f t="shared" si="8"/>
        <v>-791.1</v>
      </c>
      <c r="J354" s="154">
        <f t="shared" si="9"/>
        <v>-791.1</v>
      </c>
    </row>
    <row r="355" spans="1:10" ht="15.75">
      <c r="A355" s="77" t="s">
        <v>153</v>
      </c>
      <c r="B355" s="57" t="s">
        <v>657</v>
      </c>
      <c r="C355" s="78"/>
      <c r="D355" s="57"/>
      <c r="E355" s="57"/>
      <c r="F355" s="60">
        <f>F356</f>
        <v>791.1</v>
      </c>
      <c r="I355" s="154">
        <f t="shared" si="8"/>
        <v>-791.1</v>
      </c>
      <c r="J355" s="154">
        <f t="shared" si="9"/>
        <v>-791.1</v>
      </c>
    </row>
    <row r="356" spans="1:10" ht="31.5">
      <c r="A356" s="77" t="s">
        <v>459</v>
      </c>
      <c r="B356" s="57" t="s">
        <v>658</v>
      </c>
      <c r="C356" s="78"/>
      <c r="D356" s="57"/>
      <c r="E356" s="57"/>
      <c r="F356" s="60">
        <f>F357</f>
        <v>791.1</v>
      </c>
      <c r="I356" s="154">
        <f t="shared" si="8"/>
        <v>-791.1</v>
      </c>
      <c r="J356" s="154">
        <f t="shared" si="9"/>
        <v>-791.1</v>
      </c>
    </row>
    <row r="357" spans="1:10" ht="31.5">
      <c r="A357" s="77" t="s">
        <v>75</v>
      </c>
      <c r="B357" s="57" t="s">
        <v>658</v>
      </c>
      <c r="C357" s="78" t="s">
        <v>134</v>
      </c>
      <c r="D357" s="57" t="s">
        <v>18</v>
      </c>
      <c r="E357" s="57" t="s">
        <v>16</v>
      </c>
      <c r="F357" s="60">
        <v>791.1</v>
      </c>
      <c r="G357" s="153">
        <f>Ведомственная!G860</f>
        <v>791.1</v>
      </c>
      <c r="I357" s="154">
        <f t="shared" si="8"/>
        <v>0</v>
      </c>
      <c r="J357" s="154">
        <f t="shared" si="9"/>
        <v>-791.1</v>
      </c>
    </row>
    <row r="358" spans="1:10" ht="15.75">
      <c r="A358" s="77" t="s">
        <v>38</v>
      </c>
      <c r="B358" s="57" t="s">
        <v>659</v>
      </c>
      <c r="C358" s="78"/>
      <c r="D358" s="57"/>
      <c r="E358" s="57"/>
      <c r="F358" s="60">
        <f>F359</f>
        <v>397.6</v>
      </c>
      <c r="I358" s="154">
        <f t="shared" si="8"/>
        <v>-397.6</v>
      </c>
      <c r="J358" s="154"/>
    </row>
    <row r="359" spans="1:10" ht="15.75">
      <c r="A359" s="77" t="s">
        <v>140</v>
      </c>
      <c r="B359" s="57" t="s">
        <v>660</v>
      </c>
      <c r="C359" s="78"/>
      <c r="D359" s="57"/>
      <c r="E359" s="57"/>
      <c r="F359" s="60">
        <f>F360</f>
        <v>397.6</v>
      </c>
      <c r="I359" s="154">
        <f t="shared" si="8"/>
        <v>-397.6</v>
      </c>
      <c r="J359" s="154"/>
    </row>
    <row r="360" spans="1:10" ht="31.5">
      <c r="A360" s="77" t="s">
        <v>55</v>
      </c>
      <c r="B360" s="57" t="s">
        <v>660</v>
      </c>
      <c r="C360" s="78" t="s">
        <v>100</v>
      </c>
      <c r="D360" s="57" t="s">
        <v>18</v>
      </c>
      <c r="E360" s="57" t="s">
        <v>16</v>
      </c>
      <c r="F360" s="60">
        <v>397.6</v>
      </c>
      <c r="G360" s="153">
        <f>Ведомственная!G863</f>
        <v>397.6</v>
      </c>
      <c r="I360" s="154">
        <f t="shared" si="8"/>
        <v>0</v>
      </c>
      <c r="J360" s="154"/>
    </row>
    <row r="361" spans="1:10" ht="15.75">
      <c r="A361" s="77" t="s">
        <v>168</v>
      </c>
      <c r="B361" s="57" t="s">
        <v>169</v>
      </c>
      <c r="C361" s="78"/>
      <c r="D361" s="57"/>
      <c r="E361" s="57"/>
      <c r="F361" s="60">
        <f>F362</f>
        <v>1496.8</v>
      </c>
      <c r="I361" s="154">
        <f t="shared" si="8"/>
        <v>-1496.8</v>
      </c>
      <c r="J361" s="154"/>
    </row>
    <row r="362" spans="1:10" ht="15.75">
      <c r="A362" s="77" t="s">
        <v>38</v>
      </c>
      <c r="B362" s="57" t="s">
        <v>661</v>
      </c>
      <c r="C362" s="78"/>
      <c r="D362" s="57"/>
      <c r="E362" s="57"/>
      <c r="F362" s="60">
        <f>F363</f>
        <v>1496.8</v>
      </c>
      <c r="I362" s="154">
        <f aca="true" t="shared" si="10" ref="I362:I438">G362-F362</f>
        <v>-1496.8</v>
      </c>
      <c r="J362" s="154"/>
    </row>
    <row r="363" spans="1:10" ht="15.75">
      <c r="A363" s="77" t="s">
        <v>167</v>
      </c>
      <c r="B363" s="57" t="s">
        <v>662</v>
      </c>
      <c r="C363" s="78"/>
      <c r="D363" s="57"/>
      <c r="E363" s="57"/>
      <c r="F363" s="60">
        <f>F364+F365</f>
        <v>1496.8</v>
      </c>
      <c r="I363" s="154">
        <f t="shared" si="10"/>
        <v>-1496.8</v>
      </c>
      <c r="J363" s="154"/>
    </row>
    <row r="364" spans="1:10" ht="63">
      <c r="A364" s="77" t="s">
        <v>144</v>
      </c>
      <c r="B364" s="57" t="s">
        <v>662</v>
      </c>
      <c r="C364" s="78" t="s">
        <v>98</v>
      </c>
      <c r="D364" s="57" t="s">
        <v>18</v>
      </c>
      <c r="E364" s="57" t="s">
        <v>16</v>
      </c>
      <c r="F364" s="60">
        <v>916.8</v>
      </c>
      <c r="G364" s="153">
        <f>Ведомственная!G867</f>
        <v>916.8</v>
      </c>
      <c r="I364" s="154">
        <f t="shared" si="10"/>
        <v>0</v>
      </c>
      <c r="J364" s="154"/>
    </row>
    <row r="365" spans="1:10" ht="31.5">
      <c r="A365" s="77" t="s">
        <v>55</v>
      </c>
      <c r="B365" s="57" t="s">
        <v>662</v>
      </c>
      <c r="C365" s="78" t="s">
        <v>100</v>
      </c>
      <c r="D365" s="57" t="s">
        <v>18</v>
      </c>
      <c r="E365" s="57" t="s">
        <v>16</v>
      </c>
      <c r="F365" s="60">
        <v>580</v>
      </c>
      <c r="G365" s="153">
        <f>Ведомственная!G868</f>
        <v>580</v>
      </c>
      <c r="I365" s="154">
        <f t="shared" si="10"/>
        <v>0</v>
      </c>
      <c r="J365" s="154"/>
    </row>
    <row r="366" spans="1:10" ht="31.5">
      <c r="A366" s="77" t="s">
        <v>170</v>
      </c>
      <c r="B366" s="57" t="s">
        <v>171</v>
      </c>
      <c r="C366" s="78"/>
      <c r="D366" s="57"/>
      <c r="E366" s="57"/>
      <c r="F366" s="60">
        <f>F367+F375</f>
        <v>2684.2</v>
      </c>
      <c r="I366" s="154">
        <f t="shared" si="10"/>
        <v>-2684.2</v>
      </c>
      <c r="J366" s="154"/>
    </row>
    <row r="367" spans="1:10" ht="15.75">
      <c r="A367" s="77" t="s">
        <v>38</v>
      </c>
      <c r="B367" s="57" t="s">
        <v>663</v>
      </c>
      <c r="C367" s="78"/>
      <c r="D367" s="57"/>
      <c r="E367" s="57"/>
      <c r="F367" s="60">
        <f>F368</f>
        <v>969.7</v>
      </c>
      <c r="I367" s="154">
        <f t="shared" si="10"/>
        <v>-969.7</v>
      </c>
      <c r="J367" s="154"/>
    </row>
    <row r="368" spans="1:10" ht="15.75">
      <c r="A368" s="77" t="s">
        <v>167</v>
      </c>
      <c r="B368" s="57" t="s">
        <v>664</v>
      </c>
      <c r="C368" s="78"/>
      <c r="D368" s="57"/>
      <c r="E368" s="57"/>
      <c r="F368" s="60">
        <f>F369+F371+F373</f>
        <v>969.7</v>
      </c>
      <c r="I368" s="154">
        <f t="shared" si="10"/>
        <v>-969.7</v>
      </c>
      <c r="J368" s="154"/>
    </row>
    <row r="369" spans="1:10" ht="15.75">
      <c r="A369" s="77" t="s">
        <v>140</v>
      </c>
      <c r="B369" s="57" t="s">
        <v>665</v>
      </c>
      <c r="C369" s="78"/>
      <c r="D369" s="57"/>
      <c r="E369" s="57"/>
      <c r="F369" s="60">
        <f>F370</f>
        <v>640.4</v>
      </c>
      <c r="I369" s="154">
        <f t="shared" si="10"/>
        <v>-640.4</v>
      </c>
      <c r="J369" s="154"/>
    </row>
    <row r="370" spans="1:10" ht="31.5">
      <c r="A370" s="77" t="s">
        <v>55</v>
      </c>
      <c r="B370" s="57" t="s">
        <v>665</v>
      </c>
      <c r="C370" s="78" t="s">
        <v>100</v>
      </c>
      <c r="D370" s="57" t="s">
        <v>18</v>
      </c>
      <c r="E370" s="57" t="s">
        <v>16</v>
      </c>
      <c r="F370" s="60">
        <v>640.4</v>
      </c>
      <c r="G370" s="153">
        <f>Ведомственная!G873</f>
        <v>640.4</v>
      </c>
      <c r="I370" s="154">
        <f t="shared" si="10"/>
        <v>0</v>
      </c>
      <c r="J370" s="154"/>
    </row>
    <row r="371" spans="1:10" ht="15.75">
      <c r="A371" s="77" t="s">
        <v>148</v>
      </c>
      <c r="B371" s="57" t="s">
        <v>666</v>
      </c>
      <c r="C371" s="78"/>
      <c r="D371" s="57"/>
      <c r="E371" s="57"/>
      <c r="F371" s="60">
        <f>F372</f>
        <v>251.3</v>
      </c>
      <c r="I371" s="154">
        <f t="shared" si="10"/>
        <v>-251.3</v>
      </c>
      <c r="J371" s="154"/>
    </row>
    <row r="372" spans="1:10" ht="31.5">
      <c r="A372" s="77" t="s">
        <v>55</v>
      </c>
      <c r="B372" s="57" t="s">
        <v>666</v>
      </c>
      <c r="C372" s="78" t="s">
        <v>100</v>
      </c>
      <c r="D372" s="57" t="s">
        <v>18</v>
      </c>
      <c r="E372" s="57" t="s">
        <v>16</v>
      </c>
      <c r="F372" s="60">
        <v>251.3</v>
      </c>
      <c r="G372" s="153">
        <f>Ведомственная!G875</f>
        <v>251.3</v>
      </c>
      <c r="I372" s="154">
        <f t="shared" si="10"/>
        <v>0</v>
      </c>
      <c r="J372" s="154"/>
    </row>
    <row r="373" spans="1:10" ht="15.75">
      <c r="A373" s="101" t="s">
        <v>161</v>
      </c>
      <c r="B373" s="57" t="s">
        <v>667</v>
      </c>
      <c r="C373" s="78"/>
      <c r="D373" s="57"/>
      <c r="E373" s="57"/>
      <c r="F373" s="60">
        <f>F374</f>
        <v>78</v>
      </c>
      <c r="I373" s="154">
        <f t="shared" si="10"/>
        <v>-78</v>
      </c>
      <c r="J373" s="154"/>
    </row>
    <row r="374" spans="1:10" ht="31.5">
      <c r="A374" s="77" t="s">
        <v>55</v>
      </c>
      <c r="B374" s="57" t="s">
        <v>667</v>
      </c>
      <c r="C374" s="78" t="s">
        <v>100</v>
      </c>
      <c r="D374" s="57" t="s">
        <v>18</v>
      </c>
      <c r="E374" s="57" t="s">
        <v>16</v>
      </c>
      <c r="F374" s="60">
        <v>78</v>
      </c>
      <c r="G374" s="153">
        <f>Ведомственная!G877</f>
        <v>78</v>
      </c>
      <c r="I374" s="154">
        <f t="shared" si="10"/>
        <v>0</v>
      </c>
      <c r="J374" s="154"/>
    </row>
    <row r="375" spans="1:10" ht="15.75">
      <c r="A375" s="77" t="s">
        <v>165</v>
      </c>
      <c r="B375" s="57" t="s">
        <v>172</v>
      </c>
      <c r="C375" s="78"/>
      <c r="D375" s="57"/>
      <c r="E375" s="57"/>
      <c r="F375" s="60">
        <f>F376+F379+F389+F384</f>
        <v>1714.5</v>
      </c>
      <c r="I375" s="154">
        <f t="shared" si="10"/>
        <v>-1714.5</v>
      </c>
      <c r="J375" s="154"/>
    </row>
    <row r="376" spans="1:10" ht="31.5">
      <c r="A376" s="77" t="s">
        <v>173</v>
      </c>
      <c r="B376" s="57" t="s">
        <v>174</v>
      </c>
      <c r="C376" s="78"/>
      <c r="D376" s="57"/>
      <c r="E376" s="57"/>
      <c r="F376" s="60">
        <f>F377</f>
        <v>1420.9</v>
      </c>
      <c r="I376" s="154">
        <f t="shared" si="10"/>
        <v>-1420.9</v>
      </c>
      <c r="J376" s="154"/>
    </row>
    <row r="377" spans="1:10" ht="15.75">
      <c r="A377" s="77" t="s">
        <v>140</v>
      </c>
      <c r="B377" s="57" t="s">
        <v>668</v>
      </c>
      <c r="C377" s="78"/>
      <c r="D377" s="57"/>
      <c r="E377" s="57"/>
      <c r="F377" s="60">
        <f>F378</f>
        <v>1420.9</v>
      </c>
      <c r="I377" s="154">
        <f t="shared" si="10"/>
        <v>-1420.9</v>
      </c>
      <c r="J377" s="154"/>
    </row>
    <row r="378" spans="1:10" ht="31.5">
      <c r="A378" s="77" t="s">
        <v>133</v>
      </c>
      <c r="B378" s="57" t="s">
        <v>668</v>
      </c>
      <c r="C378" s="78" t="s">
        <v>134</v>
      </c>
      <c r="D378" s="57" t="s">
        <v>18</v>
      </c>
      <c r="E378" s="57" t="s">
        <v>16</v>
      </c>
      <c r="F378" s="60">
        <v>1420.9</v>
      </c>
      <c r="G378" s="153">
        <f>Ведомственная!G881</f>
        <v>1420.9</v>
      </c>
      <c r="I378" s="154">
        <f t="shared" si="10"/>
        <v>0</v>
      </c>
      <c r="J378" s="154"/>
    </row>
    <row r="379" spans="1:10" ht="31.5">
      <c r="A379" s="77" t="s">
        <v>669</v>
      </c>
      <c r="B379" s="57" t="s">
        <v>670</v>
      </c>
      <c r="C379" s="78"/>
      <c r="D379" s="57"/>
      <c r="E379" s="57"/>
      <c r="F379" s="60">
        <f>F380+F382</f>
        <v>171.3</v>
      </c>
      <c r="I379" s="154">
        <f t="shared" si="10"/>
        <v>-171.3</v>
      </c>
      <c r="J379" s="154"/>
    </row>
    <row r="380" spans="1:10" ht="15.75">
      <c r="A380" s="79" t="s">
        <v>131</v>
      </c>
      <c r="B380" s="57" t="s">
        <v>671</v>
      </c>
      <c r="C380" s="78"/>
      <c r="D380" s="57"/>
      <c r="E380" s="57"/>
      <c r="F380" s="60">
        <f>F381</f>
        <v>146.3</v>
      </c>
      <c r="I380" s="154">
        <f t="shared" si="10"/>
        <v>-146.3</v>
      </c>
      <c r="J380" s="154"/>
    </row>
    <row r="381" spans="1:10" ht="31.5">
      <c r="A381" s="77" t="s">
        <v>133</v>
      </c>
      <c r="B381" s="57" t="s">
        <v>671</v>
      </c>
      <c r="C381" s="78" t="s">
        <v>134</v>
      </c>
      <c r="D381" s="57" t="s">
        <v>18</v>
      </c>
      <c r="E381" s="57" t="s">
        <v>16</v>
      </c>
      <c r="F381" s="60">
        <v>146.3</v>
      </c>
      <c r="G381" s="153">
        <f>Ведомственная!G884</f>
        <v>146.3</v>
      </c>
      <c r="I381" s="154">
        <f t="shared" si="10"/>
        <v>0</v>
      </c>
      <c r="J381" s="154"/>
    </row>
    <row r="382" spans="1:10" ht="15.75">
      <c r="A382" s="51" t="s">
        <v>140</v>
      </c>
      <c r="B382" s="80" t="s">
        <v>700</v>
      </c>
      <c r="C382" s="75"/>
      <c r="D382" s="57"/>
      <c r="E382" s="57"/>
      <c r="F382" s="64">
        <f>F383</f>
        <v>25</v>
      </c>
      <c r="I382" s="154"/>
      <c r="J382" s="154"/>
    </row>
    <row r="383" spans="1:10" ht="31.5">
      <c r="A383" s="51" t="s">
        <v>133</v>
      </c>
      <c r="B383" s="80" t="s">
        <v>700</v>
      </c>
      <c r="C383" s="75" t="s">
        <v>134</v>
      </c>
      <c r="D383" s="57" t="s">
        <v>18</v>
      </c>
      <c r="E383" s="57" t="s">
        <v>16</v>
      </c>
      <c r="F383" s="64">
        <v>25</v>
      </c>
      <c r="G383" s="153">
        <f>Ведомственная!G886</f>
        <v>25</v>
      </c>
      <c r="I383" s="154">
        <f t="shared" si="10"/>
        <v>0</v>
      </c>
      <c r="J383" s="154"/>
    </row>
    <row r="384" spans="1:10" ht="31.5">
      <c r="A384" s="51" t="s">
        <v>334</v>
      </c>
      <c r="B384" s="80" t="s">
        <v>701</v>
      </c>
      <c r="C384" s="75"/>
      <c r="D384" s="57"/>
      <c r="E384" s="57"/>
      <c r="F384" s="64">
        <f>F385+F387</f>
        <v>28.2</v>
      </c>
      <c r="I384" s="154">
        <f t="shared" si="10"/>
        <v>-28.2</v>
      </c>
      <c r="J384" s="154"/>
    </row>
    <row r="385" spans="1:10" ht="15.75">
      <c r="A385" s="81" t="s">
        <v>131</v>
      </c>
      <c r="B385" s="80" t="s">
        <v>702</v>
      </c>
      <c r="C385" s="75"/>
      <c r="D385" s="57"/>
      <c r="E385" s="57"/>
      <c r="F385" s="64">
        <f>F386</f>
        <v>14</v>
      </c>
      <c r="I385" s="154">
        <f t="shared" si="10"/>
        <v>-14</v>
      </c>
      <c r="J385" s="154"/>
    </row>
    <row r="386" spans="1:10" ht="31.5">
      <c r="A386" s="51" t="s">
        <v>133</v>
      </c>
      <c r="B386" s="80" t="s">
        <v>702</v>
      </c>
      <c r="C386" s="75" t="s">
        <v>134</v>
      </c>
      <c r="D386" s="57" t="s">
        <v>18</v>
      </c>
      <c r="E386" s="57" t="s">
        <v>16</v>
      </c>
      <c r="F386" s="64">
        <v>14</v>
      </c>
      <c r="G386" s="153">
        <f>Ведомственная!G889</f>
        <v>14</v>
      </c>
      <c r="I386" s="154">
        <f t="shared" si="10"/>
        <v>0</v>
      </c>
      <c r="J386" s="154"/>
    </row>
    <row r="387" spans="1:10" ht="15.75">
      <c r="A387" s="51" t="s">
        <v>140</v>
      </c>
      <c r="B387" s="80" t="s">
        <v>703</v>
      </c>
      <c r="C387" s="75"/>
      <c r="D387" s="57"/>
      <c r="E387" s="57"/>
      <c r="F387" s="64">
        <f>F388</f>
        <v>14.2</v>
      </c>
      <c r="I387" s="154">
        <f t="shared" si="10"/>
        <v>-14.2</v>
      </c>
      <c r="J387" s="154"/>
    </row>
    <row r="388" spans="1:10" ht="31.5">
      <c r="A388" s="51" t="s">
        <v>133</v>
      </c>
      <c r="B388" s="80" t="s">
        <v>703</v>
      </c>
      <c r="C388" s="75" t="s">
        <v>134</v>
      </c>
      <c r="D388" s="57" t="s">
        <v>18</v>
      </c>
      <c r="E388" s="57" t="s">
        <v>16</v>
      </c>
      <c r="F388" s="64">
        <v>14.2</v>
      </c>
      <c r="G388" s="153">
        <f>Ведомственная!G891</f>
        <v>14.2</v>
      </c>
      <c r="I388" s="154">
        <f t="shared" si="10"/>
        <v>0</v>
      </c>
      <c r="J388" s="154"/>
    </row>
    <row r="389" spans="1:10" ht="31.5">
      <c r="A389" s="77" t="s">
        <v>459</v>
      </c>
      <c r="B389" s="57" t="s">
        <v>672</v>
      </c>
      <c r="C389" s="78"/>
      <c r="D389" s="57"/>
      <c r="E389" s="57"/>
      <c r="F389" s="60">
        <f>F390+F392</f>
        <v>94.1</v>
      </c>
      <c r="I389" s="154">
        <f t="shared" si="10"/>
        <v>-94.1</v>
      </c>
      <c r="J389" s="154"/>
    </row>
    <row r="390" spans="1:10" ht="15.75">
      <c r="A390" s="79" t="s">
        <v>131</v>
      </c>
      <c r="B390" s="57" t="s">
        <v>673</v>
      </c>
      <c r="C390" s="78"/>
      <c r="D390" s="57"/>
      <c r="E390" s="57"/>
      <c r="F390" s="60">
        <f>F391</f>
        <v>75.6</v>
      </c>
      <c r="I390" s="154">
        <f t="shared" si="10"/>
        <v>-75.6</v>
      </c>
      <c r="J390" s="154"/>
    </row>
    <row r="391" spans="1:10" ht="31.5">
      <c r="A391" s="77" t="s">
        <v>133</v>
      </c>
      <c r="B391" s="57" t="s">
        <v>673</v>
      </c>
      <c r="C391" s="78" t="s">
        <v>134</v>
      </c>
      <c r="D391" s="57" t="s">
        <v>18</v>
      </c>
      <c r="E391" s="57" t="s">
        <v>16</v>
      </c>
      <c r="F391" s="60">
        <v>75.6</v>
      </c>
      <c r="G391" s="153">
        <f>Ведомственная!G894</f>
        <v>75.6</v>
      </c>
      <c r="I391" s="154">
        <f t="shared" si="10"/>
        <v>0</v>
      </c>
      <c r="J391" s="154"/>
    </row>
    <row r="392" spans="1:10" ht="15.75">
      <c r="A392" s="77" t="s">
        <v>153</v>
      </c>
      <c r="B392" s="57" t="s">
        <v>674</v>
      </c>
      <c r="C392" s="78"/>
      <c r="D392" s="57"/>
      <c r="E392" s="57"/>
      <c r="F392" s="60">
        <f>F393</f>
        <v>18.5</v>
      </c>
      <c r="I392" s="154">
        <f t="shared" si="10"/>
        <v>-18.5</v>
      </c>
      <c r="J392" s="154"/>
    </row>
    <row r="393" spans="1:10" ht="31.5">
      <c r="A393" s="77" t="s">
        <v>133</v>
      </c>
      <c r="B393" s="57" t="s">
        <v>674</v>
      </c>
      <c r="C393" s="78" t="s">
        <v>134</v>
      </c>
      <c r="D393" s="57" t="s">
        <v>18</v>
      </c>
      <c r="E393" s="57" t="s">
        <v>16</v>
      </c>
      <c r="F393" s="60">
        <v>18.5</v>
      </c>
      <c r="G393" s="153">
        <f>Ведомственная!G896</f>
        <v>18.5</v>
      </c>
      <c r="I393" s="154">
        <f t="shared" si="10"/>
        <v>0</v>
      </c>
      <c r="J393" s="154"/>
    </row>
    <row r="394" spans="1:10" ht="31.5">
      <c r="A394" s="101" t="s">
        <v>158</v>
      </c>
      <c r="B394" s="57" t="s">
        <v>159</v>
      </c>
      <c r="C394" s="57"/>
      <c r="D394" s="57"/>
      <c r="E394" s="57"/>
      <c r="F394" s="60">
        <f>F395</f>
        <v>7526.3</v>
      </c>
      <c r="I394" s="154">
        <f t="shared" si="10"/>
        <v>-7526.3</v>
      </c>
      <c r="J394" s="154">
        <f t="shared" si="9"/>
        <v>-7526.3</v>
      </c>
    </row>
    <row r="395" spans="1:10" ht="31.5">
      <c r="A395" s="77" t="s">
        <v>48</v>
      </c>
      <c r="B395" s="57" t="s">
        <v>160</v>
      </c>
      <c r="C395" s="57"/>
      <c r="D395" s="57"/>
      <c r="E395" s="57"/>
      <c r="F395" s="60">
        <f>F396</f>
        <v>7526.3</v>
      </c>
      <c r="I395" s="154">
        <f t="shared" si="10"/>
        <v>-7526.3</v>
      </c>
      <c r="J395" s="154">
        <f t="shared" si="9"/>
        <v>-7526.3</v>
      </c>
    </row>
    <row r="396" spans="1:10" ht="15.75">
      <c r="A396" s="101" t="s">
        <v>161</v>
      </c>
      <c r="B396" s="57" t="s">
        <v>162</v>
      </c>
      <c r="C396" s="57"/>
      <c r="D396" s="57"/>
      <c r="E396" s="57"/>
      <c r="F396" s="60">
        <f>F397+F398+F399</f>
        <v>7526.3</v>
      </c>
      <c r="I396" s="154">
        <f t="shared" si="10"/>
        <v>-7526.3</v>
      </c>
      <c r="J396" s="154">
        <f t="shared" si="9"/>
        <v>-7526.3</v>
      </c>
    </row>
    <row r="397" spans="1:10" ht="63">
      <c r="A397" s="77" t="s">
        <v>144</v>
      </c>
      <c r="B397" s="57" t="s">
        <v>162</v>
      </c>
      <c r="C397" s="57" t="s">
        <v>98</v>
      </c>
      <c r="D397" s="57" t="s">
        <v>18</v>
      </c>
      <c r="E397" s="57" t="s">
        <v>16</v>
      </c>
      <c r="F397" s="60">
        <v>6861.3</v>
      </c>
      <c r="G397" s="153">
        <f>Ведомственная!G900</f>
        <v>6861.3</v>
      </c>
      <c r="I397" s="154">
        <f t="shared" si="10"/>
        <v>0</v>
      </c>
      <c r="J397" s="154">
        <f t="shared" si="9"/>
        <v>-6861.3</v>
      </c>
    </row>
    <row r="398" spans="1:10" ht="31.5">
      <c r="A398" s="77" t="s">
        <v>55</v>
      </c>
      <c r="B398" s="57" t="s">
        <v>162</v>
      </c>
      <c r="C398" s="57" t="s">
        <v>100</v>
      </c>
      <c r="D398" s="57" t="s">
        <v>18</v>
      </c>
      <c r="E398" s="57" t="s">
        <v>16</v>
      </c>
      <c r="F398" s="60">
        <v>660.9</v>
      </c>
      <c r="G398" s="153">
        <f>Ведомственная!G901</f>
        <v>660.9</v>
      </c>
      <c r="I398" s="154">
        <f t="shared" si="10"/>
        <v>0</v>
      </c>
      <c r="J398" s="154">
        <f t="shared" si="9"/>
        <v>-660.9</v>
      </c>
    </row>
    <row r="399" spans="1:10" ht="15.75">
      <c r="A399" s="77" t="s">
        <v>25</v>
      </c>
      <c r="B399" s="57" t="s">
        <v>162</v>
      </c>
      <c r="C399" s="57" t="s">
        <v>105</v>
      </c>
      <c r="D399" s="57" t="s">
        <v>18</v>
      </c>
      <c r="E399" s="57" t="s">
        <v>16</v>
      </c>
      <c r="F399" s="60">
        <v>4.1</v>
      </c>
      <c r="G399" s="153">
        <f>Ведомственная!G902</f>
        <v>4.1</v>
      </c>
      <c r="I399" s="154">
        <f t="shared" si="10"/>
        <v>0</v>
      </c>
      <c r="J399" s="154">
        <f t="shared" si="9"/>
        <v>-4.1</v>
      </c>
    </row>
    <row r="400" spans="1:10" ht="31.5">
      <c r="A400" s="77" t="s">
        <v>443</v>
      </c>
      <c r="B400" s="82" t="s">
        <v>444</v>
      </c>
      <c r="C400" s="57"/>
      <c r="D400" s="57"/>
      <c r="E400" s="57"/>
      <c r="F400" s="60">
        <f>SUM(F401+F445+F453+F469+F482+F493+F501)</f>
        <v>582988</v>
      </c>
      <c r="H400" s="155">
        <f>SUM(G402:G509)</f>
        <v>582988</v>
      </c>
      <c r="I400" s="154">
        <f t="shared" si="10"/>
        <v>-582988</v>
      </c>
      <c r="J400" s="154">
        <f t="shared" si="9"/>
        <v>0</v>
      </c>
    </row>
    <row r="401" spans="1:10" ht="15.75">
      <c r="A401" s="77" t="s">
        <v>38</v>
      </c>
      <c r="B401" s="83" t="s">
        <v>445</v>
      </c>
      <c r="C401" s="57"/>
      <c r="D401" s="57"/>
      <c r="E401" s="57"/>
      <c r="F401" s="60">
        <f>SUM(F402+F409+F416+F427+F429+F433+F436+F438+F440+F443)+F404+F411+F421+F419+F423+F425</f>
        <v>24132.600000000002</v>
      </c>
      <c r="I401" s="154">
        <f t="shared" si="10"/>
        <v>-24132.600000000002</v>
      </c>
      <c r="J401" s="154">
        <f t="shared" si="9"/>
        <v>-24132.600000000002</v>
      </c>
    </row>
    <row r="402" spans="1:10" ht="15.75">
      <c r="A402" s="100" t="s">
        <v>495</v>
      </c>
      <c r="B402" s="57" t="s">
        <v>496</v>
      </c>
      <c r="C402" s="76"/>
      <c r="D402" s="76"/>
      <c r="E402" s="76"/>
      <c r="F402" s="58">
        <f>F403</f>
        <v>3043.8</v>
      </c>
      <c r="I402" s="154">
        <f t="shared" si="10"/>
        <v>-3043.8</v>
      </c>
      <c r="J402" s="154">
        <f t="shared" si="9"/>
        <v>-3043.8</v>
      </c>
    </row>
    <row r="403" spans="1:10" ht="31.5">
      <c r="A403" s="77" t="s">
        <v>55</v>
      </c>
      <c r="B403" s="83" t="s">
        <v>496</v>
      </c>
      <c r="C403" s="76" t="s">
        <v>100</v>
      </c>
      <c r="D403" s="76" t="s">
        <v>124</v>
      </c>
      <c r="E403" s="76" t="s">
        <v>124</v>
      </c>
      <c r="F403" s="58">
        <v>3043.8</v>
      </c>
      <c r="G403" s="153">
        <f>SUM(Ведомственная!G767)</f>
        <v>3043.8</v>
      </c>
      <c r="I403" s="154">
        <f t="shared" si="10"/>
        <v>0</v>
      </c>
      <c r="J403" s="154">
        <f t="shared" si="9"/>
        <v>-3043.8</v>
      </c>
    </row>
    <row r="404" spans="1:10" ht="15.75">
      <c r="A404" s="77" t="s">
        <v>452</v>
      </c>
      <c r="B404" s="59" t="s">
        <v>621</v>
      </c>
      <c r="C404" s="57"/>
      <c r="D404" s="57"/>
      <c r="E404" s="57"/>
      <c r="F404" s="60">
        <f>SUM(F405:F408)</f>
        <v>843</v>
      </c>
      <c r="I404" s="154">
        <f t="shared" si="10"/>
        <v>-843</v>
      </c>
      <c r="J404" s="154"/>
    </row>
    <row r="405" spans="1:10" ht="63" hidden="1">
      <c r="A405" s="77" t="s">
        <v>144</v>
      </c>
      <c r="B405" s="59" t="s">
        <v>621</v>
      </c>
      <c r="C405" s="57" t="s">
        <v>98</v>
      </c>
      <c r="D405" s="57" t="s">
        <v>124</v>
      </c>
      <c r="E405" s="57" t="s">
        <v>37</v>
      </c>
      <c r="F405" s="60"/>
      <c r="G405" s="153">
        <f>SUM(Ведомственная!G654)</f>
        <v>0</v>
      </c>
      <c r="I405" s="154"/>
      <c r="J405" s="154"/>
    </row>
    <row r="406" spans="1:10" ht="31.5">
      <c r="A406" s="77" t="s">
        <v>55</v>
      </c>
      <c r="B406" s="59" t="s">
        <v>621</v>
      </c>
      <c r="C406" s="57" t="s">
        <v>100</v>
      </c>
      <c r="D406" s="57" t="s">
        <v>124</v>
      </c>
      <c r="E406" s="57" t="s">
        <v>37</v>
      </c>
      <c r="F406" s="60">
        <v>114</v>
      </c>
      <c r="G406" s="153">
        <f>SUM(Ведомственная!G655)</f>
        <v>114</v>
      </c>
      <c r="I406" s="154">
        <f t="shared" si="10"/>
        <v>0</v>
      </c>
      <c r="J406" s="154">
        <f t="shared" si="9"/>
        <v>-114</v>
      </c>
    </row>
    <row r="407" spans="1:10" ht="15.75">
      <c r="A407" s="51" t="s">
        <v>45</v>
      </c>
      <c r="B407" s="59" t="s">
        <v>621</v>
      </c>
      <c r="C407" s="57" t="s">
        <v>108</v>
      </c>
      <c r="D407" s="57" t="s">
        <v>124</v>
      </c>
      <c r="E407" s="57" t="s">
        <v>37</v>
      </c>
      <c r="F407" s="60">
        <v>6</v>
      </c>
      <c r="G407" s="153">
        <f>SUM(Ведомственная!G656)</f>
        <v>6</v>
      </c>
      <c r="I407" s="154">
        <f t="shared" si="10"/>
        <v>0</v>
      </c>
      <c r="J407" s="154"/>
    </row>
    <row r="408" spans="1:10" ht="44.25" customHeight="1">
      <c r="A408" s="77" t="s">
        <v>75</v>
      </c>
      <c r="B408" s="59" t="s">
        <v>621</v>
      </c>
      <c r="C408" s="57" t="s">
        <v>134</v>
      </c>
      <c r="D408" s="57" t="s">
        <v>124</v>
      </c>
      <c r="E408" s="57" t="s">
        <v>37</v>
      </c>
      <c r="F408" s="60">
        <f>183+540</f>
        <v>723</v>
      </c>
      <c r="G408" s="153">
        <f>SUM(Ведомственная!G657)</f>
        <v>723</v>
      </c>
      <c r="I408" s="154">
        <f t="shared" si="10"/>
        <v>0</v>
      </c>
      <c r="J408" s="154">
        <f t="shared" si="9"/>
        <v>-723</v>
      </c>
    </row>
    <row r="409" spans="1:10" ht="31.5" hidden="1">
      <c r="A409" s="77" t="s">
        <v>446</v>
      </c>
      <c r="B409" s="82" t="s">
        <v>447</v>
      </c>
      <c r="C409" s="57"/>
      <c r="D409" s="57"/>
      <c r="E409" s="57"/>
      <c r="F409" s="60">
        <f>F410</f>
        <v>0</v>
      </c>
      <c r="I409" s="154">
        <f t="shared" si="10"/>
        <v>0</v>
      </c>
      <c r="J409" s="154">
        <f t="shared" si="9"/>
        <v>0</v>
      </c>
    </row>
    <row r="410" spans="1:10" ht="15.75" hidden="1">
      <c r="A410" s="77" t="s">
        <v>45</v>
      </c>
      <c r="B410" s="82" t="s">
        <v>447</v>
      </c>
      <c r="C410" s="57" t="s">
        <v>108</v>
      </c>
      <c r="D410" s="57"/>
      <c r="E410" s="57"/>
      <c r="F410" s="60">
        <v>0</v>
      </c>
      <c r="G410" s="153">
        <f>SUM(Ведомственная!G659)</f>
        <v>0</v>
      </c>
      <c r="I410" s="154">
        <f t="shared" si="10"/>
        <v>0</v>
      </c>
      <c r="J410" s="154">
        <f t="shared" si="9"/>
        <v>0</v>
      </c>
    </row>
    <row r="411" spans="1:10" ht="15.75">
      <c r="A411" s="77" t="s">
        <v>476</v>
      </c>
      <c r="B411" s="59" t="s">
        <v>628</v>
      </c>
      <c r="C411" s="83"/>
      <c r="D411" s="57"/>
      <c r="E411" s="57"/>
      <c r="F411" s="60">
        <f>SUM(F412:F415)</f>
        <v>1148.4</v>
      </c>
      <c r="I411" s="154">
        <f t="shared" si="10"/>
        <v>-1148.4</v>
      </c>
      <c r="J411" s="154">
        <f t="shared" si="9"/>
        <v>-1148.4</v>
      </c>
    </row>
    <row r="412" spans="1:10" ht="63">
      <c r="A412" s="77" t="s">
        <v>144</v>
      </c>
      <c r="B412" s="59" t="s">
        <v>628</v>
      </c>
      <c r="C412" s="83">
        <v>100</v>
      </c>
      <c r="D412" s="57" t="s">
        <v>124</v>
      </c>
      <c r="E412" s="57" t="s">
        <v>47</v>
      </c>
      <c r="F412" s="60">
        <v>0</v>
      </c>
      <c r="G412" s="153">
        <f>SUM(Ведомственная!G701)</f>
        <v>0</v>
      </c>
      <c r="I412" s="154"/>
      <c r="J412" s="154"/>
    </row>
    <row r="413" spans="1:10" ht="31.5">
      <c r="A413" s="77" t="s">
        <v>55</v>
      </c>
      <c r="B413" s="59" t="s">
        <v>628</v>
      </c>
      <c r="C413" s="83">
        <v>200</v>
      </c>
      <c r="D413" s="57" t="s">
        <v>124</v>
      </c>
      <c r="E413" s="57" t="s">
        <v>47</v>
      </c>
      <c r="F413" s="60">
        <v>714.7</v>
      </c>
      <c r="G413" s="153">
        <f>SUM(Ведомственная!G702)</f>
        <v>714.7</v>
      </c>
      <c r="I413" s="154">
        <f t="shared" si="10"/>
        <v>0</v>
      </c>
      <c r="J413" s="154">
        <f t="shared" si="9"/>
        <v>-714.7</v>
      </c>
    </row>
    <row r="414" spans="1:10" ht="15.75">
      <c r="A414" s="51" t="s">
        <v>45</v>
      </c>
      <c r="B414" s="59" t="s">
        <v>628</v>
      </c>
      <c r="C414" s="83">
        <v>300</v>
      </c>
      <c r="D414" s="57" t="s">
        <v>124</v>
      </c>
      <c r="E414" s="57" t="s">
        <v>47</v>
      </c>
      <c r="F414" s="60">
        <v>50.8</v>
      </c>
      <c r="G414" s="153">
        <f>SUM(Ведомственная!G703)</f>
        <v>50.8</v>
      </c>
      <c r="I414" s="154"/>
      <c r="J414" s="154"/>
    </row>
    <row r="415" spans="1:10" ht="31.5">
      <c r="A415" s="77" t="s">
        <v>75</v>
      </c>
      <c r="B415" s="59" t="s">
        <v>628</v>
      </c>
      <c r="C415" s="83">
        <v>600</v>
      </c>
      <c r="D415" s="57" t="s">
        <v>124</v>
      </c>
      <c r="E415" s="57" t="s">
        <v>47</v>
      </c>
      <c r="F415" s="60">
        <v>382.9</v>
      </c>
      <c r="G415" s="153">
        <f>SUM(Ведомственная!G704)</f>
        <v>382.9</v>
      </c>
      <c r="I415" s="154">
        <f t="shared" si="10"/>
        <v>0</v>
      </c>
      <c r="J415" s="154">
        <f t="shared" si="9"/>
        <v>-382.9</v>
      </c>
    </row>
    <row r="416" spans="1:10" ht="47.25" hidden="1">
      <c r="A416" s="77" t="s">
        <v>466</v>
      </c>
      <c r="B416" s="83" t="s">
        <v>467</v>
      </c>
      <c r="C416" s="83"/>
      <c r="D416" s="57"/>
      <c r="E416" s="57"/>
      <c r="F416" s="60">
        <f>F417+F418</f>
        <v>0</v>
      </c>
      <c r="I416" s="154">
        <f t="shared" si="10"/>
        <v>0</v>
      </c>
      <c r="J416" s="154">
        <f t="shared" si="9"/>
        <v>0</v>
      </c>
    </row>
    <row r="417" spans="1:10" ht="31.5" hidden="1">
      <c r="A417" s="77" t="s">
        <v>55</v>
      </c>
      <c r="B417" s="83" t="s">
        <v>467</v>
      </c>
      <c r="C417" s="83">
        <v>200</v>
      </c>
      <c r="D417" s="57" t="s">
        <v>124</v>
      </c>
      <c r="E417" s="57" t="s">
        <v>47</v>
      </c>
      <c r="F417" s="60">
        <v>0</v>
      </c>
      <c r="G417" s="153">
        <f>SUM(Ведомственная!G706)</f>
        <v>0</v>
      </c>
      <c r="I417" s="154">
        <f t="shared" si="10"/>
        <v>0</v>
      </c>
      <c r="J417" s="154">
        <f t="shared" si="9"/>
        <v>0</v>
      </c>
    </row>
    <row r="418" spans="1:10" ht="31.5" hidden="1">
      <c r="A418" s="77" t="s">
        <v>75</v>
      </c>
      <c r="B418" s="83" t="s">
        <v>467</v>
      </c>
      <c r="C418" s="83">
        <v>600</v>
      </c>
      <c r="D418" s="57" t="s">
        <v>124</v>
      </c>
      <c r="E418" s="57" t="s">
        <v>47</v>
      </c>
      <c r="F418" s="60">
        <v>0</v>
      </c>
      <c r="G418" s="153">
        <f>SUM(Ведомственная!G707)</f>
        <v>0</v>
      </c>
      <c r="I418" s="154">
        <f t="shared" si="10"/>
        <v>0</v>
      </c>
      <c r="J418" s="154">
        <f t="shared" si="9"/>
        <v>0</v>
      </c>
    </row>
    <row r="419" spans="1:10" ht="15.75">
      <c r="A419" s="77" t="s">
        <v>485</v>
      </c>
      <c r="B419" s="84" t="s">
        <v>630</v>
      </c>
      <c r="C419" s="57"/>
      <c r="D419" s="57"/>
      <c r="E419" s="57"/>
      <c r="F419" s="60">
        <f>F420</f>
        <v>10</v>
      </c>
      <c r="I419" s="154">
        <f t="shared" si="10"/>
        <v>-10</v>
      </c>
      <c r="J419" s="154">
        <f t="shared" si="9"/>
        <v>-10</v>
      </c>
    </row>
    <row r="420" spans="1:10" ht="31.5">
      <c r="A420" s="77" t="s">
        <v>75</v>
      </c>
      <c r="B420" s="84" t="s">
        <v>630</v>
      </c>
      <c r="C420" s="57" t="s">
        <v>134</v>
      </c>
      <c r="D420" s="57" t="s">
        <v>124</v>
      </c>
      <c r="E420" s="57" t="s">
        <v>57</v>
      </c>
      <c r="F420" s="60">
        <v>10</v>
      </c>
      <c r="G420" s="153">
        <f>SUM(Ведомственная!G750)</f>
        <v>10</v>
      </c>
      <c r="I420" s="154">
        <f t="shared" si="10"/>
        <v>0</v>
      </c>
      <c r="J420" s="154">
        <f t="shared" si="9"/>
        <v>-10</v>
      </c>
    </row>
    <row r="421" spans="1:10" ht="15.75">
      <c r="A421" s="77" t="s">
        <v>483</v>
      </c>
      <c r="B421" s="59" t="s">
        <v>629</v>
      </c>
      <c r="C421" s="83"/>
      <c r="D421" s="57"/>
      <c r="E421" s="57"/>
      <c r="F421" s="60">
        <f>F422</f>
        <v>18</v>
      </c>
      <c r="I421" s="154">
        <f t="shared" si="10"/>
        <v>-18</v>
      </c>
      <c r="J421" s="154">
        <f t="shared" si="9"/>
        <v>-18</v>
      </c>
    </row>
    <row r="422" spans="1:10" ht="31.5">
      <c r="A422" s="77" t="s">
        <v>55</v>
      </c>
      <c r="B422" s="59" t="s">
        <v>629</v>
      </c>
      <c r="C422" s="83">
        <v>200</v>
      </c>
      <c r="D422" s="57" t="s">
        <v>124</v>
      </c>
      <c r="E422" s="57" t="s">
        <v>47</v>
      </c>
      <c r="F422" s="60">
        <v>18</v>
      </c>
      <c r="G422" s="153">
        <f>SUM(Ведомственная!G709)</f>
        <v>18</v>
      </c>
      <c r="I422" s="154">
        <f t="shared" si="10"/>
        <v>0</v>
      </c>
      <c r="J422" s="154">
        <f t="shared" si="9"/>
        <v>-18</v>
      </c>
    </row>
    <row r="423" spans="1:10" ht="15.75">
      <c r="A423" s="51" t="s">
        <v>635</v>
      </c>
      <c r="B423" s="85" t="s">
        <v>642</v>
      </c>
      <c r="C423" s="80"/>
      <c r="D423" s="80"/>
      <c r="E423" s="80"/>
      <c r="F423" s="64">
        <f>F424</f>
        <v>195</v>
      </c>
      <c r="I423" s="154">
        <f t="shared" si="10"/>
        <v>-195</v>
      </c>
      <c r="J423" s="154">
        <f t="shared" si="9"/>
        <v>-195</v>
      </c>
    </row>
    <row r="424" spans="1:10" ht="31.5">
      <c r="A424" s="51" t="s">
        <v>55</v>
      </c>
      <c r="B424" s="85" t="s">
        <v>642</v>
      </c>
      <c r="C424" s="80" t="s">
        <v>100</v>
      </c>
      <c r="D424" s="80" t="s">
        <v>124</v>
      </c>
      <c r="E424" s="80" t="s">
        <v>191</v>
      </c>
      <c r="F424" s="64">
        <v>195</v>
      </c>
      <c r="G424" s="153">
        <f>SUM(Ведомственная!G792)</f>
        <v>195</v>
      </c>
      <c r="I424" s="154">
        <f t="shared" si="10"/>
        <v>0</v>
      </c>
      <c r="J424" s="154">
        <f t="shared" si="9"/>
        <v>-195</v>
      </c>
    </row>
    <row r="425" spans="1:10" ht="47.25">
      <c r="A425" s="51" t="s">
        <v>655</v>
      </c>
      <c r="B425" s="85" t="s">
        <v>656</v>
      </c>
      <c r="C425" s="86"/>
      <c r="D425" s="80"/>
      <c r="E425" s="80"/>
      <c r="F425" s="64">
        <f>F426</f>
        <v>250</v>
      </c>
      <c r="I425" s="154">
        <f t="shared" si="10"/>
        <v>-250</v>
      </c>
      <c r="J425" s="154">
        <f t="shared" si="9"/>
        <v>-250</v>
      </c>
    </row>
    <row r="426" spans="1:10" ht="31.5">
      <c r="A426" s="51" t="s">
        <v>75</v>
      </c>
      <c r="B426" s="85" t="s">
        <v>656</v>
      </c>
      <c r="C426" s="86">
        <v>600</v>
      </c>
      <c r="D426" s="57" t="s">
        <v>124</v>
      </c>
      <c r="E426" s="57" t="s">
        <v>47</v>
      </c>
      <c r="F426" s="64">
        <v>250</v>
      </c>
      <c r="G426" s="153">
        <f>Ведомственная!G711</f>
        <v>250</v>
      </c>
      <c r="I426" s="154">
        <f t="shared" si="10"/>
        <v>0</v>
      </c>
      <c r="J426" s="154">
        <f t="shared" si="9"/>
        <v>-250</v>
      </c>
    </row>
    <row r="427" spans="1:10" ht="110.25">
      <c r="A427" s="77" t="s">
        <v>448</v>
      </c>
      <c r="B427" s="83" t="s">
        <v>449</v>
      </c>
      <c r="C427" s="57"/>
      <c r="D427" s="57"/>
      <c r="E427" s="57"/>
      <c r="F427" s="60">
        <f>F428</f>
        <v>650</v>
      </c>
      <c r="I427" s="154">
        <f t="shared" si="10"/>
        <v>-650</v>
      </c>
      <c r="J427" s="154">
        <f t="shared" si="9"/>
        <v>-650</v>
      </c>
    </row>
    <row r="428" spans="1:10" ht="31.5">
      <c r="A428" s="77" t="s">
        <v>282</v>
      </c>
      <c r="B428" s="83" t="s">
        <v>449</v>
      </c>
      <c r="C428" s="57" t="s">
        <v>134</v>
      </c>
      <c r="D428" s="57" t="s">
        <v>124</v>
      </c>
      <c r="E428" s="57" t="s">
        <v>37</v>
      </c>
      <c r="F428" s="60">
        <v>650</v>
      </c>
      <c r="G428" s="153">
        <f>SUM(Ведомственная!G661)</f>
        <v>650</v>
      </c>
      <c r="I428" s="154">
        <f t="shared" si="10"/>
        <v>0</v>
      </c>
      <c r="J428" s="154">
        <f t="shared" si="9"/>
        <v>-650</v>
      </c>
    </row>
    <row r="429" spans="1:10" ht="47.25">
      <c r="A429" s="77" t="s">
        <v>497</v>
      </c>
      <c r="B429" s="82" t="s">
        <v>499</v>
      </c>
      <c r="C429" s="76"/>
      <c r="D429" s="76"/>
      <c r="E429" s="76"/>
      <c r="F429" s="58">
        <f>SUM(F430:F432)</f>
        <v>2956.2000000000003</v>
      </c>
      <c r="I429" s="154">
        <f t="shared" si="10"/>
        <v>-2956.2000000000003</v>
      </c>
      <c r="J429" s="154">
        <f t="shared" si="9"/>
        <v>-2956.2000000000003</v>
      </c>
    </row>
    <row r="430" spans="1:10" ht="31.5">
      <c r="A430" s="77" t="s">
        <v>55</v>
      </c>
      <c r="B430" s="82" t="s">
        <v>499</v>
      </c>
      <c r="C430" s="76" t="s">
        <v>100</v>
      </c>
      <c r="D430" s="76" t="s">
        <v>124</v>
      </c>
      <c r="E430" s="76" t="s">
        <v>124</v>
      </c>
      <c r="F430" s="58">
        <v>236.8</v>
      </c>
      <c r="G430" s="153">
        <f>SUM(Ведомственная!G769)</f>
        <v>236.8</v>
      </c>
      <c r="I430" s="154">
        <f t="shared" si="10"/>
        <v>0</v>
      </c>
      <c r="J430" s="154">
        <f t="shared" si="9"/>
        <v>-236.8</v>
      </c>
    </row>
    <row r="431" spans="1:10" ht="31.5">
      <c r="A431" s="77" t="s">
        <v>282</v>
      </c>
      <c r="B431" s="82" t="s">
        <v>499</v>
      </c>
      <c r="C431" s="76" t="s">
        <v>134</v>
      </c>
      <c r="D431" s="76" t="s">
        <v>124</v>
      </c>
      <c r="E431" s="76" t="s">
        <v>124</v>
      </c>
      <c r="F431" s="58">
        <v>481.6</v>
      </c>
      <c r="G431" s="153">
        <f>SUM(Ведомственная!G770)</f>
        <v>481.6</v>
      </c>
      <c r="I431" s="154"/>
      <c r="J431" s="154"/>
    </row>
    <row r="432" spans="1:10" ht="15.75">
      <c r="A432" s="77" t="s">
        <v>25</v>
      </c>
      <c r="B432" s="82" t="s">
        <v>499</v>
      </c>
      <c r="C432" s="76" t="s">
        <v>105</v>
      </c>
      <c r="D432" s="76" t="s">
        <v>124</v>
      </c>
      <c r="E432" s="76" t="s">
        <v>124</v>
      </c>
      <c r="F432" s="58">
        <v>2237.8</v>
      </c>
      <c r="G432" s="153">
        <f>SUM(Ведомственная!G771)</f>
        <v>2237.8</v>
      </c>
      <c r="I432" s="154"/>
      <c r="J432" s="154"/>
    </row>
    <row r="433" spans="1:10" ht="78.75">
      <c r="A433" s="77" t="s">
        <v>468</v>
      </c>
      <c r="B433" s="83" t="s">
        <v>469</v>
      </c>
      <c r="C433" s="83"/>
      <c r="D433" s="57"/>
      <c r="E433" s="57"/>
      <c r="F433" s="60">
        <f>F434+F435</f>
        <v>11788.2</v>
      </c>
      <c r="I433" s="154">
        <f t="shared" si="10"/>
        <v>-11788.2</v>
      </c>
      <c r="J433" s="154">
        <f t="shared" si="9"/>
        <v>-11788.2</v>
      </c>
    </row>
    <row r="434" spans="1:10" ht="31.5">
      <c r="A434" s="77" t="s">
        <v>55</v>
      </c>
      <c r="B434" s="83" t="s">
        <v>469</v>
      </c>
      <c r="C434" s="83">
        <v>200</v>
      </c>
      <c r="D434" s="57" t="s">
        <v>124</v>
      </c>
      <c r="E434" s="57" t="s">
        <v>47</v>
      </c>
      <c r="F434" s="60">
        <v>6216</v>
      </c>
      <c r="G434" s="153">
        <f>SUM(Ведомственная!G713)</f>
        <v>6216</v>
      </c>
      <c r="I434" s="154">
        <f t="shared" si="10"/>
        <v>0</v>
      </c>
      <c r="J434" s="154">
        <f t="shared" si="9"/>
        <v>-6216</v>
      </c>
    </row>
    <row r="435" spans="1:10" ht="31.5">
      <c r="A435" s="77" t="s">
        <v>75</v>
      </c>
      <c r="B435" s="83" t="s">
        <v>469</v>
      </c>
      <c r="C435" s="83">
        <v>600</v>
      </c>
      <c r="D435" s="57" t="s">
        <v>124</v>
      </c>
      <c r="E435" s="57" t="s">
        <v>47</v>
      </c>
      <c r="F435" s="60">
        <f>1770.5+3801.7</f>
        <v>5572.2</v>
      </c>
      <c r="G435" s="153">
        <f>SUM(Ведомственная!G714)</f>
        <v>5572.2</v>
      </c>
      <c r="I435" s="154">
        <f t="shared" si="10"/>
        <v>0</v>
      </c>
      <c r="J435" s="154">
        <f t="shared" si="9"/>
        <v>-5572.2</v>
      </c>
    </row>
    <row r="436" spans="1:10" ht="63">
      <c r="A436" s="77" t="s">
        <v>472</v>
      </c>
      <c r="B436" s="83" t="s">
        <v>473</v>
      </c>
      <c r="C436" s="83"/>
      <c r="D436" s="57"/>
      <c r="E436" s="57"/>
      <c r="F436" s="60">
        <f>F437</f>
        <v>180</v>
      </c>
      <c r="I436" s="154">
        <f t="shared" si="10"/>
        <v>-180</v>
      </c>
      <c r="J436" s="154">
        <f t="shared" si="9"/>
        <v>-180</v>
      </c>
    </row>
    <row r="437" spans="1:10" ht="31.5">
      <c r="A437" s="77" t="s">
        <v>55</v>
      </c>
      <c r="B437" s="83" t="s">
        <v>473</v>
      </c>
      <c r="C437" s="83">
        <v>200</v>
      </c>
      <c r="D437" s="57" t="s">
        <v>124</v>
      </c>
      <c r="E437" s="57" t="s">
        <v>47</v>
      </c>
      <c r="F437" s="60">
        <v>180</v>
      </c>
      <c r="G437" s="153">
        <f>SUM(Ведомственная!G794)</f>
        <v>180</v>
      </c>
      <c r="I437" s="154">
        <f t="shared" si="10"/>
        <v>0</v>
      </c>
      <c r="J437" s="154">
        <f t="shared" si="9"/>
        <v>-180</v>
      </c>
    </row>
    <row r="438" spans="1:10" ht="126">
      <c r="A438" s="77" t="s">
        <v>514</v>
      </c>
      <c r="B438" s="82" t="s">
        <v>515</v>
      </c>
      <c r="C438" s="57"/>
      <c r="D438" s="57"/>
      <c r="E438" s="57"/>
      <c r="F438" s="60">
        <f>F439</f>
        <v>3000</v>
      </c>
      <c r="I438" s="154">
        <f t="shared" si="10"/>
        <v>-3000</v>
      </c>
      <c r="J438" s="154">
        <f t="shared" si="9"/>
        <v>-3000</v>
      </c>
    </row>
    <row r="439" spans="1:10" ht="15.75">
      <c r="A439" s="77" t="s">
        <v>45</v>
      </c>
      <c r="B439" s="82" t="s">
        <v>515</v>
      </c>
      <c r="C439" s="57" t="s">
        <v>108</v>
      </c>
      <c r="D439" s="57" t="s">
        <v>34</v>
      </c>
      <c r="E439" s="57" t="s">
        <v>16</v>
      </c>
      <c r="F439" s="60">
        <v>3000</v>
      </c>
      <c r="G439" s="153">
        <f>SUM(Ведомственная!G823)</f>
        <v>3000</v>
      </c>
      <c r="I439" s="154">
        <f aca="true" t="shared" si="11" ref="I439:I502">G439-F439</f>
        <v>0</v>
      </c>
      <c r="J439" s="154">
        <f t="shared" si="9"/>
        <v>-3000</v>
      </c>
    </row>
    <row r="440" spans="1:10" ht="78.75">
      <c r="A440" s="77" t="s">
        <v>474</v>
      </c>
      <c r="B440" s="83" t="s">
        <v>475</v>
      </c>
      <c r="C440" s="83"/>
      <c r="D440" s="57"/>
      <c r="E440" s="57"/>
      <c r="F440" s="60">
        <f>F441+F442</f>
        <v>10</v>
      </c>
      <c r="I440" s="154">
        <f t="shared" si="11"/>
        <v>-10</v>
      </c>
      <c r="J440" s="154">
        <f t="shared" si="9"/>
        <v>-10</v>
      </c>
    </row>
    <row r="441" spans="1:10" ht="31.5">
      <c r="A441" s="77" t="s">
        <v>55</v>
      </c>
      <c r="B441" s="83" t="s">
        <v>475</v>
      </c>
      <c r="C441" s="83">
        <v>200</v>
      </c>
      <c r="D441" s="57" t="s">
        <v>124</v>
      </c>
      <c r="E441" s="57" t="s">
        <v>47</v>
      </c>
      <c r="F441" s="60">
        <v>10</v>
      </c>
      <c r="G441" s="153">
        <f>SUM(Ведомственная!G718)</f>
        <v>10</v>
      </c>
      <c r="I441" s="154">
        <f t="shared" si="11"/>
        <v>0</v>
      </c>
      <c r="J441" s="154">
        <f t="shared" si="9"/>
        <v>-10</v>
      </c>
    </row>
    <row r="442" spans="1:10" ht="31.5" hidden="1">
      <c r="A442" s="77" t="s">
        <v>75</v>
      </c>
      <c r="B442" s="83" t="s">
        <v>475</v>
      </c>
      <c r="C442" s="83">
        <v>600</v>
      </c>
      <c r="D442" s="57" t="s">
        <v>124</v>
      </c>
      <c r="E442" s="57" t="s">
        <v>47</v>
      </c>
      <c r="F442" s="60"/>
      <c r="G442" s="153">
        <f>SUM(Ведомственная!G719)</f>
        <v>0</v>
      </c>
      <c r="I442" s="154">
        <f t="shared" si="11"/>
        <v>0</v>
      </c>
      <c r="J442" s="154">
        <f t="shared" si="9"/>
        <v>0</v>
      </c>
    </row>
    <row r="443" spans="1:10" ht="47.25">
      <c r="A443" s="77" t="s">
        <v>470</v>
      </c>
      <c r="B443" s="83" t="s">
        <v>471</v>
      </c>
      <c r="C443" s="83"/>
      <c r="D443" s="57"/>
      <c r="E443" s="57"/>
      <c r="F443" s="60">
        <f>F444</f>
        <v>40</v>
      </c>
      <c r="I443" s="154">
        <f t="shared" si="11"/>
        <v>-40</v>
      </c>
      <c r="J443" s="154">
        <f t="shared" si="9"/>
        <v>-40</v>
      </c>
    </row>
    <row r="444" spans="1:10" ht="31.5">
      <c r="A444" s="77" t="s">
        <v>55</v>
      </c>
      <c r="B444" s="83" t="s">
        <v>471</v>
      </c>
      <c r="C444" s="83">
        <v>200</v>
      </c>
      <c r="D444" s="57" t="s">
        <v>124</v>
      </c>
      <c r="E444" s="57" t="s">
        <v>47</v>
      </c>
      <c r="F444" s="60">
        <v>40</v>
      </c>
      <c r="G444" s="153">
        <f>SUM(Ведомственная!G721)</f>
        <v>40</v>
      </c>
      <c r="I444" s="154">
        <f t="shared" si="11"/>
        <v>0</v>
      </c>
      <c r="J444" s="154">
        <f t="shared" si="9"/>
        <v>-40</v>
      </c>
    </row>
    <row r="445" spans="1:10" ht="47.25">
      <c r="A445" s="51" t="s">
        <v>29</v>
      </c>
      <c r="B445" s="82" t="s">
        <v>450</v>
      </c>
      <c r="C445" s="57"/>
      <c r="D445" s="57"/>
      <c r="E445" s="57"/>
      <c r="F445" s="60">
        <f>F446</f>
        <v>353074.8</v>
      </c>
      <c r="I445" s="154">
        <f t="shared" si="11"/>
        <v>-353074.8</v>
      </c>
      <c r="J445" s="154">
        <f t="shared" si="9"/>
        <v>-353074.8</v>
      </c>
    </row>
    <row r="446" spans="1:10" ht="15.75" hidden="1">
      <c r="A446" s="100" t="s">
        <v>167</v>
      </c>
      <c r="B446" s="87" t="s">
        <v>451</v>
      </c>
      <c r="C446" s="57"/>
      <c r="D446" s="57"/>
      <c r="E446" s="57"/>
      <c r="F446" s="60">
        <f>F447+F449+F451</f>
        <v>353074.8</v>
      </c>
      <c r="I446" s="154">
        <f t="shared" si="11"/>
        <v>-353074.8</v>
      </c>
      <c r="J446" s="154">
        <f t="shared" si="9"/>
        <v>-353074.8</v>
      </c>
    </row>
    <row r="447" spans="1:10" ht="15.75">
      <c r="A447" s="77" t="s">
        <v>452</v>
      </c>
      <c r="B447" s="82" t="s">
        <v>453</v>
      </c>
      <c r="C447" s="57"/>
      <c r="D447" s="57"/>
      <c r="E447" s="57"/>
      <c r="F447" s="60">
        <f>F448</f>
        <v>185380.7</v>
      </c>
      <c r="I447" s="154">
        <f t="shared" si="11"/>
        <v>-185380.7</v>
      </c>
      <c r="J447" s="154">
        <f t="shared" si="9"/>
        <v>-185380.7</v>
      </c>
    </row>
    <row r="448" spans="1:10" ht="31.5">
      <c r="A448" s="77" t="s">
        <v>75</v>
      </c>
      <c r="B448" s="82" t="s">
        <v>453</v>
      </c>
      <c r="C448" s="57" t="s">
        <v>134</v>
      </c>
      <c r="D448" s="57" t="s">
        <v>124</v>
      </c>
      <c r="E448" s="57" t="s">
        <v>37</v>
      </c>
      <c r="F448" s="60">
        <v>185380.7</v>
      </c>
      <c r="G448" s="153">
        <f>SUM(Ведомственная!G664)</f>
        <v>185380.7</v>
      </c>
      <c r="I448" s="154">
        <f t="shared" si="11"/>
        <v>0</v>
      </c>
      <c r="J448" s="154">
        <f t="shared" si="9"/>
        <v>-185380.7</v>
      </c>
    </row>
    <row r="449" spans="1:10" ht="15.75">
      <c r="A449" s="77" t="s">
        <v>476</v>
      </c>
      <c r="B449" s="83" t="s">
        <v>477</v>
      </c>
      <c r="C449" s="57"/>
      <c r="D449" s="57"/>
      <c r="E449" s="57"/>
      <c r="F449" s="60">
        <f>F450</f>
        <v>109639</v>
      </c>
      <c r="I449" s="154">
        <f t="shared" si="11"/>
        <v>-109639</v>
      </c>
      <c r="J449" s="154">
        <f t="shared" si="9"/>
        <v>-109639</v>
      </c>
    </row>
    <row r="450" spans="1:10" ht="31.5">
      <c r="A450" s="77" t="s">
        <v>75</v>
      </c>
      <c r="B450" s="83" t="s">
        <v>477</v>
      </c>
      <c r="C450" s="57" t="s">
        <v>134</v>
      </c>
      <c r="D450" s="57" t="s">
        <v>124</v>
      </c>
      <c r="E450" s="57" t="s">
        <v>47</v>
      </c>
      <c r="F450" s="60">
        <v>109639</v>
      </c>
      <c r="G450" s="153">
        <f>SUM(Ведомственная!G724)</f>
        <v>109639</v>
      </c>
      <c r="I450" s="154">
        <f t="shared" si="11"/>
        <v>0</v>
      </c>
      <c r="J450" s="154">
        <f t="shared" si="9"/>
        <v>-109639</v>
      </c>
    </row>
    <row r="451" spans="1:10" ht="15.75">
      <c r="A451" s="77" t="s">
        <v>485</v>
      </c>
      <c r="B451" s="57" t="s">
        <v>486</v>
      </c>
      <c r="C451" s="57"/>
      <c r="D451" s="57"/>
      <c r="E451" s="57"/>
      <c r="F451" s="60">
        <f>F452</f>
        <v>58055.1</v>
      </c>
      <c r="I451" s="154">
        <f t="shared" si="11"/>
        <v>-58055.1</v>
      </c>
      <c r="J451" s="154">
        <f t="shared" si="9"/>
        <v>-58055.1</v>
      </c>
    </row>
    <row r="452" spans="1:10" ht="31.5">
      <c r="A452" s="77" t="s">
        <v>75</v>
      </c>
      <c r="B452" s="57" t="s">
        <v>486</v>
      </c>
      <c r="C452" s="57" t="s">
        <v>134</v>
      </c>
      <c r="D452" s="57" t="s">
        <v>124</v>
      </c>
      <c r="E452" s="57" t="s">
        <v>57</v>
      </c>
      <c r="F452" s="60">
        <v>58055.1</v>
      </c>
      <c r="G452" s="153">
        <f>SUM(Ведомственная!G753)</f>
        <v>58055.1</v>
      </c>
      <c r="I452" s="154">
        <f t="shared" si="11"/>
        <v>0</v>
      </c>
      <c r="J452" s="154">
        <f t="shared" si="9"/>
        <v>-58055.1</v>
      </c>
    </row>
    <row r="453" spans="1:10" ht="15.75">
      <c r="A453" s="77" t="s">
        <v>165</v>
      </c>
      <c r="B453" s="82" t="s">
        <v>519</v>
      </c>
      <c r="C453" s="57"/>
      <c r="D453" s="57"/>
      <c r="E453" s="57"/>
      <c r="F453" s="60">
        <f>SUM(F455)+F462</f>
        <v>702.3</v>
      </c>
      <c r="I453" s="154">
        <f t="shared" si="11"/>
        <v>-702.3</v>
      </c>
      <c r="J453" s="154">
        <f t="shared" si="9"/>
        <v>-702.3</v>
      </c>
    </row>
    <row r="454" spans="1:10" ht="15.75">
      <c r="A454" s="100" t="s">
        <v>167</v>
      </c>
      <c r="B454" s="82" t="s">
        <v>712</v>
      </c>
      <c r="C454" s="57"/>
      <c r="D454" s="57"/>
      <c r="E454" s="57"/>
      <c r="F454" s="60">
        <f>SUM(F455)</f>
        <v>554.3</v>
      </c>
      <c r="I454" s="154">
        <f t="shared" si="11"/>
        <v>-554.3</v>
      </c>
      <c r="J454" s="154">
        <f t="shared" si="9"/>
        <v>-554.3</v>
      </c>
    </row>
    <row r="455" spans="1:10" ht="15.75">
      <c r="A455" s="77" t="s">
        <v>452</v>
      </c>
      <c r="B455" s="82" t="s">
        <v>713</v>
      </c>
      <c r="C455" s="57"/>
      <c r="D455" s="57"/>
      <c r="E455" s="57"/>
      <c r="F455" s="60">
        <f>SUM(F456+F458+F460)</f>
        <v>554.3</v>
      </c>
      <c r="I455" s="154">
        <f t="shared" si="11"/>
        <v>-554.3</v>
      </c>
      <c r="J455" s="154">
        <f aca="true" t="shared" si="12" ref="J455:J518">SUM(H455-F455)</f>
        <v>-554.3</v>
      </c>
    </row>
    <row r="456" spans="1:10" ht="31.5" hidden="1">
      <c r="A456" s="77" t="s">
        <v>455</v>
      </c>
      <c r="B456" s="82" t="s">
        <v>456</v>
      </c>
      <c r="C456" s="57"/>
      <c r="D456" s="57"/>
      <c r="E456" s="57"/>
      <c r="F456" s="60">
        <f>F457</f>
        <v>0</v>
      </c>
      <c r="I456" s="154">
        <f t="shared" si="11"/>
        <v>0</v>
      </c>
      <c r="J456" s="154">
        <f t="shared" si="12"/>
        <v>0</v>
      </c>
    </row>
    <row r="457" spans="1:10" ht="31.5" hidden="1">
      <c r="A457" s="77" t="s">
        <v>75</v>
      </c>
      <c r="B457" s="82" t="s">
        <v>456</v>
      </c>
      <c r="C457" s="57" t="s">
        <v>134</v>
      </c>
      <c r="D457" s="57"/>
      <c r="E457" s="57"/>
      <c r="F457" s="60">
        <v>0</v>
      </c>
      <c r="G457" s="153">
        <f>SUM(Ведомственная!G668)</f>
        <v>0</v>
      </c>
      <c r="I457" s="154">
        <f t="shared" si="11"/>
        <v>0</v>
      </c>
      <c r="J457" s="154">
        <f t="shared" si="12"/>
        <v>0</v>
      </c>
    </row>
    <row r="458" spans="1:10" ht="31.5">
      <c r="A458" s="77" t="s">
        <v>457</v>
      </c>
      <c r="B458" s="82" t="s">
        <v>458</v>
      </c>
      <c r="C458" s="57"/>
      <c r="D458" s="57"/>
      <c r="E458" s="57"/>
      <c r="F458" s="60">
        <f>F459</f>
        <v>146</v>
      </c>
      <c r="I458" s="154">
        <f t="shared" si="11"/>
        <v>-146</v>
      </c>
      <c r="J458" s="154">
        <f t="shared" si="12"/>
        <v>-146</v>
      </c>
    </row>
    <row r="459" spans="1:10" ht="31.5">
      <c r="A459" s="77" t="s">
        <v>75</v>
      </c>
      <c r="B459" s="82" t="s">
        <v>458</v>
      </c>
      <c r="C459" s="57" t="s">
        <v>134</v>
      </c>
      <c r="D459" s="57"/>
      <c r="E459" s="57"/>
      <c r="F459" s="60">
        <v>146</v>
      </c>
      <c r="G459" s="153">
        <f>SUM(Ведомственная!G670)</f>
        <v>146</v>
      </c>
      <c r="I459" s="154">
        <f t="shared" si="11"/>
        <v>0</v>
      </c>
      <c r="J459" s="154">
        <f t="shared" si="12"/>
        <v>-146</v>
      </c>
    </row>
    <row r="460" spans="1:10" ht="31.5">
      <c r="A460" s="77" t="s">
        <v>459</v>
      </c>
      <c r="B460" s="82" t="s">
        <v>460</v>
      </c>
      <c r="C460" s="57"/>
      <c r="D460" s="57"/>
      <c r="E460" s="57"/>
      <c r="F460" s="60">
        <f>F461</f>
        <v>408.3</v>
      </c>
      <c r="I460" s="154">
        <f t="shared" si="11"/>
        <v>-408.3</v>
      </c>
      <c r="J460" s="154">
        <f t="shared" si="12"/>
        <v>-408.3</v>
      </c>
    </row>
    <row r="461" spans="1:10" ht="31.5">
      <c r="A461" s="77" t="s">
        <v>75</v>
      </c>
      <c r="B461" s="82" t="s">
        <v>460</v>
      </c>
      <c r="C461" s="57" t="s">
        <v>134</v>
      </c>
      <c r="D461" s="57"/>
      <c r="E461" s="57"/>
      <c r="F461" s="60">
        <v>408.3</v>
      </c>
      <c r="G461" s="153">
        <f>SUM(Ведомственная!G672)</f>
        <v>408.3</v>
      </c>
      <c r="I461" s="154">
        <f t="shared" si="11"/>
        <v>0</v>
      </c>
      <c r="J461" s="154">
        <f t="shared" si="12"/>
        <v>-408.3</v>
      </c>
    </row>
    <row r="462" spans="1:10" ht="14.25" customHeight="1">
      <c r="A462" s="77" t="s">
        <v>476</v>
      </c>
      <c r="B462" s="82" t="s">
        <v>478</v>
      </c>
      <c r="C462" s="57"/>
      <c r="D462" s="57"/>
      <c r="E462" s="57"/>
      <c r="F462" s="60">
        <f>F464+F466+F468</f>
        <v>148</v>
      </c>
      <c r="I462" s="154">
        <f t="shared" si="11"/>
        <v>-148</v>
      </c>
      <c r="J462" s="154">
        <f t="shared" si="12"/>
        <v>-148</v>
      </c>
    </row>
    <row r="463" spans="1:10" ht="31.5" hidden="1">
      <c r="A463" s="77" t="s">
        <v>455</v>
      </c>
      <c r="B463" s="82" t="s">
        <v>479</v>
      </c>
      <c r="C463" s="57"/>
      <c r="D463" s="57"/>
      <c r="E463" s="57"/>
      <c r="F463" s="60">
        <f>F464</f>
        <v>0</v>
      </c>
      <c r="I463" s="154">
        <f t="shared" si="11"/>
        <v>0</v>
      </c>
      <c r="J463" s="154">
        <f t="shared" si="12"/>
        <v>0</v>
      </c>
    </row>
    <row r="464" spans="1:10" ht="31.5" hidden="1">
      <c r="A464" s="77" t="s">
        <v>75</v>
      </c>
      <c r="B464" s="82" t="s">
        <v>479</v>
      </c>
      <c r="C464" s="57" t="s">
        <v>134</v>
      </c>
      <c r="D464" s="57"/>
      <c r="E464" s="57"/>
      <c r="F464" s="60"/>
      <c r="G464" s="153">
        <f>SUM(Ведомственная!G728)</f>
        <v>0</v>
      </c>
      <c r="I464" s="154">
        <f t="shared" si="11"/>
        <v>0</v>
      </c>
      <c r="J464" s="154">
        <f t="shared" si="12"/>
        <v>0</v>
      </c>
    </row>
    <row r="465" spans="1:10" ht="31.5">
      <c r="A465" s="77" t="s">
        <v>457</v>
      </c>
      <c r="B465" s="82" t="s">
        <v>480</v>
      </c>
      <c r="C465" s="57"/>
      <c r="D465" s="57"/>
      <c r="E465" s="57"/>
      <c r="F465" s="60">
        <f>F466</f>
        <v>134</v>
      </c>
      <c r="I465" s="154">
        <f t="shared" si="11"/>
        <v>-134</v>
      </c>
      <c r="J465" s="154">
        <f t="shared" si="12"/>
        <v>-134</v>
      </c>
    </row>
    <row r="466" spans="1:10" ht="31.5">
      <c r="A466" s="77" t="s">
        <v>75</v>
      </c>
      <c r="B466" s="82" t="s">
        <v>480</v>
      </c>
      <c r="C466" s="57" t="s">
        <v>134</v>
      </c>
      <c r="D466" s="57"/>
      <c r="E466" s="57"/>
      <c r="F466" s="60">
        <v>134</v>
      </c>
      <c r="G466" s="153">
        <f>SUM(Ведомственная!G730)</f>
        <v>134</v>
      </c>
      <c r="I466" s="154">
        <f t="shared" si="11"/>
        <v>0</v>
      </c>
      <c r="J466" s="154">
        <f t="shared" si="12"/>
        <v>-134</v>
      </c>
    </row>
    <row r="467" spans="1:10" ht="31.5">
      <c r="A467" s="77" t="s">
        <v>459</v>
      </c>
      <c r="B467" s="82" t="s">
        <v>481</v>
      </c>
      <c r="C467" s="57"/>
      <c r="D467" s="57"/>
      <c r="E467" s="57"/>
      <c r="F467" s="60">
        <f>F468</f>
        <v>14</v>
      </c>
      <c r="I467" s="154">
        <f t="shared" si="11"/>
        <v>-14</v>
      </c>
      <c r="J467" s="154">
        <f t="shared" si="12"/>
        <v>-14</v>
      </c>
    </row>
    <row r="468" spans="1:10" ht="31.5">
      <c r="A468" s="77" t="s">
        <v>75</v>
      </c>
      <c r="B468" s="82" t="s">
        <v>481</v>
      </c>
      <c r="C468" s="57" t="s">
        <v>134</v>
      </c>
      <c r="D468" s="57"/>
      <c r="E468" s="57"/>
      <c r="F468" s="60">
        <v>14</v>
      </c>
      <c r="G468" s="153">
        <f>SUM(Ведомственная!G732)</f>
        <v>14</v>
      </c>
      <c r="I468" s="154">
        <f t="shared" si="11"/>
        <v>0</v>
      </c>
      <c r="J468" s="154">
        <f t="shared" si="12"/>
        <v>-14</v>
      </c>
    </row>
    <row r="469" spans="1:10" ht="31.5">
      <c r="A469" s="77" t="s">
        <v>48</v>
      </c>
      <c r="B469" s="82" t="s">
        <v>461</v>
      </c>
      <c r="C469" s="57"/>
      <c r="D469" s="57"/>
      <c r="E469" s="57"/>
      <c r="F469" s="60">
        <f>SUM(F470+F474+F478)</f>
        <v>153698.9</v>
      </c>
      <c r="I469" s="154">
        <f t="shared" si="11"/>
        <v>-153698.9</v>
      </c>
      <c r="J469" s="154">
        <f t="shared" si="12"/>
        <v>-153698.9</v>
      </c>
    </row>
    <row r="470" spans="1:10" ht="15.75">
      <c r="A470" s="77" t="s">
        <v>452</v>
      </c>
      <c r="B470" s="82" t="s">
        <v>462</v>
      </c>
      <c r="C470" s="57"/>
      <c r="D470" s="57"/>
      <c r="E470" s="57"/>
      <c r="F470" s="60">
        <f>F471+F472+F473</f>
        <v>43027.9</v>
      </c>
      <c r="I470" s="154">
        <f t="shared" si="11"/>
        <v>-43027.9</v>
      </c>
      <c r="J470" s="154">
        <f t="shared" si="12"/>
        <v>-43027.9</v>
      </c>
    </row>
    <row r="471" spans="1:10" ht="63">
      <c r="A471" s="51" t="s">
        <v>54</v>
      </c>
      <c r="B471" s="82" t="s">
        <v>462</v>
      </c>
      <c r="C471" s="57" t="s">
        <v>98</v>
      </c>
      <c r="D471" s="57" t="s">
        <v>124</v>
      </c>
      <c r="E471" s="57" t="s">
        <v>37</v>
      </c>
      <c r="F471" s="60">
        <v>12926.9</v>
      </c>
      <c r="G471" s="153">
        <f>SUM(Ведомственная!G675)</f>
        <v>12926.9</v>
      </c>
      <c r="I471" s="154">
        <f t="shared" si="11"/>
        <v>0</v>
      </c>
      <c r="J471" s="154">
        <f t="shared" si="12"/>
        <v>-12926.9</v>
      </c>
    </row>
    <row r="472" spans="1:10" ht="31.5">
      <c r="A472" s="77" t="s">
        <v>55</v>
      </c>
      <c r="B472" s="82" t="s">
        <v>462</v>
      </c>
      <c r="C472" s="57" t="s">
        <v>100</v>
      </c>
      <c r="D472" s="57" t="s">
        <v>124</v>
      </c>
      <c r="E472" s="57" t="s">
        <v>37</v>
      </c>
      <c r="F472" s="60">
        <v>28504.9</v>
      </c>
      <c r="G472" s="153">
        <f>SUM(Ведомственная!G676)</f>
        <v>28504.9</v>
      </c>
      <c r="I472" s="154">
        <f t="shared" si="11"/>
        <v>0</v>
      </c>
      <c r="J472" s="154">
        <f t="shared" si="12"/>
        <v>-28504.9</v>
      </c>
    </row>
    <row r="473" spans="1:10" ht="15.75">
      <c r="A473" s="77" t="s">
        <v>25</v>
      </c>
      <c r="B473" s="82" t="s">
        <v>462</v>
      </c>
      <c r="C473" s="57" t="s">
        <v>105</v>
      </c>
      <c r="D473" s="57" t="s">
        <v>124</v>
      </c>
      <c r="E473" s="57" t="s">
        <v>37</v>
      </c>
      <c r="F473" s="60">
        <v>1596.1</v>
      </c>
      <c r="G473" s="153">
        <f>SUM(Ведомственная!G677)</f>
        <v>1596.1</v>
      </c>
      <c r="I473" s="154">
        <f t="shared" si="11"/>
        <v>0</v>
      </c>
      <c r="J473" s="154">
        <f t="shared" si="12"/>
        <v>-1596.1</v>
      </c>
    </row>
    <row r="474" spans="1:10" ht="15.75">
      <c r="A474" s="77" t="s">
        <v>476</v>
      </c>
      <c r="B474" s="82" t="s">
        <v>482</v>
      </c>
      <c r="C474" s="82"/>
      <c r="D474" s="76"/>
      <c r="E474" s="76"/>
      <c r="F474" s="60">
        <f>F475+F476+F477</f>
        <v>102631.20000000001</v>
      </c>
      <c r="I474" s="154">
        <f t="shared" si="11"/>
        <v>-102631.20000000001</v>
      </c>
      <c r="J474" s="154">
        <f t="shared" si="12"/>
        <v>-102631.20000000001</v>
      </c>
    </row>
    <row r="475" spans="1:10" ht="63">
      <c r="A475" s="51" t="s">
        <v>54</v>
      </c>
      <c r="B475" s="82" t="s">
        <v>482</v>
      </c>
      <c r="C475" s="57" t="s">
        <v>98</v>
      </c>
      <c r="D475" s="57" t="s">
        <v>124</v>
      </c>
      <c r="E475" s="57" t="s">
        <v>47</v>
      </c>
      <c r="F475" s="60">
        <v>42767.8</v>
      </c>
      <c r="G475" s="153">
        <f>SUM(Ведомственная!G735)</f>
        <v>42767.8</v>
      </c>
      <c r="I475" s="154">
        <f t="shared" si="11"/>
        <v>0</v>
      </c>
      <c r="J475" s="154">
        <f t="shared" si="12"/>
        <v>-42767.8</v>
      </c>
    </row>
    <row r="476" spans="1:10" ht="31.5">
      <c r="A476" s="77" t="s">
        <v>55</v>
      </c>
      <c r="B476" s="82" t="s">
        <v>482</v>
      </c>
      <c r="C476" s="57" t="s">
        <v>100</v>
      </c>
      <c r="D476" s="57" t="s">
        <v>124</v>
      </c>
      <c r="E476" s="57" t="s">
        <v>47</v>
      </c>
      <c r="F476" s="60">
        <v>45430.8</v>
      </c>
      <c r="G476" s="153">
        <f>SUM(Ведомственная!G736)</f>
        <v>45430.8</v>
      </c>
      <c r="I476" s="154">
        <f t="shared" si="11"/>
        <v>0</v>
      </c>
      <c r="J476" s="154">
        <f t="shared" si="12"/>
        <v>-45430.8</v>
      </c>
    </row>
    <row r="477" spans="1:10" ht="15.75">
      <c r="A477" s="77" t="s">
        <v>25</v>
      </c>
      <c r="B477" s="82" t="s">
        <v>482</v>
      </c>
      <c r="C477" s="57" t="s">
        <v>105</v>
      </c>
      <c r="D477" s="57" t="s">
        <v>124</v>
      </c>
      <c r="E477" s="57" t="s">
        <v>47</v>
      </c>
      <c r="F477" s="60">
        <v>14432.6</v>
      </c>
      <c r="G477" s="153">
        <f>SUM(Ведомственная!G737)</f>
        <v>14432.6</v>
      </c>
      <c r="I477" s="154">
        <f t="shared" si="11"/>
        <v>0</v>
      </c>
      <c r="J477" s="154">
        <f t="shared" si="12"/>
        <v>-14432.6</v>
      </c>
    </row>
    <row r="478" spans="1:10" ht="15.75">
      <c r="A478" s="77" t="s">
        <v>483</v>
      </c>
      <c r="B478" s="83" t="s">
        <v>484</v>
      </c>
      <c r="C478" s="83"/>
      <c r="D478" s="57"/>
      <c r="E478" s="57"/>
      <c r="F478" s="60">
        <f>F479+F480+F481</f>
        <v>8039.8</v>
      </c>
      <c r="I478" s="154">
        <f t="shared" si="11"/>
        <v>-8039.8</v>
      </c>
      <c r="J478" s="154">
        <f t="shared" si="12"/>
        <v>-8039.8</v>
      </c>
    </row>
    <row r="479" spans="1:10" ht="63">
      <c r="A479" s="51" t="s">
        <v>54</v>
      </c>
      <c r="B479" s="83" t="s">
        <v>484</v>
      </c>
      <c r="C479" s="83">
        <v>100</v>
      </c>
      <c r="D479" s="57" t="s">
        <v>124</v>
      </c>
      <c r="E479" s="57" t="s">
        <v>47</v>
      </c>
      <c r="F479" s="60">
        <v>3238.4</v>
      </c>
      <c r="G479" s="153">
        <f>SUM(Ведомственная!G739)</f>
        <v>3238.4</v>
      </c>
      <c r="I479" s="154">
        <f t="shared" si="11"/>
        <v>0</v>
      </c>
      <c r="J479" s="154">
        <f t="shared" si="12"/>
        <v>-3238.4</v>
      </c>
    </row>
    <row r="480" spans="1:10" ht="31.5">
      <c r="A480" s="77" t="s">
        <v>55</v>
      </c>
      <c r="B480" s="83" t="s">
        <v>484</v>
      </c>
      <c r="C480" s="83">
        <v>200</v>
      </c>
      <c r="D480" s="57" t="s">
        <v>124</v>
      </c>
      <c r="E480" s="57" t="s">
        <v>47</v>
      </c>
      <c r="F480" s="60">
        <v>3583.1</v>
      </c>
      <c r="G480" s="153">
        <f>SUM(Ведомственная!G740)</f>
        <v>3583.1</v>
      </c>
      <c r="I480" s="154">
        <f t="shared" si="11"/>
        <v>0</v>
      </c>
      <c r="J480" s="154">
        <f t="shared" si="12"/>
        <v>-3583.1</v>
      </c>
    </row>
    <row r="481" spans="1:10" ht="15.75">
      <c r="A481" s="77" t="s">
        <v>25</v>
      </c>
      <c r="B481" s="83" t="s">
        <v>484</v>
      </c>
      <c r="C481" s="83">
        <v>800</v>
      </c>
      <c r="D481" s="57" t="s">
        <v>124</v>
      </c>
      <c r="E481" s="57" t="s">
        <v>47</v>
      </c>
      <c r="F481" s="60">
        <v>1218.3</v>
      </c>
      <c r="G481" s="153">
        <f>SUM(Ведомственная!G741)</f>
        <v>1218.3</v>
      </c>
      <c r="I481" s="154">
        <f t="shared" si="11"/>
        <v>0</v>
      </c>
      <c r="J481" s="154">
        <f t="shared" si="12"/>
        <v>-1218.3</v>
      </c>
    </row>
    <row r="482" spans="1:10" ht="31.5">
      <c r="A482" s="77" t="s">
        <v>500</v>
      </c>
      <c r="B482" s="57" t="s">
        <v>501</v>
      </c>
      <c r="C482" s="57"/>
      <c r="D482" s="57"/>
      <c r="E482" s="57"/>
      <c r="F482" s="60">
        <f>F483+F488</f>
        <v>3086.9</v>
      </c>
      <c r="I482" s="154">
        <f t="shared" si="11"/>
        <v>-3086.9</v>
      </c>
      <c r="J482" s="154">
        <f t="shared" si="12"/>
        <v>-3086.9</v>
      </c>
    </row>
    <row r="483" spans="1:10" ht="15.75">
      <c r="A483" s="77" t="s">
        <v>38</v>
      </c>
      <c r="B483" s="57" t="s">
        <v>502</v>
      </c>
      <c r="C483" s="57"/>
      <c r="D483" s="57"/>
      <c r="E483" s="57"/>
      <c r="F483" s="60">
        <f>F484+F486</f>
        <v>1100</v>
      </c>
      <c r="I483" s="154">
        <f t="shared" si="11"/>
        <v>-1100</v>
      </c>
      <c r="J483" s="154">
        <f t="shared" si="12"/>
        <v>-1100</v>
      </c>
    </row>
    <row r="484" spans="1:10" ht="31.5">
      <c r="A484" s="77" t="s">
        <v>503</v>
      </c>
      <c r="B484" s="57" t="s">
        <v>504</v>
      </c>
      <c r="C484" s="57"/>
      <c r="D484" s="57"/>
      <c r="E484" s="57"/>
      <c r="F484" s="60">
        <f>F485</f>
        <v>800</v>
      </c>
      <c r="I484" s="154">
        <f t="shared" si="11"/>
        <v>-800</v>
      </c>
      <c r="J484" s="154">
        <f t="shared" si="12"/>
        <v>-800</v>
      </c>
    </row>
    <row r="485" spans="1:10" ht="31.5">
      <c r="A485" s="77" t="s">
        <v>55</v>
      </c>
      <c r="B485" s="57" t="s">
        <v>504</v>
      </c>
      <c r="C485" s="57" t="s">
        <v>100</v>
      </c>
      <c r="D485" s="57" t="s">
        <v>124</v>
      </c>
      <c r="E485" s="57" t="s">
        <v>124</v>
      </c>
      <c r="F485" s="60">
        <v>800</v>
      </c>
      <c r="G485" s="153">
        <f>SUM(Ведомственная!G775)</f>
        <v>800</v>
      </c>
      <c r="I485" s="154">
        <f t="shared" si="11"/>
        <v>0</v>
      </c>
      <c r="J485" s="154">
        <f t="shared" si="12"/>
        <v>-800</v>
      </c>
    </row>
    <row r="486" spans="1:10" ht="63">
      <c r="A486" s="77" t="s">
        <v>505</v>
      </c>
      <c r="B486" s="83" t="s">
        <v>506</v>
      </c>
      <c r="C486" s="57"/>
      <c r="D486" s="57"/>
      <c r="E486" s="57"/>
      <c r="F486" s="60">
        <v>300</v>
      </c>
      <c r="I486" s="154">
        <f t="shared" si="11"/>
        <v>-300</v>
      </c>
      <c r="J486" s="154">
        <f t="shared" si="12"/>
        <v>-300</v>
      </c>
    </row>
    <row r="487" spans="1:10" ht="31.5">
      <c r="A487" s="77" t="s">
        <v>55</v>
      </c>
      <c r="B487" s="83" t="s">
        <v>506</v>
      </c>
      <c r="C487" s="57" t="s">
        <v>100</v>
      </c>
      <c r="D487" s="57" t="s">
        <v>124</v>
      </c>
      <c r="E487" s="57" t="s">
        <v>124</v>
      </c>
      <c r="F487" s="60">
        <v>300</v>
      </c>
      <c r="G487" s="153">
        <f>SUM(Ведомственная!G777)</f>
        <v>300</v>
      </c>
      <c r="I487" s="154">
        <f t="shared" si="11"/>
        <v>0</v>
      </c>
      <c r="J487" s="154">
        <f t="shared" si="12"/>
        <v>-300</v>
      </c>
    </row>
    <row r="488" spans="1:10" ht="31.5">
      <c r="A488" s="77" t="s">
        <v>48</v>
      </c>
      <c r="B488" s="82" t="s">
        <v>507</v>
      </c>
      <c r="C488" s="57"/>
      <c r="D488" s="57"/>
      <c r="E488" s="57"/>
      <c r="F488" s="60">
        <f>SUM(F489)</f>
        <v>1986.9</v>
      </c>
      <c r="I488" s="154">
        <f t="shared" si="11"/>
        <v>-1986.9</v>
      </c>
      <c r="J488" s="154">
        <f t="shared" si="12"/>
        <v>-1986.9</v>
      </c>
    </row>
    <row r="489" spans="1:10" ht="31.5">
      <c r="A489" s="92" t="s">
        <v>508</v>
      </c>
      <c r="B489" s="82" t="s">
        <v>509</v>
      </c>
      <c r="C489" s="57"/>
      <c r="D489" s="57"/>
      <c r="E489" s="57"/>
      <c r="F489" s="60">
        <f>F490+F491+F492</f>
        <v>1986.9</v>
      </c>
      <c r="I489" s="154">
        <f t="shared" si="11"/>
        <v>-1986.9</v>
      </c>
      <c r="J489" s="154">
        <f t="shared" si="12"/>
        <v>-1986.9</v>
      </c>
    </row>
    <row r="490" spans="1:10" ht="63">
      <c r="A490" s="51" t="s">
        <v>54</v>
      </c>
      <c r="B490" s="82" t="s">
        <v>509</v>
      </c>
      <c r="C490" s="57" t="s">
        <v>98</v>
      </c>
      <c r="D490" s="57" t="s">
        <v>124</v>
      </c>
      <c r="E490" s="57" t="s">
        <v>124</v>
      </c>
      <c r="F490" s="60">
        <f>1382.5+417.5</f>
        <v>1800</v>
      </c>
      <c r="G490" s="153">
        <f>SUM(Ведомственная!G780)</f>
        <v>1800</v>
      </c>
      <c r="I490" s="154">
        <f t="shared" si="11"/>
        <v>0</v>
      </c>
      <c r="J490" s="154">
        <f t="shared" si="12"/>
        <v>-1800</v>
      </c>
    </row>
    <row r="491" spans="1:10" ht="31.5">
      <c r="A491" s="77" t="s">
        <v>55</v>
      </c>
      <c r="B491" s="82" t="s">
        <v>509</v>
      </c>
      <c r="C491" s="57" t="s">
        <v>100</v>
      </c>
      <c r="D491" s="57" t="s">
        <v>124</v>
      </c>
      <c r="E491" s="57" t="s">
        <v>124</v>
      </c>
      <c r="F491" s="60">
        <f>1986.9-F490-F492</f>
        <v>183.7000000000001</v>
      </c>
      <c r="G491" s="153">
        <f>SUM(Ведомственная!G781)</f>
        <v>183.7000000000001</v>
      </c>
      <c r="I491" s="154">
        <f t="shared" si="11"/>
        <v>0</v>
      </c>
      <c r="J491" s="154">
        <f t="shared" si="12"/>
        <v>-183.7000000000001</v>
      </c>
    </row>
    <row r="492" spans="1:10" ht="15.75">
      <c r="A492" s="77" t="s">
        <v>25</v>
      </c>
      <c r="B492" s="82" t="s">
        <v>509</v>
      </c>
      <c r="C492" s="57" t="s">
        <v>105</v>
      </c>
      <c r="D492" s="57" t="s">
        <v>124</v>
      </c>
      <c r="E492" s="57" t="s">
        <v>124</v>
      </c>
      <c r="F492" s="60">
        <v>3.2</v>
      </c>
      <c r="G492" s="153">
        <f>SUM(Ведомственная!G782)</f>
        <v>3.2</v>
      </c>
      <c r="I492" s="154">
        <f t="shared" si="11"/>
        <v>0</v>
      </c>
      <c r="J492" s="154">
        <f t="shared" si="12"/>
        <v>-3.2</v>
      </c>
    </row>
    <row r="493" spans="1:10" ht="31.5">
      <c r="A493" s="77" t="s">
        <v>463</v>
      </c>
      <c r="B493" s="82" t="s">
        <v>464</v>
      </c>
      <c r="C493" s="57"/>
      <c r="D493" s="57"/>
      <c r="E493" s="57"/>
      <c r="F493" s="60">
        <f>F494</f>
        <v>7132.7</v>
      </c>
      <c r="I493" s="154">
        <f t="shared" si="11"/>
        <v>-7132.7</v>
      </c>
      <c r="J493" s="154">
        <f t="shared" si="12"/>
        <v>-7132.7</v>
      </c>
    </row>
    <row r="494" spans="1:10" ht="15.75">
      <c r="A494" s="77" t="s">
        <v>38</v>
      </c>
      <c r="B494" s="82" t="s">
        <v>465</v>
      </c>
      <c r="C494" s="57"/>
      <c r="D494" s="57"/>
      <c r="E494" s="57"/>
      <c r="F494" s="60">
        <f>SUM(F495:F500)</f>
        <v>7132.7</v>
      </c>
      <c r="I494" s="154">
        <f t="shared" si="11"/>
        <v>-7132.7</v>
      </c>
      <c r="J494" s="154">
        <f t="shared" si="12"/>
        <v>-7132.7</v>
      </c>
    </row>
    <row r="495" spans="1:10" ht="31.5">
      <c r="A495" s="77" t="s">
        <v>55</v>
      </c>
      <c r="B495" s="82" t="s">
        <v>465</v>
      </c>
      <c r="C495" s="57" t="s">
        <v>100</v>
      </c>
      <c r="D495" s="57" t="s">
        <v>124</v>
      </c>
      <c r="E495" s="57" t="s">
        <v>37</v>
      </c>
      <c r="F495" s="60">
        <v>733</v>
      </c>
      <c r="G495" s="153">
        <f>SUM(Ведомственная!G680)</f>
        <v>733</v>
      </c>
      <c r="I495" s="154">
        <f t="shared" si="11"/>
        <v>0</v>
      </c>
      <c r="J495" s="154">
        <f t="shared" si="12"/>
        <v>-733</v>
      </c>
    </row>
    <row r="496" spans="1:10" ht="31.5">
      <c r="A496" s="77" t="s">
        <v>75</v>
      </c>
      <c r="B496" s="82" t="s">
        <v>465</v>
      </c>
      <c r="C496" s="57" t="s">
        <v>134</v>
      </c>
      <c r="D496" s="57" t="s">
        <v>124</v>
      </c>
      <c r="E496" s="57" t="s">
        <v>37</v>
      </c>
      <c r="F496" s="60">
        <v>1520.4</v>
      </c>
      <c r="G496" s="153">
        <f>SUM(Ведомственная!G681)</f>
        <v>1520.4</v>
      </c>
      <c r="I496" s="154">
        <f t="shared" si="11"/>
        <v>0</v>
      </c>
      <c r="J496" s="154">
        <f t="shared" si="12"/>
        <v>-1520.4</v>
      </c>
    </row>
    <row r="497" spans="1:10" ht="31.5">
      <c r="A497" s="77" t="s">
        <v>55</v>
      </c>
      <c r="B497" s="82" t="s">
        <v>465</v>
      </c>
      <c r="C497" s="57" t="s">
        <v>100</v>
      </c>
      <c r="D497" s="57" t="s">
        <v>124</v>
      </c>
      <c r="E497" s="57" t="s">
        <v>47</v>
      </c>
      <c r="F497" s="60">
        <v>2706</v>
      </c>
      <c r="G497" s="153">
        <f>SUM(Ведомственная!G744)</f>
        <v>2706</v>
      </c>
      <c r="I497" s="154">
        <f t="shared" si="11"/>
        <v>0</v>
      </c>
      <c r="J497" s="154">
        <f t="shared" si="12"/>
        <v>-2706</v>
      </c>
    </row>
    <row r="498" spans="1:10" ht="44.25" customHeight="1">
      <c r="A498" s="77" t="s">
        <v>75</v>
      </c>
      <c r="B498" s="82" t="s">
        <v>465</v>
      </c>
      <c r="C498" s="57" t="s">
        <v>134</v>
      </c>
      <c r="D498" s="57" t="s">
        <v>124</v>
      </c>
      <c r="E498" s="57" t="s">
        <v>47</v>
      </c>
      <c r="F498" s="60">
        <v>2173.3</v>
      </c>
      <c r="G498" s="153">
        <f>SUM(Ведомственная!G745)</f>
        <v>2173.3</v>
      </c>
      <c r="I498" s="154">
        <f t="shared" si="11"/>
        <v>0</v>
      </c>
      <c r="J498" s="154">
        <f t="shared" si="12"/>
        <v>-2173.3</v>
      </c>
    </row>
    <row r="499" spans="1:10" ht="31.5" hidden="1">
      <c r="A499" s="77" t="s">
        <v>55</v>
      </c>
      <c r="B499" s="82" t="s">
        <v>465</v>
      </c>
      <c r="C499" s="57" t="s">
        <v>100</v>
      </c>
      <c r="D499" s="57"/>
      <c r="E499" s="57"/>
      <c r="F499" s="60"/>
      <c r="I499" s="154">
        <f t="shared" si="11"/>
        <v>0</v>
      </c>
      <c r="J499" s="154">
        <f t="shared" si="12"/>
        <v>0</v>
      </c>
    </row>
    <row r="500" spans="1:10" ht="31.5" hidden="1">
      <c r="A500" s="77" t="s">
        <v>75</v>
      </c>
      <c r="B500" s="82" t="s">
        <v>465</v>
      </c>
      <c r="C500" s="57" t="s">
        <v>134</v>
      </c>
      <c r="D500" s="57" t="s">
        <v>124</v>
      </c>
      <c r="E500" s="57" t="s">
        <v>81</v>
      </c>
      <c r="F500" s="60"/>
      <c r="G500" s="153">
        <f>SUM(Ведомственная!G756)</f>
        <v>0</v>
      </c>
      <c r="I500" s="154">
        <f t="shared" si="11"/>
        <v>0</v>
      </c>
      <c r="J500" s="154">
        <f t="shared" si="12"/>
        <v>0</v>
      </c>
    </row>
    <row r="501" spans="1:10" ht="31.5">
      <c r="A501" s="77" t="s">
        <v>510</v>
      </c>
      <c r="B501" s="82" t="s">
        <v>511</v>
      </c>
      <c r="C501" s="57"/>
      <c r="D501" s="57"/>
      <c r="E501" s="57"/>
      <c r="F501" s="60">
        <f>F505+F502</f>
        <v>41159.8</v>
      </c>
      <c r="I501" s="154">
        <f t="shared" si="11"/>
        <v>-41159.8</v>
      </c>
      <c r="J501" s="154">
        <f t="shared" si="12"/>
        <v>-41159.8</v>
      </c>
    </row>
    <row r="502" spans="1:10" ht="15.75" hidden="1">
      <c r="A502" s="77" t="s">
        <v>38</v>
      </c>
      <c r="B502" s="59" t="s">
        <v>634</v>
      </c>
      <c r="C502" s="57"/>
      <c r="D502" s="57"/>
      <c r="E502" s="57"/>
      <c r="F502" s="60">
        <f>F503</f>
        <v>0</v>
      </c>
      <c r="I502" s="154">
        <f t="shared" si="11"/>
        <v>0</v>
      </c>
      <c r="J502" s="154">
        <f t="shared" si="12"/>
        <v>0</v>
      </c>
    </row>
    <row r="503" spans="1:10" ht="15.75" hidden="1">
      <c r="A503" s="77" t="s">
        <v>635</v>
      </c>
      <c r="B503" s="59" t="s">
        <v>636</v>
      </c>
      <c r="C503" s="57"/>
      <c r="D503" s="57"/>
      <c r="E503" s="57"/>
      <c r="F503" s="60">
        <f>F504</f>
        <v>0</v>
      </c>
      <c r="I503" s="154">
        <f aca="true" t="shared" si="13" ref="I503:I572">G503-F503</f>
        <v>0</v>
      </c>
      <c r="J503" s="154">
        <f t="shared" si="12"/>
        <v>0</v>
      </c>
    </row>
    <row r="504" spans="1:10" ht="31.5" hidden="1">
      <c r="A504" s="77" t="s">
        <v>55</v>
      </c>
      <c r="B504" s="59" t="s">
        <v>636</v>
      </c>
      <c r="C504" s="57" t="s">
        <v>100</v>
      </c>
      <c r="D504" s="57"/>
      <c r="E504" s="57"/>
      <c r="F504" s="60"/>
      <c r="I504" s="154">
        <f t="shared" si="13"/>
        <v>0</v>
      </c>
      <c r="J504" s="154">
        <f t="shared" si="12"/>
        <v>0</v>
      </c>
    </row>
    <row r="505" spans="1:10" ht="31.5">
      <c r="A505" s="77" t="s">
        <v>48</v>
      </c>
      <c r="B505" s="83" t="s">
        <v>512</v>
      </c>
      <c r="C505" s="57"/>
      <c r="D505" s="57"/>
      <c r="E505" s="57"/>
      <c r="F505" s="60">
        <f>SUM(F506)</f>
        <v>41159.8</v>
      </c>
      <c r="I505" s="154">
        <f t="shared" si="13"/>
        <v>-41159.8</v>
      </c>
      <c r="J505" s="154">
        <f t="shared" si="12"/>
        <v>-41159.8</v>
      </c>
    </row>
    <row r="506" spans="1:10" ht="15.75">
      <c r="A506" s="100" t="s">
        <v>520</v>
      </c>
      <c r="B506" s="83" t="s">
        <v>513</v>
      </c>
      <c r="C506" s="57"/>
      <c r="D506" s="57"/>
      <c r="E506" s="57"/>
      <c r="F506" s="60">
        <f>F507+F508+F509</f>
        <v>41159.8</v>
      </c>
      <c r="I506" s="154">
        <f t="shared" si="13"/>
        <v>-41159.8</v>
      </c>
      <c r="J506" s="154">
        <f t="shared" si="12"/>
        <v>-41159.8</v>
      </c>
    </row>
    <row r="507" spans="1:10" ht="63">
      <c r="A507" s="51" t="s">
        <v>54</v>
      </c>
      <c r="B507" s="83" t="s">
        <v>513</v>
      </c>
      <c r="C507" s="57" t="s">
        <v>98</v>
      </c>
      <c r="D507" s="57" t="s">
        <v>124</v>
      </c>
      <c r="E507" s="57" t="s">
        <v>191</v>
      </c>
      <c r="F507" s="60">
        <v>35245.3</v>
      </c>
      <c r="G507" s="153">
        <f>SUM(Ведомственная!G798)</f>
        <v>35245.3</v>
      </c>
      <c r="I507" s="154">
        <f t="shared" si="13"/>
        <v>0</v>
      </c>
      <c r="J507" s="154">
        <f t="shared" si="12"/>
        <v>-35245.3</v>
      </c>
    </row>
    <row r="508" spans="1:10" ht="31.5">
      <c r="A508" s="77" t="s">
        <v>55</v>
      </c>
      <c r="B508" s="83" t="s">
        <v>513</v>
      </c>
      <c r="C508" s="57" t="s">
        <v>100</v>
      </c>
      <c r="D508" s="57" t="s">
        <v>124</v>
      </c>
      <c r="E508" s="57" t="s">
        <v>191</v>
      </c>
      <c r="F508" s="60">
        <v>5523.3</v>
      </c>
      <c r="G508" s="153">
        <f>SUM(Ведомственная!G799)</f>
        <v>5523.3</v>
      </c>
      <c r="I508" s="154">
        <f t="shared" si="13"/>
        <v>0</v>
      </c>
      <c r="J508" s="154">
        <f t="shared" si="12"/>
        <v>-5523.3</v>
      </c>
    </row>
    <row r="509" spans="1:10" ht="15.75">
      <c r="A509" s="77" t="s">
        <v>25</v>
      </c>
      <c r="B509" s="83" t="s">
        <v>513</v>
      </c>
      <c r="C509" s="57" t="s">
        <v>105</v>
      </c>
      <c r="D509" s="57" t="s">
        <v>124</v>
      </c>
      <c r="E509" s="57" t="s">
        <v>191</v>
      </c>
      <c r="F509" s="60">
        <v>391.2</v>
      </c>
      <c r="G509" s="153">
        <f>SUM(Ведомственная!G800)</f>
        <v>391.2</v>
      </c>
      <c r="I509" s="154">
        <f t="shared" si="13"/>
        <v>0</v>
      </c>
      <c r="J509" s="154">
        <f t="shared" si="12"/>
        <v>-391.2</v>
      </c>
    </row>
    <row r="510" spans="1:11" ht="31.5">
      <c r="A510" s="77" t="s">
        <v>323</v>
      </c>
      <c r="B510" s="57" t="s">
        <v>324</v>
      </c>
      <c r="C510" s="57"/>
      <c r="D510" s="57"/>
      <c r="E510" s="57"/>
      <c r="F510" s="60">
        <f>F511+F517+F531+F535</f>
        <v>93320.40000000001</v>
      </c>
      <c r="H510" s="155">
        <f>SUM(G511:G556)</f>
        <v>93320.40000000001</v>
      </c>
      <c r="I510" s="154">
        <f t="shared" si="13"/>
        <v>-93320.40000000001</v>
      </c>
      <c r="J510" s="154">
        <f t="shared" si="12"/>
        <v>0</v>
      </c>
      <c r="K510" s="31">
        <f>Ведомственная!G577+Ведомственная!G348</f>
        <v>93320.40000000001</v>
      </c>
    </row>
    <row r="511" spans="1:11" ht="31.5">
      <c r="A511" s="77" t="s">
        <v>425</v>
      </c>
      <c r="B511" s="57" t="s">
        <v>325</v>
      </c>
      <c r="C511" s="57"/>
      <c r="D511" s="57"/>
      <c r="E511" s="57"/>
      <c r="F511" s="60">
        <f>F512</f>
        <v>5631.1</v>
      </c>
      <c r="I511" s="154">
        <f t="shared" si="13"/>
        <v>-5631.1</v>
      </c>
      <c r="J511" s="154">
        <f t="shared" si="12"/>
        <v>-5631.1</v>
      </c>
      <c r="K511" s="40">
        <f>K510-F510</f>
        <v>0</v>
      </c>
    </row>
    <row r="512" spans="1:10" ht="31.5">
      <c r="A512" s="77" t="s">
        <v>48</v>
      </c>
      <c r="B512" s="57" t="s">
        <v>326</v>
      </c>
      <c r="C512" s="57"/>
      <c r="D512" s="57"/>
      <c r="E512" s="57"/>
      <c r="F512" s="60">
        <f>F513</f>
        <v>5631.1</v>
      </c>
      <c r="I512" s="154">
        <f t="shared" si="13"/>
        <v>-5631.1</v>
      </c>
      <c r="J512" s="154">
        <f t="shared" si="12"/>
        <v>-5631.1</v>
      </c>
    </row>
    <row r="513" spans="1:10" ht="15.75">
      <c r="A513" s="77" t="s">
        <v>327</v>
      </c>
      <c r="B513" s="57" t="s">
        <v>328</v>
      </c>
      <c r="C513" s="57"/>
      <c r="D513" s="57"/>
      <c r="E513" s="57"/>
      <c r="F513" s="60">
        <f>F514+F515+F516</f>
        <v>5631.1</v>
      </c>
      <c r="I513" s="154">
        <f t="shared" si="13"/>
        <v>-5631.1</v>
      </c>
      <c r="J513" s="154">
        <f t="shared" si="12"/>
        <v>-5631.1</v>
      </c>
    </row>
    <row r="514" spans="1:10" ht="63">
      <c r="A514" s="51" t="s">
        <v>54</v>
      </c>
      <c r="B514" s="57" t="s">
        <v>328</v>
      </c>
      <c r="C514" s="57" t="s">
        <v>98</v>
      </c>
      <c r="D514" s="57" t="s">
        <v>188</v>
      </c>
      <c r="E514" s="57" t="s">
        <v>37</v>
      </c>
      <c r="F514" s="60">
        <v>5023.2</v>
      </c>
      <c r="G514" s="153">
        <f>SUM(Ведомственная!G581)</f>
        <v>5023.2</v>
      </c>
      <c r="I514" s="154">
        <f t="shared" si="13"/>
        <v>0</v>
      </c>
      <c r="J514" s="154">
        <f t="shared" si="12"/>
        <v>-5023.2</v>
      </c>
    </row>
    <row r="515" spans="1:10" ht="31.5">
      <c r="A515" s="77" t="s">
        <v>55</v>
      </c>
      <c r="B515" s="57" t="s">
        <v>328</v>
      </c>
      <c r="C515" s="57" t="s">
        <v>100</v>
      </c>
      <c r="D515" s="57" t="s">
        <v>188</v>
      </c>
      <c r="E515" s="57" t="s">
        <v>37</v>
      </c>
      <c r="F515" s="58">
        <v>606.1</v>
      </c>
      <c r="G515" s="153">
        <f>SUM(Ведомственная!G582)</f>
        <v>606.1</v>
      </c>
      <c r="I515" s="154">
        <f t="shared" si="13"/>
        <v>0</v>
      </c>
      <c r="J515" s="154">
        <f t="shared" si="12"/>
        <v>-606.1</v>
      </c>
    </row>
    <row r="516" spans="1:10" ht="15.75">
      <c r="A516" s="77" t="s">
        <v>25</v>
      </c>
      <c r="B516" s="57" t="s">
        <v>328</v>
      </c>
      <c r="C516" s="57" t="s">
        <v>105</v>
      </c>
      <c r="D516" s="57" t="s">
        <v>188</v>
      </c>
      <c r="E516" s="57" t="s">
        <v>37</v>
      </c>
      <c r="F516" s="60">
        <v>1.8</v>
      </c>
      <c r="G516" s="153">
        <f>SUM(Ведомственная!G583)</f>
        <v>1.8</v>
      </c>
      <c r="I516" s="154">
        <f t="shared" si="13"/>
        <v>0</v>
      </c>
      <c r="J516" s="154">
        <f t="shared" si="12"/>
        <v>-1.8</v>
      </c>
    </row>
    <row r="517" spans="1:10" ht="31.5">
      <c r="A517" s="77" t="s">
        <v>341</v>
      </c>
      <c r="B517" s="57" t="s">
        <v>329</v>
      </c>
      <c r="C517" s="57"/>
      <c r="D517" s="57"/>
      <c r="E517" s="57"/>
      <c r="F517" s="60">
        <f>F518</f>
        <v>5733</v>
      </c>
      <c r="I517" s="154">
        <f t="shared" si="13"/>
        <v>-5733</v>
      </c>
      <c r="J517" s="154">
        <f t="shared" si="12"/>
        <v>-5733</v>
      </c>
    </row>
    <row r="518" spans="1:10" ht="15.75">
      <c r="A518" s="77" t="s">
        <v>38</v>
      </c>
      <c r="B518" s="57" t="s">
        <v>426</v>
      </c>
      <c r="C518" s="57"/>
      <c r="D518" s="57"/>
      <c r="E518" s="57"/>
      <c r="F518" s="60">
        <f>F519+F525+F529+F523+F527</f>
        <v>5733</v>
      </c>
      <c r="I518" s="154">
        <f t="shared" si="13"/>
        <v>-5733</v>
      </c>
      <c r="J518" s="154">
        <f t="shared" si="12"/>
        <v>-5733</v>
      </c>
    </row>
    <row r="519" spans="1:10" ht="15.75">
      <c r="A519" s="77" t="s">
        <v>327</v>
      </c>
      <c r="B519" s="57" t="s">
        <v>427</v>
      </c>
      <c r="C519" s="57"/>
      <c r="D519" s="57"/>
      <c r="E519" s="57"/>
      <c r="F519" s="60">
        <f>+F520+F521+F522</f>
        <v>3424</v>
      </c>
      <c r="I519" s="154">
        <f t="shared" si="13"/>
        <v>-3424</v>
      </c>
      <c r="J519" s="154">
        <f aca="true" t="shared" si="14" ref="J519:J530">SUM(H519-F519)</f>
        <v>-3424</v>
      </c>
    </row>
    <row r="520" spans="1:10" ht="63">
      <c r="A520" s="51" t="s">
        <v>54</v>
      </c>
      <c r="B520" s="57" t="s">
        <v>427</v>
      </c>
      <c r="C520" s="57" t="s">
        <v>98</v>
      </c>
      <c r="D520" s="57" t="s">
        <v>188</v>
      </c>
      <c r="E520" s="57" t="s">
        <v>37</v>
      </c>
      <c r="F520" s="60">
        <v>1484</v>
      </c>
      <c r="G520" s="153">
        <f>SUM(Ведомственная!G587)</f>
        <v>1484</v>
      </c>
      <c r="I520" s="154">
        <f t="shared" si="13"/>
        <v>0</v>
      </c>
      <c r="J520" s="154">
        <f t="shared" si="14"/>
        <v>-1484</v>
      </c>
    </row>
    <row r="521" spans="1:10" ht="31.5">
      <c r="A521" s="77" t="s">
        <v>55</v>
      </c>
      <c r="B521" s="57" t="s">
        <v>427</v>
      </c>
      <c r="C521" s="57" t="s">
        <v>100</v>
      </c>
      <c r="D521" s="57" t="s">
        <v>188</v>
      </c>
      <c r="E521" s="57" t="s">
        <v>37</v>
      </c>
      <c r="F521" s="60">
        <v>1820</v>
      </c>
      <c r="G521" s="153">
        <f>SUM(Ведомственная!G588)</f>
        <v>1820</v>
      </c>
      <c r="I521" s="154">
        <f t="shared" si="13"/>
        <v>0</v>
      </c>
      <c r="J521" s="154">
        <f t="shared" si="14"/>
        <v>-1820</v>
      </c>
    </row>
    <row r="522" spans="1:10" ht="31.5">
      <c r="A522" s="77" t="s">
        <v>282</v>
      </c>
      <c r="B522" s="57" t="s">
        <v>427</v>
      </c>
      <c r="C522" s="57" t="s">
        <v>134</v>
      </c>
      <c r="D522" s="57" t="s">
        <v>188</v>
      </c>
      <c r="E522" s="57" t="s">
        <v>37</v>
      </c>
      <c r="F522" s="60">
        <v>120</v>
      </c>
      <c r="G522" s="153">
        <f>SUM(Ведомственная!G589)</f>
        <v>120</v>
      </c>
      <c r="I522" s="154">
        <f t="shared" si="13"/>
        <v>0</v>
      </c>
      <c r="J522" s="154">
        <f t="shared" si="14"/>
        <v>-120</v>
      </c>
    </row>
    <row r="523" spans="1:10" ht="47.25">
      <c r="A523" s="51" t="s">
        <v>682</v>
      </c>
      <c r="B523" s="80" t="s">
        <v>683</v>
      </c>
      <c r="C523" s="80"/>
      <c r="D523" s="57"/>
      <c r="E523" s="57"/>
      <c r="F523" s="60">
        <f>SUM(F524)</f>
        <v>1760</v>
      </c>
      <c r="I523" s="154">
        <f t="shared" si="13"/>
        <v>-1760</v>
      </c>
      <c r="J523" s="154"/>
    </row>
    <row r="524" spans="1:10" ht="31.5">
      <c r="A524" s="51" t="s">
        <v>282</v>
      </c>
      <c r="B524" s="80" t="s">
        <v>683</v>
      </c>
      <c r="C524" s="80" t="s">
        <v>134</v>
      </c>
      <c r="D524" s="57" t="s">
        <v>188</v>
      </c>
      <c r="E524" s="57" t="s">
        <v>37</v>
      </c>
      <c r="F524" s="60">
        <v>1760</v>
      </c>
      <c r="G524" s="153">
        <f>SUM(Ведомственная!G591)</f>
        <v>1760</v>
      </c>
      <c r="I524" s="154">
        <f t="shared" si="13"/>
        <v>0</v>
      </c>
      <c r="J524" s="154"/>
    </row>
    <row r="525" spans="1:10" ht="31.5">
      <c r="A525" s="77" t="s">
        <v>337</v>
      </c>
      <c r="B525" s="57" t="s">
        <v>428</v>
      </c>
      <c r="C525" s="57"/>
      <c r="D525" s="57"/>
      <c r="E525" s="57"/>
      <c r="F525" s="60">
        <f>F526</f>
        <v>499</v>
      </c>
      <c r="I525" s="154">
        <f t="shared" si="13"/>
        <v>-499</v>
      </c>
      <c r="J525" s="154">
        <f t="shared" si="14"/>
        <v>-499</v>
      </c>
    </row>
    <row r="526" spans="1:10" ht="31.5">
      <c r="A526" s="77" t="s">
        <v>55</v>
      </c>
      <c r="B526" s="57" t="s">
        <v>428</v>
      </c>
      <c r="C526" s="57" t="s">
        <v>100</v>
      </c>
      <c r="D526" s="57" t="s">
        <v>188</v>
      </c>
      <c r="E526" s="57" t="s">
        <v>37</v>
      </c>
      <c r="F526" s="60">
        <v>499</v>
      </c>
      <c r="G526" s="153">
        <f>SUM(Ведомственная!G593)</f>
        <v>499</v>
      </c>
      <c r="I526" s="154">
        <f t="shared" si="13"/>
        <v>0</v>
      </c>
      <c r="J526" s="154">
        <f t="shared" si="14"/>
        <v>-499</v>
      </c>
    </row>
    <row r="527" spans="1:10" ht="78.75">
      <c r="A527" s="102" t="s">
        <v>684</v>
      </c>
      <c r="B527" s="57" t="s">
        <v>685</v>
      </c>
      <c r="C527" s="57"/>
      <c r="D527" s="57"/>
      <c r="E527" s="57"/>
      <c r="F527" s="60">
        <f>SUM(F528)</f>
        <v>50</v>
      </c>
      <c r="I527" s="154">
        <f t="shared" si="13"/>
        <v>-50</v>
      </c>
      <c r="J527" s="154"/>
    </row>
    <row r="528" spans="1:10" ht="29.25" customHeight="1">
      <c r="A528" s="102" t="s">
        <v>282</v>
      </c>
      <c r="B528" s="57" t="s">
        <v>685</v>
      </c>
      <c r="C528" s="57" t="s">
        <v>134</v>
      </c>
      <c r="D528" s="57" t="s">
        <v>188</v>
      </c>
      <c r="E528" s="57" t="s">
        <v>37</v>
      </c>
      <c r="F528" s="60">
        <v>50</v>
      </c>
      <c r="G528" s="153">
        <f>SUM(Ведомственная!G595)</f>
        <v>50</v>
      </c>
      <c r="I528" s="154">
        <f t="shared" si="13"/>
        <v>0</v>
      </c>
      <c r="J528" s="154"/>
    </row>
    <row r="529" spans="1:10" ht="47.25" hidden="1">
      <c r="A529" s="77" t="s">
        <v>338</v>
      </c>
      <c r="B529" s="57" t="s">
        <v>429</v>
      </c>
      <c r="C529" s="57"/>
      <c r="D529" s="57"/>
      <c r="E529" s="57"/>
      <c r="F529" s="60">
        <f>F530</f>
        <v>0</v>
      </c>
      <c r="I529" s="154">
        <f t="shared" si="13"/>
        <v>0</v>
      </c>
      <c r="J529" s="154">
        <f t="shared" si="14"/>
        <v>0</v>
      </c>
    </row>
    <row r="530" spans="1:10" ht="31.5" hidden="1">
      <c r="A530" s="77" t="s">
        <v>282</v>
      </c>
      <c r="B530" s="57" t="s">
        <v>429</v>
      </c>
      <c r="C530" s="57" t="s">
        <v>134</v>
      </c>
      <c r="D530" s="57" t="s">
        <v>188</v>
      </c>
      <c r="E530" s="57" t="s">
        <v>37</v>
      </c>
      <c r="F530" s="60"/>
      <c r="G530" s="153">
        <f>SUM(Ведомственная!G597)</f>
        <v>0</v>
      </c>
      <c r="I530" s="154">
        <f t="shared" si="13"/>
        <v>0</v>
      </c>
      <c r="J530" s="154">
        <f t="shared" si="14"/>
        <v>0</v>
      </c>
    </row>
    <row r="531" spans="1:10" ht="78.75">
      <c r="A531" s="77" t="s">
        <v>339</v>
      </c>
      <c r="B531" s="83" t="s">
        <v>332</v>
      </c>
      <c r="C531" s="57"/>
      <c r="D531" s="57"/>
      <c r="E531" s="57"/>
      <c r="F531" s="60">
        <f>F532</f>
        <v>70364.3</v>
      </c>
      <c r="I531" s="154">
        <f t="shared" si="13"/>
        <v>-70364.3</v>
      </c>
      <c r="J531" s="154">
        <f aca="true" t="shared" si="15" ref="J531:J615">SUM(H531-F531)</f>
        <v>-70364.3</v>
      </c>
    </row>
    <row r="532" spans="1:10" ht="31.5">
      <c r="A532" s="77" t="s">
        <v>330</v>
      </c>
      <c r="B532" s="83" t="s">
        <v>430</v>
      </c>
      <c r="C532" s="57"/>
      <c r="D532" s="57"/>
      <c r="E532" s="57"/>
      <c r="F532" s="60">
        <f>F533</f>
        <v>70364.3</v>
      </c>
      <c r="I532" s="154">
        <f t="shared" si="13"/>
        <v>-70364.3</v>
      </c>
      <c r="J532" s="154">
        <f t="shared" si="15"/>
        <v>-70364.3</v>
      </c>
    </row>
    <row r="533" spans="1:10" ht="15.75">
      <c r="A533" s="77" t="s">
        <v>327</v>
      </c>
      <c r="B533" s="83" t="s">
        <v>431</v>
      </c>
      <c r="C533" s="57"/>
      <c r="D533" s="57"/>
      <c r="E533" s="57"/>
      <c r="F533" s="60">
        <f>F534</f>
        <v>70364.3</v>
      </c>
      <c r="I533" s="154">
        <f t="shared" si="13"/>
        <v>-70364.3</v>
      </c>
      <c r="J533" s="154">
        <f t="shared" si="15"/>
        <v>-70364.3</v>
      </c>
    </row>
    <row r="534" spans="1:10" ht="31.5">
      <c r="A534" s="77" t="s">
        <v>75</v>
      </c>
      <c r="B534" s="83" t="s">
        <v>431</v>
      </c>
      <c r="C534" s="57" t="s">
        <v>134</v>
      </c>
      <c r="D534" s="57" t="s">
        <v>188</v>
      </c>
      <c r="E534" s="57" t="s">
        <v>37</v>
      </c>
      <c r="F534" s="60">
        <v>70364.3</v>
      </c>
      <c r="G534" s="153">
        <f>SUM(Ведомственная!G601)</f>
        <v>70364.3</v>
      </c>
      <c r="I534" s="154">
        <f t="shared" si="13"/>
        <v>0</v>
      </c>
      <c r="J534" s="154">
        <f t="shared" si="15"/>
        <v>-70364.3</v>
      </c>
    </row>
    <row r="535" spans="1:10" ht="45" customHeight="1">
      <c r="A535" s="77" t="s">
        <v>340</v>
      </c>
      <c r="B535" s="57" t="s">
        <v>336</v>
      </c>
      <c r="C535" s="57"/>
      <c r="D535" s="57"/>
      <c r="E535" s="57"/>
      <c r="F535" s="60">
        <f>SUM(F536+F540+F538)</f>
        <v>11592</v>
      </c>
      <c r="I535" s="154">
        <f t="shared" si="13"/>
        <v>-11592</v>
      </c>
      <c r="J535" s="154">
        <f t="shared" si="15"/>
        <v>-11592</v>
      </c>
    </row>
    <row r="536" spans="1:10" ht="31.5">
      <c r="A536" s="17" t="s">
        <v>357</v>
      </c>
      <c r="B536" s="88" t="s">
        <v>421</v>
      </c>
      <c r="C536" s="88"/>
      <c r="D536" s="71"/>
      <c r="E536" s="71"/>
      <c r="F536" s="72">
        <f>SUM(F537)</f>
        <v>9322</v>
      </c>
      <c r="I536" s="154">
        <f t="shared" si="13"/>
        <v>-9322</v>
      </c>
      <c r="J536" s="154">
        <f t="shared" si="15"/>
        <v>-9322</v>
      </c>
    </row>
    <row r="537" spans="1:10" ht="31.5">
      <c r="A537" s="17" t="s">
        <v>358</v>
      </c>
      <c r="B537" s="88" t="s">
        <v>421</v>
      </c>
      <c r="C537" s="88">
        <v>400</v>
      </c>
      <c r="D537" s="57" t="s">
        <v>188</v>
      </c>
      <c r="E537" s="57" t="s">
        <v>37</v>
      </c>
      <c r="F537" s="72">
        <f>1000+8322</f>
        <v>9322</v>
      </c>
      <c r="G537" s="153">
        <f>SUM(Ведомственная!G351)</f>
        <v>9322</v>
      </c>
      <c r="I537" s="154">
        <f t="shared" si="13"/>
        <v>0</v>
      </c>
      <c r="J537" s="154">
        <f t="shared" si="15"/>
        <v>-9322</v>
      </c>
    </row>
    <row r="538" spans="1:10" ht="47.25">
      <c r="A538" s="70" t="s">
        <v>750</v>
      </c>
      <c r="B538" s="89" t="s">
        <v>751</v>
      </c>
      <c r="C538" s="89"/>
      <c r="D538" s="57"/>
      <c r="E538" s="57"/>
      <c r="F538" s="72">
        <f>SUM(F539)</f>
        <v>800</v>
      </c>
      <c r="I538" s="154"/>
      <c r="J538" s="154"/>
    </row>
    <row r="539" spans="1:10" ht="31.5">
      <c r="A539" s="70" t="s">
        <v>358</v>
      </c>
      <c r="B539" s="89" t="s">
        <v>751</v>
      </c>
      <c r="C539" s="89">
        <v>400</v>
      </c>
      <c r="D539" s="57" t="s">
        <v>188</v>
      </c>
      <c r="E539" s="57" t="s">
        <v>37</v>
      </c>
      <c r="F539" s="72">
        <v>800</v>
      </c>
      <c r="G539" s="153">
        <f>SUM(Ведомственная!G353)</f>
        <v>800</v>
      </c>
      <c r="I539" s="154"/>
      <c r="J539" s="154"/>
    </row>
    <row r="540" spans="1:10" ht="15.75">
      <c r="A540" s="77" t="s">
        <v>165</v>
      </c>
      <c r="B540" s="57" t="s">
        <v>432</v>
      </c>
      <c r="C540" s="57"/>
      <c r="D540" s="57"/>
      <c r="E540" s="57"/>
      <c r="F540" s="60">
        <f>SUM(F541+F546+F549+F552)</f>
        <v>1470</v>
      </c>
      <c r="I540" s="154">
        <f t="shared" si="13"/>
        <v>-1470</v>
      </c>
      <c r="J540" s="154">
        <f t="shared" si="15"/>
        <v>-1470</v>
      </c>
    </row>
    <row r="541" spans="1:10" ht="31.5">
      <c r="A541" s="77" t="s">
        <v>526</v>
      </c>
      <c r="B541" s="57" t="s">
        <v>527</v>
      </c>
      <c r="C541" s="57"/>
      <c r="D541" s="57"/>
      <c r="E541" s="57"/>
      <c r="F541" s="60">
        <f>F544+F542</f>
        <v>1000</v>
      </c>
      <c r="I541" s="154">
        <f t="shared" si="13"/>
        <v>-1000</v>
      </c>
      <c r="J541" s="154">
        <f t="shared" si="15"/>
        <v>-1000</v>
      </c>
    </row>
    <row r="542" spans="1:10" ht="47.25">
      <c r="A542" s="51" t="s">
        <v>682</v>
      </c>
      <c r="B542" s="80" t="s">
        <v>686</v>
      </c>
      <c r="C542" s="80"/>
      <c r="D542" s="57"/>
      <c r="E542" s="57"/>
      <c r="F542" s="60">
        <f>SUM(F543)</f>
        <v>1000</v>
      </c>
      <c r="I542" s="154"/>
      <c r="J542" s="154"/>
    </row>
    <row r="543" spans="1:10" ht="29.25" customHeight="1">
      <c r="A543" s="51" t="s">
        <v>282</v>
      </c>
      <c r="B543" s="80" t="s">
        <v>686</v>
      </c>
      <c r="C543" s="80" t="s">
        <v>134</v>
      </c>
      <c r="D543" s="57" t="s">
        <v>188</v>
      </c>
      <c r="E543" s="57" t="s">
        <v>37</v>
      </c>
      <c r="F543" s="60">
        <v>1000</v>
      </c>
      <c r="G543" s="153">
        <f>SUM(Ведомственная!G608)</f>
        <v>1000</v>
      </c>
      <c r="I543" s="154"/>
      <c r="J543" s="154"/>
    </row>
    <row r="544" spans="1:10" ht="0.75" customHeight="1" hidden="1">
      <c r="A544" s="77" t="s">
        <v>327</v>
      </c>
      <c r="B544" s="57" t="s">
        <v>528</v>
      </c>
      <c r="C544" s="57"/>
      <c r="D544" s="57"/>
      <c r="E544" s="57"/>
      <c r="F544" s="60">
        <f>F545</f>
        <v>0</v>
      </c>
      <c r="I544" s="154">
        <f t="shared" si="13"/>
        <v>0</v>
      </c>
      <c r="J544" s="154">
        <f t="shared" si="15"/>
        <v>0</v>
      </c>
    </row>
    <row r="545" spans="1:10" ht="31.5" hidden="1">
      <c r="A545" s="77" t="s">
        <v>75</v>
      </c>
      <c r="B545" s="57" t="s">
        <v>528</v>
      </c>
      <c r="C545" s="57" t="s">
        <v>134</v>
      </c>
      <c r="D545" s="57" t="s">
        <v>188</v>
      </c>
      <c r="E545" s="57" t="s">
        <v>37</v>
      </c>
      <c r="F545" s="60"/>
      <c r="G545" s="153">
        <f>SUM(Ведомственная!G606)</f>
        <v>0</v>
      </c>
      <c r="I545" s="154">
        <f t="shared" si="13"/>
        <v>0</v>
      </c>
      <c r="J545" s="154">
        <f t="shared" si="15"/>
        <v>0</v>
      </c>
    </row>
    <row r="546" spans="1:10" ht="31.5" hidden="1">
      <c r="A546" s="77" t="s">
        <v>333</v>
      </c>
      <c r="B546" s="57" t="s">
        <v>433</v>
      </c>
      <c r="C546" s="57"/>
      <c r="D546" s="57"/>
      <c r="E546" s="57"/>
      <c r="F546" s="60">
        <f>F547</f>
        <v>0</v>
      </c>
      <c r="I546" s="154">
        <f t="shared" si="13"/>
        <v>0</v>
      </c>
      <c r="J546" s="154">
        <f t="shared" si="15"/>
        <v>0</v>
      </c>
    </row>
    <row r="547" spans="1:10" ht="15.75" hidden="1">
      <c r="A547" s="77" t="s">
        <v>327</v>
      </c>
      <c r="B547" s="57" t="s">
        <v>434</v>
      </c>
      <c r="C547" s="57"/>
      <c r="D547" s="57"/>
      <c r="E547" s="57"/>
      <c r="F547" s="60">
        <f>F548</f>
        <v>0</v>
      </c>
      <c r="I547" s="154">
        <f t="shared" si="13"/>
        <v>0</v>
      </c>
      <c r="J547" s="154">
        <f t="shared" si="15"/>
        <v>0</v>
      </c>
    </row>
    <row r="548" spans="1:10" ht="31.5" hidden="1">
      <c r="A548" s="77" t="s">
        <v>75</v>
      </c>
      <c r="B548" s="57" t="s">
        <v>434</v>
      </c>
      <c r="C548" s="57" t="s">
        <v>134</v>
      </c>
      <c r="D548" s="57"/>
      <c r="E548" s="57"/>
      <c r="F548" s="60"/>
      <c r="G548" s="153">
        <f>SUM(Ведомственная!G614)</f>
        <v>0</v>
      </c>
      <c r="I548" s="154">
        <f t="shared" si="13"/>
        <v>0</v>
      </c>
      <c r="J548" s="154">
        <f t="shared" si="15"/>
        <v>0</v>
      </c>
    </row>
    <row r="549" spans="1:10" ht="31.5" hidden="1">
      <c r="A549" s="77" t="s">
        <v>334</v>
      </c>
      <c r="B549" s="57" t="s">
        <v>435</v>
      </c>
      <c r="C549" s="57"/>
      <c r="D549" s="57"/>
      <c r="E549" s="57"/>
      <c r="F549" s="60">
        <f>+F550</f>
        <v>0</v>
      </c>
      <c r="I549" s="154">
        <f t="shared" si="13"/>
        <v>0</v>
      </c>
      <c r="J549" s="154">
        <f t="shared" si="15"/>
        <v>0</v>
      </c>
    </row>
    <row r="550" spans="1:10" ht="15.75" hidden="1">
      <c r="A550" s="77" t="s">
        <v>327</v>
      </c>
      <c r="B550" s="57" t="s">
        <v>436</v>
      </c>
      <c r="C550" s="57"/>
      <c r="D550" s="57"/>
      <c r="E550" s="57"/>
      <c r="F550" s="60">
        <f>F551</f>
        <v>0</v>
      </c>
      <c r="I550" s="154">
        <f t="shared" si="13"/>
        <v>0</v>
      </c>
      <c r="J550" s="154">
        <f t="shared" si="15"/>
        <v>0</v>
      </c>
    </row>
    <row r="551" spans="1:10" ht="31.5" hidden="1">
      <c r="A551" s="77" t="s">
        <v>75</v>
      </c>
      <c r="B551" s="57" t="s">
        <v>436</v>
      </c>
      <c r="C551" s="57" t="s">
        <v>134</v>
      </c>
      <c r="D551" s="57"/>
      <c r="E551" s="57"/>
      <c r="F551" s="60"/>
      <c r="G551" s="153">
        <f>SUM(Ведомственная!G617)</f>
        <v>0</v>
      </c>
      <c r="I551" s="154">
        <f t="shared" si="13"/>
        <v>0</v>
      </c>
      <c r="J551" s="154">
        <f t="shared" si="15"/>
        <v>0</v>
      </c>
    </row>
    <row r="552" spans="1:10" ht="31.5">
      <c r="A552" s="77" t="s">
        <v>335</v>
      </c>
      <c r="B552" s="57" t="s">
        <v>437</v>
      </c>
      <c r="C552" s="57"/>
      <c r="D552" s="57"/>
      <c r="E552" s="57"/>
      <c r="F552" s="60">
        <f>+F555+F553</f>
        <v>470</v>
      </c>
      <c r="I552" s="154">
        <f t="shared" si="13"/>
        <v>-470</v>
      </c>
      <c r="J552" s="154">
        <f t="shared" si="15"/>
        <v>-470</v>
      </c>
    </row>
    <row r="553" spans="1:10" ht="47.25">
      <c r="A553" s="51" t="s">
        <v>682</v>
      </c>
      <c r="B553" s="80" t="s">
        <v>687</v>
      </c>
      <c r="C553" s="80"/>
      <c r="D553" s="57"/>
      <c r="E553" s="57"/>
      <c r="F553" s="60">
        <f>SUM(F554)</f>
        <v>470</v>
      </c>
      <c r="I553" s="154"/>
      <c r="J553" s="154"/>
    </row>
    <row r="554" spans="1:10" ht="28.5" customHeight="1">
      <c r="A554" s="51" t="s">
        <v>282</v>
      </c>
      <c r="B554" s="80" t="s">
        <v>687</v>
      </c>
      <c r="C554" s="80" t="s">
        <v>134</v>
      </c>
      <c r="D554" s="57" t="s">
        <v>188</v>
      </c>
      <c r="E554" s="57" t="s">
        <v>37</v>
      </c>
      <c r="F554" s="60">
        <v>470</v>
      </c>
      <c r="G554" s="153">
        <f>SUM(Ведомственная!G620)</f>
        <v>470</v>
      </c>
      <c r="I554" s="154"/>
      <c r="J554" s="154"/>
    </row>
    <row r="555" spans="1:10" ht="15.75" hidden="1">
      <c r="A555" s="77" t="s">
        <v>327</v>
      </c>
      <c r="B555" s="57" t="s">
        <v>438</v>
      </c>
      <c r="C555" s="57"/>
      <c r="D555" s="57"/>
      <c r="E555" s="57"/>
      <c r="F555" s="60">
        <f>F556</f>
        <v>0</v>
      </c>
      <c r="I555" s="154">
        <f t="shared" si="13"/>
        <v>0</v>
      </c>
      <c r="J555" s="154">
        <f t="shared" si="15"/>
        <v>0</v>
      </c>
    </row>
    <row r="556" spans="1:10" ht="15.75" hidden="1">
      <c r="A556" s="77" t="s">
        <v>331</v>
      </c>
      <c r="B556" s="57" t="s">
        <v>438</v>
      </c>
      <c r="C556" s="57" t="s">
        <v>134</v>
      </c>
      <c r="D556" s="57" t="s">
        <v>188</v>
      </c>
      <c r="E556" s="57" t="s">
        <v>37</v>
      </c>
      <c r="F556" s="60"/>
      <c r="G556" s="153">
        <f>SUM(Ведомственная!G622)</f>
        <v>0</v>
      </c>
      <c r="I556" s="154">
        <f t="shared" si="13"/>
        <v>0</v>
      </c>
      <c r="J556" s="154">
        <f t="shared" si="15"/>
        <v>0</v>
      </c>
    </row>
    <row r="557" spans="1:10" ht="31.5">
      <c r="A557" s="51" t="s">
        <v>87</v>
      </c>
      <c r="B557" s="52" t="s">
        <v>19</v>
      </c>
      <c r="C557" s="52"/>
      <c r="D557" s="53"/>
      <c r="E557" s="53"/>
      <c r="F557" s="54">
        <f>SUM(F558+F583+F588+F598)</f>
        <v>19686.4</v>
      </c>
      <c r="G557" s="154"/>
      <c r="H557" s="159">
        <f>SUM(G558:G602)</f>
        <v>19686.399999999998</v>
      </c>
      <c r="I557" s="154">
        <f t="shared" si="13"/>
        <v>-19686.4</v>
      </c>
      <c r="J557" s="154">
        <f t="shared" si="15"/>
        <v>-3.637978807091713E-12</v>
      </c>
    </row>
    <row r="558" spans="1:10" ht="47.25">
      <c r="A558" s="51" t="s">
        <v>88</v>
      </c>
      <c r="B558" s="52" t="s">
        <v>20</v>
      </c>
      <c r="C558" s="52"/>
      <c r="D558" s="53"/>
      <c r="E558" s="53"/>
      <c r="F558" s="54">
        <f>F572+F559+F575</f>
        <v>13530.800000000001</v>
      </c>
      <c r="G558" s="154"/>
      <c r="I558" s="154">
        <f t="shared" si="13"/>
        <v>-13530.800000000001</v>
      </c>
      <c r="J558" s="154">
        <f t="shared" si="15"/>
        <v>-13530.800000000001</v>
      </c>
    </row>
    <row r="559" spans="1:10" ht="15.75">
      <c r="A559" s="51" t="s">
        <v>38</v>
      </c>
      <c r="B559" s="52" t="s">
        <v>39</v>
      </c>
      <c r="C559" s="52"/>
      <c r="D559" s="53"/>
      <c r="E559" s="53"/>
      <c r="F559" s="54">
        <f>SUM(F560+F563+F568)</f>
        <v>11291.800000000001</v>
      </c>
      <c r="I559" s="154">
        <f t="shared" si="13"/>
        <v>-11291.800000000001</v>
      </c>
      <c r="J559" s="154">
        <f t="shared" si="15"/>
        <v>-11291.800000000001</v>
      </c>
    </row>
    <row r="560" spans="1:10" ht="15.75">
      <c r="A560" s="51" t="s">
        <v>41</v>
      </c>
      <c r="B560" s="52" t="s">
        <v>42</v>
      </c>
      <c r="C560" s="52"/>
      <c r="D560" s="53"/>
      <c r="E560" s="53"/>
      <c r="F560" s="54">
        <f>F561</f>
        <v>7468.3</v>
      </c>
      <c r="I560" s="154">
        <f t="shared" si="13"/>
        <v>-7468.3</v>
      </c>
      <c r="J560" s="154">
        <f t="shared" si="15"/>
        <v>-7468.3</v>
      </c>
    </row>
    <row r="561" spans="1:10" ht="31.5">
      <c r="A561" s="51" t="s">
        <v>43</v>
      </c>
      <c r="B561" s="52" t="s">
        <v>44</v>
      </c>
      <c r="C561" s="52"/>
      <c r="D561" s="53"/>
      <c r="E561" s="53"/>
      <c r="F561" s="54">
        <f>F562</f>
        <v>7468.3</v>
      </c>
      <c r="I561" s="154">
        <f t="shared" si="13"/>
        <v>-7468.3</v>
      </c>
      <c r="J561" s="154">
        <f t="shared" si="15"/>
        <v>-7468.3</v>
      </c>
    </row>
    <row r="562" spans="1:10" ht="15.75">
      <c r="A562" s="51" t="s">
        <v>45</v>
      </c>
      <c r="B562" s="52" t="s">
        <v>44</v>
      </c>
      <c r="C562" s="52">
        <v>300</v>
      </c>
      <c r="D562" s="53" t="s">
        <v>34</v>
      </c>
      <c r="E562" s="53" t="s">
        <v>37</v>
      </c>
      <c r="F562" s="54">
        <v>7468.3</v>
      </c>
      <c r="G562" s="153">
        <f>SUM(Ведомственная!G414)</f>
        <v>7468.3</v>
      </c>
      <c r="I562" s="154">
        <f t="shared" si="13"/>
        <v>0</v>
      </c>
      <c r="J562" s="154">
        <f t="shared" si="15"/>
        <v>-7468.3</v>
      </c>
    </row>
    <row r="563" spans="1:10" ht="15.75">
      <c r="A563" s="51" t="s">
        <v>58</v>
      </c>
      <c r="B563" s="52" t="s">
        <v>59</v>
      </c>
      <c r="C563" s="52"/>
      <c r="D563" s="53"/>
      <c r="E563" s="53"/>
      <c r="F563" s="54">
        <f>F564+F566</f>
        <v>2602.1000000000004</v>
      </c>
      <c r="I563" s="154">
        <f t="shared" si="13"/>
        <v>-2602.1000000000004</v>
      </c>
      <c r="J563" s="154">
        <f t="shared" si="15"/>
        <v>-2602.1000000000004</v>
      </c>
    </row>
    <row r="564" spans="1:10" ht="15.75">
      <c r="A564" s="51" t="s">
        <v>60</v>
      </c>
      <c r="B564" s="52" t="s">
        <v>61</v>
      </c>
      <c r="C564" s="52"/>
      <c r="D564" s="53"/>
      <c r="E564" s="53"/>
      <c r="F564" s="54">
        <f>F565</f>
        <v>1218.7</v>
      </c>
      <c r="I564" s="154">
        <f t="shared" si="13"/>
        <v>-1218.7</v>
      </c>
      <c r="J564" s="154">
        <f t="shared" si="15"/>
        <v>-1218.7</v>
      </c>
    </row>
    <row r="565" spans="1:10" ht="15.75">
      <c r="A565" s="51" t="s">
        <v>45</v>
      </c>
      <c r="B565" s="52" t="s">
        <v>61</v>
      </c>
      <c r="C565" s="52">
        <v>300</v>
      </c>
      <c r="D565" s="53" t="s">
        <v>34</v>
      </c>
      <c r="E565" s="53" t="s">
        <v>57</v>
      </c>
      <c r="F565" s="54">
        <v>1218.7</v>
      </c>
      <c r="G565" s="153">
        <f>SUM(Ведомственная!G492)</f>
        <v>1218.7</v>
      </c>
      <c r="I565" s="154">
        <f t="shared" si="13"/>
        <v>0</v>
      </c>
      <c r="J565" s="154">
        <f t="shared" si="15"/>
        <v>-1218.7</v>
      </c>
    </row>
    <row r="566" spans="1:10" ht="31.5">
      <c r="A566" s="51" t="s">
        <v>62</v>
      </c>
      <c r="B566" s="52" t="s">
        <v>63</v>
      </c>
      <c r="C566" s="52"/>
      <c r="D566" s="53"/>
      <c r="E566" s="53"/>
      <c r="F566" s="54">
        <f>F567</f>
        <v>1383.4</v>
      </c>
      <c r="I566" s="154">
        <f t="shared" si="13"/>
        <v>-1383.4</v>
      </c>
      <c r="J566" s="154">
        <f t="shared" si="15"/>
        <v>-1383.4</v>
      </c>
    </row>
    <row r="567" spans="1:10" ht="15.75">
      <c r="A567" s="51" t="s">
        <v>45</v>
      </c>
      <c r="B567" s="52" t="s">
        <v>63</v>
      </c>
      <c r="C567" s="52">
        <v>300</v>
      </c>
      <c r="D567" s="53" t="s">
        <v>34</v>
      </c>
      <c r="E567" s="53" t="s">
        <v>57</v>
      </c>
      <c r="F567" s="54">
        <v>1383.4</v>
      </c>
      <c r="G567" s="153">
        <f>SUM(Ведомственная!G494)</f>
        <v>1383.4</v>
      </c>
      <c r="I567" s="154">
        <f t="shared" si="13"/>
        <v>0</v>
      </c>
      <c r="J567" s="154">
        <f t="shared" si="15"/>
        <v>-1383.4</v>
      </c>
    </row>
    <row r="568" spans="1:10" ht="31.5">
      <c r="A568" s="51" t="s">
        <v>64</v>
      </c>
      <c r="B568" s="52" t="s">
        <v>65</v>
      </c>
      <c r="C568" s="52"/>
      <c r="D568" s="53"/>
      <c r="E568" s="53"/>
      <c r="F568" s="54">
        <f>F569</f>
        <v>1221.4</v>
      </c>
      <c r="I568" s="154">
        <f t="shared" si="13"/>
        <v>-1221.4</v>
      </c>
      <c r="J568" s="154">
        <f t="shared" si="15"/>
        <v>-1221.4</v>
      </c>
    </row>
    <row r="569" spans="1:10" ht="15.75">
      <c r="A569" s="51" t="s">
        <v>66</v>
      </c>
      <c r="B569" s="52" t="s">
        <v>67</v>
      </c>
      <c r="C569" s="52"/>
      <c r="D569" s="53"/>
      <c r="E569" s="53"/>
      <c r="F569" s="54">
        <f>F570+F571</f>
        <v>1221.4</v>
      </c>
      <c r="I569" s="154">
        <f t="shared" si="13"/>
        <v>-1221.4</v>
      </c>
      <c r="J569" s="154">
        <f t="shared" si="15"/>
        <v>-1221.4</v>
      </c>
    </row>
    <row r="570" spans="1:10" ht="31.5">
      <c r="A570" s="51" t="s">
        <v>55</v>
      </c>
      <c r="B570" s="52" t="s">
        <v>67</v>
      </c>
      <c r="C570" s="52">
        <v>200</v>
      </c>
      <c r="D570" s="53" t="s">
        <v>34</v>
      </c>
      <c r="E570" s="53" t="s">
        <v>57</v>
      </c>
      <c r="F570" s="54">
        <v>819.4</v>
      </c>
      <c r="G570" s="153">
        <f>SUM(Ведомственная!G497)</f>
        <v>819.4</v>
      </c>
      <c r="I570" s="154">
        <f t="shared" si="13"/>
        <v>0</v>
      </c>
      <c r="J570" s="154">
        <f t="shared" si="15"/>
        <v>-819.4</v>
      </c>
    </row>
    <row r="571" spans="1:10" ht="15.75">
      <c r="A571" s="51" t="s">
        <v>45</v>
      </c>
      <c r="B571" s="52" t="s">
        <v>67</v>
      </c>
      <c r="C571" s="52">
        <v>300</v>
      </c>
      <c r="D571" s="53" t="s">
        <v>34</v>
      </c>
      <c r="E571" s="53" t="s">
        <v>57</v>
      </c>
      <c r="F571" s="54">
        <v>402</v>
      </c>
      <c r="G571" s="153">
        <f>SUM(Ведомственная!G498)</f>
        <v>402</v>
      </c>
      <c r="I571" s="154">
        <f t="shared" si="13"/>
        <v>0</v>
      </c>
      <c r="J571" s="154">
        <f t="shared" si="15"/>
        <v>-402</v>
      </c>
    </row>
    <row r="572" spans="1:10" ht="47.25">
      <c r="A572" s="51" t="s">
        <v>21</v>
      </c>
      <c r="B572" s="52" t="s">
        <v>22</v>
      </c>
      <c r="C572" s="52"/>
      <c r="D572" s="53"/>
      <c r="E572" s="53"/>
      <c r="F572" s="54">
        <f>SUM(F573)</f>
        <v>0</v>
      </c>
      <c r="I572" s="154">
        <f t="shared" si="13"/>
        <v>0</v>
      </c>
      <c r="J572" s="154">
        <f t="shared" si="15"/>
        <v>0</v>
      </c>
    </row>
    <row r="573" spans="1:10" ht="15.75">
      <c r="A573" s="51" t="s">
        <v>23</v>
      </c>
      <c r="B573" s="52" t="s">
        <v>24</v>
      </c>
      <c r="C573" s="52"/>
      <c r="D573" s="53"/>
      <c r="E573" s="53"/>
      <c r="F573" s="54">
        <f>F574</f>
        <v>0</v>
      </c>
      <c r="I573" s="154">
        <f aca="true" t="shared" si="16" ref="I573:I639">G573-F573</f>
        <v>0</v>
      </c>
      <c r="J573" s="154">
        <f t="shared" si="15"/>
        <v>0</v>
      </c>
    </row>
    <row r="574" spans="1:10" ht="15.75">
      <c r="A574" s="51" t="s">
        <v>25</v>
      </c>
      <c r="B574" s="52" t="s">
        <v>24</v>
      </c>
      <c r="C574" s="52">
        <v>800</v>
      </c>
      <c r="D574" s="53" t="s">
        <v>16</v>
      </c>
      <c r="E574" s="53" t="s">
        <v>18</v>
      </c>
      <c r="F574" s="54">
        <v>0</v>
      </c>
      <c r="G574" s="153">
        <f>SUM(Ведомственная!G401)</f>
        <v>0</v>
      </c>
      <c r="I574" s="154">
        <f t="shared" si="16"/>
        <v>0</v>
      </c>
      <c r="J574" s="154">
        <f t="shared" si="15"/>
        <v>0</v>
      </c>
    </row>
    <row r="575" spans="1:10" ht="31.5">
      <c r="A575" s="51" t="s">
        <v>48</v>
      </c>
      <c r="B575" s="52" t="s">
        <v>49</v>
      </c>
      <c r="C575" s="52"/>
      <c r="D575" s="53"/>
      <c r="E575" s="53"/>
      <c r="F575" s="54">
        <f>SUM(F576+F580)</f>
        <v>2239</v>
      </c>
      <c r="I575" s="154">
        <f t="shared" si="16"/>
        <v>-2239</v>
      </c>
      <c r="J575" s="154">
        <f t="shared" si="15"/>
        <v>-2239</v>
      </c>
    </row>
    <row r="576" spans="1:10" ht="15.75">
      <c r="A576" s="51" t="s">
        <v>50</v>
      </c>
      <c r="B576" s="52" t="s">
        <v>51</v>
      </c>
      <c r="C576" s="52"/>
      <c r="D576" s="53"/>
      <c r="E576" s="53"/>
      <c r="F576" s="54">
        <f>F577</f>
        <v>2200</v>
      </c>
      <c r="I576" s="154">
        <f t="shared" si="16"/>
        <v>-2200</v>
      </c>
      <c r="J576" s="154">
        <f t="shared" si="15"/>
        <v>-2200</v>
      </c>
    </row>
    <row r="577" spans="1:10" ht="47.25">
      <c r="A577" s="51" t="s">
        <v>52</v>
      </c>
      <c r="B577" s="52" t="s">
        <v>53</v>
      </c>
      <c r="C577" s="52"/>
      <c r="D577" s="53"/>
      <c r="E577" s="53"/>
      <c r="F577" s="54">
        <f>F578+F579</f>
        <v>2200</v>
      </c>
      <c r="I577" s="154">
        <f t="shared" si="16"/>
        <v>-2200</v>
      </c>
      <c r="J577" s="154">
        <f t="shared" si="15"/>
        <v>-2200</v>
      </c>
    </row>
    <row r="578" spans="1:10" ht="63">
      <c r="A578" s="51" t="s">
        <v>54</v>
      </c>
      <c r="B578" s="52" t="s">
        <v>53</v>
      </c>
      <c r="C578" s="52">
        <v>100</v>
      </c>
      <c r="D578" s="53" t="s">
        <v>34</v>
      </c>
      <c r="E578" s="53" t="s">
        <v>47</v>
      </c>
      <c r="F578" s="54">
        <v>1190</v>
      </c>
      <c r="G578" s="153">
        <f>SUM(Ведомственная!G428)</f>
        <v>1190</v>
      </c>
      <c r="I578" s="154">
        <f t="shared" si="16"/>
        <v>0</v>
      </c>
      <c r="J578" s="154">
        <f t="shared" si="15"/>
        <v>-1190</v>
      </c>
    </row>
    <row r="579" spans="1:10" ht="31.5">
      <c r="A579" s="51" t="s">
        <v>55</v>
      </c>
      <c r="B579" s="52" t="s">
        <v>53</v>
      </c>
      <c r="C579" s="52">
        <v>200</v>
      </c>
      <c r="D579" s="53" t="s">
        <v>34</v>
      </c>
      <c r="E579" s="53" t="s">
        <v>47</v>
      </c>
      <c r="F579" s="54">
        <v>1010</v>
      </c>
      <c r="G579" s="153">
        <f>SUM(Ведомственная!G429)</f>
        <v>1010</v>
      </c>
      <c r="I579" s="154">
        <f t="shared" si="16"/>
        <v>0</v>
      </c>
      <c r="J579" s="154">
        <f t="shared" si="15"/>
        <v>-1010</v>
      </c>
    </row>
    <row r="580" spans="1:10" ht="15.75">
      <c r="A580" s="51" t="s">
        <v>714</v>
      </c>
      <c r="B580" s="52" t="s">
        <v>715</v>
      </c>
      <c r="C580" s="52"/>
      <c r="D580" s="53"/>
      <c r="E580" s="53"/>
      <c r="F580" s="54">
        <f>SUM(F581)</f>
        <v>39</v>
      </c>
      <c r="I580" s="154"/>
      <c r="J580" s="154"/>
    </row>
    <row r="581" spans="1:10" ht="47.25">
      <c r="A581" s="51" t="s">
        <v>52</v>
      </c>
      <c r="B581" s="52" t="s">
        <v>716</v>
      </c>
      <c r="C581" s="52"/>
      <c r="D581" s="53"/>
      <c r="E581" s="53"/>
      <c r="F581" s="54">
        <f>SUM(F582)</f>
        <v>39</v>
      </c>
      <c r="I581" s="154"/>
      <c r="J581" s="154"/>
    </row>
    <row r="582" spans="1:10" ht="31.5">
      <c r="A582" s="51" t="s">
        <v>55</v>
      </c>
      <c r="B582" s="52" t="s">
        <v>716</v>
      </c>
      <c r="C582" s="52">
        <v>200</v>
      </c>
      <c r="D582" s="53" t="s">
        <v>34</v>
      </c>
      <c r="E582" s="53" t="s">
        <v>16</v>
      </c>
      <c r="F582" s="54">
        <v>39</v>
      </c>
      <c r="G582" s="153">
        <f>SUM(Ведомственная!G550)</f>
        <v>39</v>
      </c>
      <c r="I582" s="154"/>
      <c r="J582" s="154"/>
    </row>
    <row r="583" spans="1:10" ht="15.75">
      <c r="A583" s="51" t="s">
        <v>90</v>
      </c>
      <c r="B583" s="52" t="s">
        <v>68</v>
      </c>
      <c r="C583" s="52"/>
      <c r="D583" s="53"/>
      <c r="E583" s="53"/>
      <c r="F583" s="54">
        <f>F584</f>
        <v>150.5</v>
      </c>
      <c r="I583" s="154">
        <f t="shared" si="16"/>
        <v>-150.5</v>
      </c>
      <c r="J583" s="154">
        <f t="shared" si="15"/>
        <v>-150.5</v>
      </c>
    </row>
    <row r="584" spans="1:10" ht="15.75">
      <c r="A584" s="51" t="s">
        <v>38</v>
      </c>
      <c r="B584" s="52" t="s">
        <v>69</v>
      </c>
      <c r="C584" s="52"/>
      <c r="D584" s="53"/>
      <c r="E584" s="53"/>
      <c r="F584" s="54">
        <f>F585</f>
        <v>150.5</v>
      </c>
      <c r="I584" s="154">
        <f t="shared" si="16"/>
        <v>-150.5</v>
      </c>
      <c r="J584" s="154">
        <f t="shared" si="15"/>
        <v>-150.5</v>
      </c>
    </row>
    <row r="585" spans="1:10" ht="15.75">
      <c r="A585" s="51" t="s">
        <v>40</v>
      </c>
      <c r="B585" s="52" t="s">
        <v>70</v>
      </c>
      <c r="C585" s="52"/>
      <c r="D585" s="53"/>
      <c r="E585" s="53"/>
      <c r="F585" s="54">
        <f>F586+F587</f>
        <v>150.5</v>
      </c>
      <c r="I585" s="154">
        <f t="shared" si="16"/>
        <v>-150.5</v>
      </c>
      <c r="J585" s="154">
        <f t="shared" si="15"/>
        <v>-150.5</v>
      </c>
    </row>
    <row r="586" spans="1:10" ht="31.5">
      <c r="A586" s="51" t="s">
        <v>55</v>
      </c>
      <c r="B586" s="52" t="s">
        <v>70</v>
      </c>
      <c r="C586" s="52">
        <v>200</v>
      </c>
      <c r="D586" s="53" t="s">
        <v>34</v>
      </c>
      <c r="E586" s="53" t="s">
        <v>57</v>
      </c>
      <c r="F586" s="54">
        <v>83.5</v>
      </c>
      <c r="G586" s="153">
        <f>SUM(Ведомственная!G502)</f>
        <v>83.5</v>
      </c>
      <c r="I586" s="154">
        <f t="shared" si="16"/>
        <v>0</v>
      </c>
      <c r="J586" s="154">
        <f t="shared" si="15"/>
        <v>-83.5</v>
      </c>
    </row>
    <row r="587" spans="1:10" ht="15.75">
      <c r="A587" s="51" t="s">
        <v>45</v>
      </c>
      <c r="B587" s="52" t="s">
        <v>70</v>
      </c>
      <c r="C587" s="52">
        <v>300</v>
      </c>
      <c r="D587" s="53" t="s">
        <v>34</v>
      </c>
      <c r="E587" s="53" t="s">
        <v>57</v>
      </c>
      <c r="F587" s="54">
        <v>67</v>
      </c>
      <c r="G587" s="153">
        <f>SUM(Ведомственная!G503)</f>
        <v>67</v>
      </c>
      <c r="I587" s="154">
        <f t="shared" si="16"/>
        <v>0</v>
      </c>
      <c r="J587" s="154">
        <f t="shared" si="15"/>
        <v>-67</v>
      </c>
    </row>
    <row r="588" spans="1:10" ht="15.75">
      <c r="A588" s="51" t="s">
        <v>91</v>
      </c>
      <c r="B588" s="52" t="s">
        <v>71</v>
      </c>
      <c r="C588" s="52"/>
      <c r="D588" s="53"/>
      <c r="E588" s="53"/>
      <c r="F588" s="54">
        <f>F594+F589+F591</f>
        <v>2400</v>
      </c>
      <c r="I588" s="154">
        <f t="shared" si="16"/>
        <v>-2400</v>
      </c>
      <c r="J588" s="154">
        <f t="shared" si="15"/>
        <v>-2400</v>
      </c>
    </row>
    <row r="589" spans="1:10" ht="15.75">
      <c r="A589" s="51" t="s">
        <v>40</v>
      </c>
      <c r="B589" s="52" t="s">
        <v>649</v>
      </c>
      <c r="C589" s="52"/>
      <c r="D589" s="53"/>
      <c r="E589" s="53"/>
      <c r="F589" s="54">
        <f>SUM(F590)</f>
        <v>1113.2</v>
      </c>
      <c r="I589" s="154">
        <f t="shared" si="16"/>
        <v>-1113.2</v>
      </c>
      <c r="J589" s="154"/>
    </row>
    <row r="590" spans="1:10" ht="31.5">
      <c r="A590" s="51" t="s">
        <v>55</v>
      </c>
      <c r="B590" s="52" t="s">
        <v>649</v>
      </c>
      <c r="C590" s="52">
        <v>200</v>
      </c>
      <c r="D590" s="53" t="s">
        <v>34</v>
      </c>
      <c r="E590" s="53" t="s">
        <v>81</v>
      </c>
      <c r="F590" s="54">
        <f>1500-386.8</f>
        <v>1113.2</v>
      </c>
      <c r="G590" s="153">
        <f>SUM(Ведомственная!G330)</f>
        <v>1113.2</v>
      </c>
      <c r="I590" s="154">
        <f t="shared" si="16"/>
        <v>0</v>
      </c>
      <c r="J590" s="154">
        <f t="shared" si="15"/>
        <v>-1113.2</v>
      </c>
    </row>
    <row r="591" spans="1:10" ht="15.75">
      <c r="A591" s="51" t="s">
        <v>38</v>
      </c>
      <c r="B591" s="52" t="s">
        <v>677</v>
      </c>
      <c r="C591" s="52"/>
      <c r="D591" s="67"/>
      <c r="E591" s="67"/>
      <c r="F591" s="54">
        <f>F592</f>
        <v>411.8</v>
      </c>
      <c r="I591" s="154">
        <f t="shared" si="16"/>
        <v>-411.8</v>
      </c>
      <c r="J591" s="154"/>
    </row>
    <row r="592" spans="1:10" ht="15.75">
      <c r="A592" s="51" t="s">
        <v>40</v>
      </c>
      <c r="B592" s="52" t="s">
        <v>678</v>
      </c>
      <c r="C592" s="52"/>
      <c r="D592" s="67"/>
      <c r="E592" s="67"/>
      <c r="F592" s="54">
        <f>SUM(F593)</f>
        <v>411.8</v>
      </c>
      <c r="I592" s="154">
        <f t="shared" si="16"/>
        <v>-411.8</v>
      </c>
      <c r="J592" s="154"/>
    </row>
    <row r="593" spans="1:10" ht="31.5">
      <c r="A593" s="51" t="s">
        <v>55</v>
      </c>
      <c r="B593" s="52" t="s">
        <v>678</v>
      </c>
      <c r="C593" s="52">
        <v>200</v>
      </c>
      <c r="D593" s="53" t="s">
        <v>34</v>
      </c>
      <c r="E593" s="53" t="s">
        <v>57</v>
      </c>
      <c r="F593" s="54">
        <v>411.8</v>
      </c>
      <c r="G593" s="153">
        <f>SUM(Ведомственная!G507)</f>
        <v>411.8</v>
      </c>
      <c r="I593" s="154">
        <f t="shared" si="16"/>
        <v>0</v>
      </c>
      <c r="J593" s="154"/>
    </row>
    <row r="594" spans="1:10" ht="31.5">
      <c r="A594" s="51" t="s">
        <v>72</v>
      </c>
      <c r="B594" s="52" t="s">
        <v>73</v>
      </c>
      <c r="C594" s="52"/>
      <c r="D594" s="53"/>
      <c r="E594" s="53"/>
      <c r="F594" s="54">
        <f>F595</f>
        <v>875</v>
      </c>
      <c r="I594" s="154">
        <f t="shared" si="16"/>
        <v>-875</v>
      </c>
      <c r="J594" s="154">
        <f t="shared" si="15"/>
        <v>-875</v>
      </c>
    </row>
    <row r="595" spans="1:10" ht="14.25" customHeight="1">
      <c r="A595" s="51" t="s">
        <v>40</v>
      </c>
      <c r="B595" s="52" t="s">
        <v>74</v>
      </c>
      <c r="C595" s="52"/>
      <c r="D595" s="53"/>
      <c r="E595" s="53"/>
      <c r="F595" s="54">
        <f>SUM(F596:F597)</f>
        <v>875</v>
      </c>
      <c r="I595" s="154">
        <f t="shared" si="16"/>
        <v>-875</v>
      </c>
      <c r="J595" s="154">
        <f t="shared" si="15"/>
        <v>-875</v>
      </c>
    </row>
    <row r="596" spans="1:10" ht="31.5" hidden="1">
      <c r="A596" s="51" t="s">
        <v>55</v>
      </c>
      <c r="B596" s="52" t="s">
        <v>74</v>
      </c>
      <c r="C596" s="52">
        <v>200</v>
      </c>
      <c r="D596" s="53" t="s">
        <v>34</v>
      </c>
      <c r="E596" s="53" t="s">
        <v>57</v>
      </c>
      <c r="F596" s="54"/>
      <c r="G596" s="153">
        <f>SUM(Ведомственная!G510)</f>
        <v>0</v>
      </c>
      <c r="I596" s="154">
        <f t="shared" si="16"/>
        <v>0</v>
      </c>
      <c r="J596" s="154">
        <f t="shared" si="15"/>
        <v>0</v>
      </c>
    </row>
    <row r="597" spans="1:10" ht="31.5">
      <c r="A597" s="51" t="s">
        <v>75</v>
      </c>
      <c r="B597" s="52" t="s">
        <v>74</v>
      </c>
      <c r="C597" s="52">
        <v>600</v>
      </c>
      <c r="D597" s="53" t="s">
        <v>34</v>
      </c>
      <c r="E597" s="53" t="s">
        <v>57</v>
      </c>
      <c r="F597" s="54">
        <v>875</v>
      </c>
      <c r="G597" s="153">
        <f>SUM(Ведомственная!G511)</f>
        <v>875</v>
      </c>
      <c r="I597" s="154">
        <f t="shared" si="16"/>
        <v>0</v>
      </c>
      <c r="J597" s="154">
        <f t="shared" si="15"/>
        <v>-875</v>
      </c>
    </row>
    <row r="598" spans="1:10" ht="47.25">
      <c r="A598" s="51" t="s">
        <v>93</v>
      </c>
      <c r="B598" s="52" t="s">
        <v>82</v>
      </c>
      <c r="C598" s="52"/>
      <c r="D598" s="53"/>
      <c r="E598" s="53"/>
      <c r="F598" s="54">
        <f>F599</f>
        <v>3605.1</v>
      </c>
      <c r="I598" s="154">
        <f t="shared" si="16"/>
        <v>-3605.1</v>
      </c>
      <c r="J598" s="154">
        <f t="shared" si="15"/>
        <v>-3605.1</v>
      </c>
    </row>
    <row r="599" spans="1:10" ht="47.25">
      <c r="A599" s="51" t="s">
        <v>83</v>
      </c>
      <c r="B599" s="52" t="s">
        <v>84</v>
      </c>
      <c r="C599" s="52"/>
      <c r="D599" s="53"/>
      <c r="E599" s="53"/>
      <c r="F599" s="54">
        <f>F600</f>
        <v>3605.1</v>
      </c>
      <c r="I599" s="154">
        <f t="shared" si="16"/>
        <v>-3605.1</v>
      </c>
      <c r="J599" s="154">
        <f t="shared" si="15"/>
        <v>-3605.1</v>
      </c>
    </row>
    <row r="600" spans="1:10" ht="15.75">
      <c r="A600" s="51" t="s">
        <v>85</v>
      </c>
      <c r="B600" s="52" t="s">
        <v>86</v>
      </c>
      <c r="C600" s="52"/>
      <c r="D600" s="53"/>
      <c r="E600" s="53"/>
      <c r="F600" s="54">
        <f>F601+F602</f>
        <v>3605.1</v>
      </c>
      <c r="I600" s="154">
        <f t="shared" si="16"/>
        <v>-3605.1</v>
      </c>
      <c r="J600" s="154">
        <f t="shared" si="15"/>
        <v>-3605.1</v>
      </c>
    </row>
    <row r="601" spans="1:10" ht="63">
      <c r="A601" s="51" t="s">
        <v>54</v>
      </c>
      <c r="B601" s="52" t="s">
        <v>86</v>
      </c>
      <c r="C601" s="52">
        <v>100</v>
      </c>
      <c r="D601" s="53" t="s">
        <v>34</v>
      </c>
      <c r="E601" s="53" t="s">
        <v>81</v>
      </c>
      <c r="F601" s="54">
        <v>3593.1</v>
      </c>
      <c r="G601" s="153">
        <f>SUM(Ведомственная!G572)</f>
        <v>3593.1</v>
      </c>
      <c r="I601" s="154">
        <f t="shared" si="16"/>
        <v>0</v>
      </c>
      <c r="J601" s="154">
        <f t="shared" si="15"/>
        <v>-3593.1</v>
      </c>
    </row>
    <row r="602" spans="1:10" ht="31.5">
      <c r="A602" s="51" t="s">
        <v>55</v>
      </c>
      <c r="B602" s="52" t="s">
        <v>86</v>
      </c>
      <c r="C602" s="52">
        <v>200</v>
      </c>
      <c r="D602" s="53" t="s">
        <v>34</v>
      </c>
      <c r="E602" s="53" t="s">
        <v>81</v>
      </c>
      <c r="F602" s="54">
        <v>12</v>
      </c>
      <c r="G602" s="153">
        <f>SUM(Ведомственная!G573)</f>
        <v>12</v>
      </c>
      <c r="I602" s="154">
        <f t="shared" si="16"/>
        <v>0</v>
      </c>
      <c r="J602" s="154">
        <f t="shared" si="15"/>
        <v>-12</v>
      </c>
    </row>
    <row r="603" spans="1:10" ht="78.75">
      <c r="A603" s="51" t="s">
        <v>89</v>
      </c>
      <c r="B603" s="52" t="s">
        <v>28</v>
      </c>
      <c r="C603" s="52"/>
      <c r="D603" s="53"/>
      <c r="E603" s="53"/>
      <c r="F603" s="54">
        <f>F604+F607</f>
        <v>22060</v>
      </c>
      <c r="H603" s="155">
        <f>SUM(G606:G613)</f>
        <v>22060</v>
      </c>
      <c r="I603" s="154">
        <f t="shared" si="16"/>
        <v>-22060</v>
      </c>
      <c r="J603" s="154">
        <f t="shared" si="15"/>
        <v>0</v>
      </c>
    </row>
    <row r="604" spans="1:10" ht="47.25">
      <c r="A604" s="51" t="s">
        <v>29</v>
      </c>
      <c r="B604" s="52" t="s">
        <v>30</v>
      </c>
      <c r="C604" s="52"/>
      <c r="D604" s="53"/>
      <c r="E604" s="53"/>
      <c r="F604" s="54">
        <f>SUM(F605)</f>
        <v>21766.8</v>
      </c>
      <c r="I604" s="154">
        <f t="shared" si="16"/>
        <v>-21766.8</v>
      </c>
      <c r="J604" s="154">
        <f t="shared" si="15"/>
        <v>-21766.8</v>
      </c>
    </row>
    <row r="605" spans="1:10" ht="47.25">
      <c r="A605" s="51" t="s">
        <v>31</v>
      </c>
      <c r="B605" s="52" t="s">
        <v>32</v>
      </c>
      <c r="C605" s="52"/>
      <c r="D605" s="53"/>
      <c r="E605" s="53"/>
      <c r="F605" s="54">
        <f>F606</f>
        <v>21766.8</v>
      </c>
      <c r="I605" s="154">
        <f t="shared" si="16"/>
        <v>-21766.8</v>
      </c>
      <c r="J605" s="154">
        <f t="shared" si="15"/>
        <v>-21766.8</v>
      </c>
    </row>
    <row r="606" spans="1:10" ht="31.5">
      <c r="A606" s="51" t="s">
        <v>75</v>
      </c>
      <c r="B606" s="52" t="s">
        <v>32</v>
      </c>
      <c r="C606" s="52">
        <v>600</v>
      </c>
      <c r="D606" s="53" t="s">
        <v>34</v>
      </c>
      <c r="E606" s="53" t="s">
        <v>81</v>
      </c>
      <c r="F606" s="54">
        <v>21766.8</v>
      </c>
      <c r="G606" s="153">
        <f>SUM(Ведомственная!G335)</f>
        <v>21766.8</v>
      </c>
      <c r="I606" s="154">
        <f t="shared" si="16"/>
        <v>0</v>
      </c>
      <c r="J606" s="154">
        <f t="shared" si="15"/>
        <v>-21766.8</v>
      </c>
    </row>
    <row r="607" spans="1:10" ht="15.75">
      <c r="A607" s="51" t="s">
        <v>165</v>
      </c>
      <c r="B607" s="52" t="s">
        <v>679</v>
      </c>
      <c r="C607" s="52"/>
      <c r="D607" s="67"/>
      <c r="E607" s="53"/>
      <c r="F607" s="54">
        <f>SUM(F608)+F611</f>
        <v>293.2</v>
      </c>
      <c r="I607" s="154">
        <f t="shared" si="16"/>
        <v>-293.2</v>
      </c>
      <c r="J607" s="154"/>
    </row>
    <row r="608" spans="1:10" ht="31.5">
      <c r="A608" s="51" t="s">
        <v>334</v>
      </c>
      <c r="B608" s="52" t="s">
        <v>680</v>
      </c>
      <c r="C608" s="52"/>
      <c r="D608" s="67"/>
      <c r="E608" s="53"/>
      <c r="F608" s="54">
        <f>SUM(F609)</f>
        <v>212.9</v>
      </c>
      <c r="I608" s="154">
        <f t="shared" si="16"/>
        <v>-212.9</v>
      </c>
      <c r="J608" s="154"/>
    </row>
    <row r="609" spans="1:10" ht="47.25">
      <c r="A609" s="51" t="s">
        <v>31</v>
      </c>
      <c r="B609" s="52" t="s">
        <v>680</v>
      </c>
      <c r="C609" s="52"/>
      <c r="D609" s="67"/>
      <c r="E609" s="53"/>
      <c r="F609" s="54">
        <f>SUM(F610)</f>
        <v>212.9</v>
      </c>
      <c r="I609" s="154">
        <f t="shared" si="16"/>
        <v>-212.9</v>
      </c>
      <c r="J609" s="154"/>
    </row>
    <row r="610" spans="1:10" ht="31.5">
      <c r="A610" s="51" t="s">
        <v>75</v>
      </c>
      <c r="B610" s="52" t="s">
        <v>680</v>
      </c>
      <c r="C610" s="52">
        <v>600</v>
      </c>
      <c r="D610" s="53" t="s">
        <v>34</v>
      </c>
      <c r="E610" s="53" t="s">
        <v>81</v>
      </c>
      <c r="F610" s="54">
        <v>212.9</v>
      </c>
      <c r="G610" s="153">
        <f>SUM(Ведомственная!G339)</f>
        <v>212.9</v>
      </c>
      <c r="I610" s="154">
        <f t="shared" si="16"/>
        <v>0</v>
      </c>
      <c r="J610" s="154"/>
    </row>
    <row r="611" spans="1:10" ht="31.5">
      <c r="A611" s="51" t="s">
        <v>335</v>
      </c>
      <c r="B611" s="52" t="s">
        <v>681</v>
      </c>
      <c r="C611" s="52"/>
      <c r="D611" s="67"/>
      <c r="E611" s="53"/>
      <c r="F611" s="54">
        <f>SUM(F612)</f>
        <v>80.3</v>
      </c>
      <c r="I611" s="154">
        <f t="shared" si="16"/>
        <v>-80.3</v>
      </c>
      <c r="J611" s="154"/>
    </row>
    <row r="612" spans="1:10" ht="47.25">
      <c r="A612" s="51" t="s">
        <v>31</v>
      </c>
      <c r="B612" s="52" t="s">
        <v>681</v>
      </c>
      <c r="C612" s="52"/>
      <c r="D612" s="67"/>
      <c r="E612" s="53"/>
      <c r="F612" s="54">
        <f>SUM(F613)</f>
        <v>80.3</v>
      </c>
      <c r="I612" s="154">
        <f t="shared" si="16"/>
        <v>-80.3</v>
      </c>
      <c r="J612" s="154"/>
    </row>
    <row r="613" spans="1:10" ht="31.5">
      <c r="A613" s="51" t="s">
        <v>75</v>
      </c>
      <c r="B613" s="52" t="s">
        <v>681</v>
      </c>
      <c r="C613" s="52">
        <v>600</v>
      </c>
      <c r="D613" s="53" t="s">
        <v>34</v>
      </c>
      <c r="E613" s="53" t="s">
        <v>81</v>
      </c>
      <c r="F613" s="54">
        <v>80.3</v>
      </c>
      <c r="G613" s="153">
        <f>SUM(Ведомственная!G342)</f>
        <v>80.3</v>
      </c>
      <c r="I613" s="154">
        <f t="shared" si="16"/>
        <v>0</v>
      </c>
      <c r="J613" s="154"/>
    </row>
    <row r="614" spans="1:10" ht="63">
      <c r="A614" s="51" t="s">
        <v>92</v>
      </c>
      <c r="B614" s="52" t="s">
        <v>76</v>
      </c>
      <c r="C614" s="52"/>
      <c r="D614" s="53"/>
      <c r="E614" s="53"/>
      <c r="F614" s="54">
        <f>F615</f>
        <v>3600</v>
      </c>
      <c r="H614" s="153">
        <f>SUM(G615:G617)</f>
        <v>3600</v>
      </c>
      <c r="I614" s="154">
        <f t="shared" si="16"/>
        <v>-3600</v>
      </c>
      <c r="J614" s="154">
        <f t="shared" si="15"/>
        <v>0</v>
      </c>
    </row>
    <row r="615" spans="1:10" ht="15.75">
      <c r="A615" s="51" t="s">
        <v>38</v>
      </c>
      <c r="B615" s="52" t="s">
        <v>77</v>
      </c>
      <c r="C615" s="52"/>
      <c r="D615" s="53"/>
      <c r="E615" s="53"/>
      <c r="F615" s="54">
        <f>SUM(F616)</f>
        <v>3600</v>
      </c>
      <c r="I615" s="154">
        <f t="shared" si="16"/>
        <v>-3600</v>
      </c>
      <c r="J615" s="154">
        <f t="shared" si="15"/>
        <v>-3600</v>
      </c>
    </row>
    <row r="616" spans="1:10" ht="31.5">
      <c r="A616" s="51" t="s">
        <v>78</v>
      </c>
      <c r="B616" s="52" t="s">
        <v>79</v>
      </c>
      <c r="C616" s="52"/>
      <c r="D616" s="53"/>
      <c r="E616" s="53"/>
      <c r="F616" s="54">
        <f>F617</f>
        <v>3600</v>
      </c>
      <c r="I616" s="154">
        <f t="shared" si="16"/>
        <v>-3600</v>
      </c>
      <c r="J616" s="154">
        <f aca="true" t="shared" si="17" ref="J616:J691">SUM(H616-F616)</f>
        <v>-3600</v>
      </c>
    </row>
    <row r="617" spans="1:10" ht="31.5">
      <c r="A617" s="51" t="s">
        <v>55</v>
      </c>
      <c r="B617" s="52" t="s">
        <v>79</v>
      </c>
      <c r="C617" s="52">
        <v>200</v>
      </c>
      <c r="D617" s="53" t="s">
        <v>34</v>
      </c>
      <c r="E617" s="53" t="s">
        <v>57</v>
      </c>
      <c r="F617" s="54">
        <v>3600</v>
      </c>
      <c r="G617" s="153">
        <f>SUM(Ведомственная!G515)</f>
        <v>3600</v>
      </c>
      <c r="I617" s="154">
        <f t="shared" si="16"/>
        <v>0</v>
      </c>
      <c r="J617" s="154">
        <f t="shared" si="17"/>
        <v>-3600</v>
      </c>
    </row>
    <row r="618" spans="1:10" ht="31.5">
      <c r="A618" s="51" t="s">
        <v>275</v>
      </c>
      <c r="B618" s="52" t="s">
        <v>276</v>
      </c>
      <c r="C618" s="52"/>
      <c r="D618" s="53"/>
      <c r="E618" s="53"/>
      <c r="F618" s="54">
        <f>SUM(F619:F620)</f>
        <v>632.4</v>
      </c>
      <c r="H618" s="153">
        <f>SUM(G619:G620)</f>
        <v>632.4</v>
      </c>
      <c r="I618" s="154">
        <f t="shared" si="16"/>
        <v>-632.4</v>
      </c>
      <c r="J618" s="154">
        <f t="shared" si="17"/>
        <v>0</v>
      </c>
    </row>
    <row r="619" spans="1:10" ht="31.5">
      <c r="A619" s="51" t="s">
        <v>55</v>
      </c>
      <c r="B619" s="52" t="s">
        <v>276</v>
      </c>
      <c r="C619" s="52">
        <v>200</v>
      </c>
      <c r="D619" s="53" t="s">
        <v>37</v>
      </c>
      <c r="E619" s="53">
        <v>13</v>
      </c>
      <c r="F619" s="54">
        <v>482.4</v>
      </c>
      <c r="G619" s="153">
        <f>SUM(Ведомственная!G120)</f>
        <v>482.4</v>
      </c>
      <c r="I619" s="154">
        <f t="shared" si="16"/>
        <v>0</v>
      </c>
      <c r="J619" s="154">
        <f t="shared" si="17"/>
        <v>-482.4</v>
      </c>
    </row>
    <row r="620" spans="1:10" ht="15.75">
      <c r="A620" s="51" t="s">
        <v>45</v>
      </c>
      <c r="B620" s="52" t="s">
        <v>276</v>
      </c>
      <c r="C620" s="52">
        <v>300</v>
      </c>
      <c r="D620" s="53" t="s">
        <v>37</v>
      </c>
      <c r="E620" s="53">
        <v>13</v>
      </c>
      <c r="F620" s="54">
        <v>150</v>
      </c>
      <c r="G620" s="153">
        <f>SUM(Ведомственная!G121)</f>
        <v>150</v>
      </c>
      <c r="I620" s="154">
        <f t="shared" si="16"/>
        <v>0</v>
      </c>
      <c r="J620" s="154">
        <f t="shared" si="17"/>
        <v>-150</v>
      </c>
    </row>
    <row r="621" spans="1:10" ht="31.5">
      <c r="A621" s="49" t="s">
        <v>218</v>
      </c>
      <c r="B621" s="82" t="s">
        <v>219</v>
      </c>
      <c r="C621" s="52"/>
      <c r="D621" s="53"/>
      <c r="E621" s="53"/>
      <c r="F621" s="90">
        <f>SUM(F622+F624)</f>
        <v>45575.6</v>
      </c>
      <c r="H621" s="153">
        <f>SUM(G623:G635)</f>
        <v>45575.6</v>
      </c>
      <c r="I621" s="154">
        <f t="shared" si="16"/>
        <v>-45575.6</v>
      </c>
      <c r="J621" s="154">
        <f t="shared" si="17"/>
        <v>0</v>
      </c>
    </row>
    <row r="622" spans="1:10" ht="21.75" customHeight="1">
      <c r="A622" s="77" t="s">
        <v>232</v>
      </c>
      <c r="B622" s="82" t="s">
        <v>233</v>
      </c>
      <c r="C622" s="52"/>
      <c r="D622" s="53"/>
      <c r="E622" s="53"/>
      <c r="F622" s="52">
        <f>SUM(F623)</f>
        <v>14305.2</v>
      </c>
      <c r="I622" s="154">
        <f t="shared" si="16"/>
        <v>-14305.2</v>
      </c>
      <c r="J622" s="154">
        <f t="shared" si="17"/>
        <v>-14305.2</v>
      </c>
    </row>
    <row r="623" spans="1:10" ht="20.25" customHeight="1">
      <c r="A623" s="91" t="s">
        <v>234</v>
      </c>
      <c r="B623" s="82" t="s">
        <v>233</v>
      </c>
      <c r="C623" s="52">
        <v>700</v>
      </c>
      <c r="D623" s="53" t="s">
        <v>103</v>
      </c>
      <c r="E623" s="53" t="s">
        <v>37</v>
      </c>
      <c r="F623" s="52">
        <v>14305.2</v>
      </c>
      <c r="G623" s="153">
        <f>SUM(Ведомственная!G393)</f>
        <v>14305.2</v>
      </c>
      <c r="I623" s="154">
        <f t="shared" si="16"/>
        <v>0</v>
      </c>
      <c r="J623" s="154">
        <f t="shared" si="17"/>
        <v>-14305.2</v>
      </c>
    </row>
    <row r="624" spans="1:10" ht="47.25">
      <c r="A624" s="77" t="s">
        <v>83</v>
      </c>
      <c r="B624" s="53" t="s">
        <v>220</v>
      </c>
      <c r="C624" s="76"/>
      <c r="D624" s="76"/>
      <c r="E624" s="76"/>
      <c r="F624" s="90">
        <f>SUM(F625+F628+F631+F633)</f>
        <v>31270.399999999998</v>
      </c>
      <c r="I624" s="154">
        <f t="shared" si="16"/>
        <v>-31270.399999999998</v>
      </c>
      <c r="J624" s="154">
        <f t="shared" si="17"/>
        <v>-31270.399999999998</v>
      </c>
    </row>
    <row r="625" spans="1:10" ht="15.75">
      <c r="A625" s="77" t="s">
        <v>85</v>
      </c>
      <c r="B625" s="53" t="s">
        <v>221</v>
      </c>
      <c r="C625" s="76"/>
      <c r="D625" s="76"/>
      <c r="E625" s="76"/>
      <c r="F625" s="90">
        <f>SUM(F626:F627)</f>
        <v>23748.3</v>
      </c>
      <c r="I625" s="154">
        <f t="shared" si="16"/>
        <v>-23748.3</v>
      </c>
      <c r="J625" s="154">
        <f t="shared" si="17"/>
        <v>-23748.3</v>
      </c>
    </row>
    <row r="626" spans="1:10" ht="63">
      <c r="A626" s="51" t="s">
        <v>54</v>
      </c>
      <c r="B626" s="53" t="s">
        <v>221</v>
      </c>
      <c r="C626" s="76" t="s">
        <v>98</v>
      </c>
      <c r="D626" s="76" t="s">
        <v>37</v>
      </c>
      <c r="E626" s="76" t="s">
        <v>81</v>
      </c>
      <c r="F626" s="90">
        <v>23740.7</v>
      </c>
      <c r="G626" s="153">
        <f>SUM(Ведомственная!G364)</f>
        <v>23740.7</v>
      </c>
      <c r="I626" s="154">
        <f t="shared" si="16"/>
        <v>0</v>
      </c>
      <c r="J626" s="154">
        <f t="shared" si="17"/>
        <v>-23740.7</v>
      </c>
    </row>
    <row r="627" spans="1:10" ht="31.5">
      <c r="A627" s="51" t="s">
        <v>55</v>
      </c>
      <c r="B627" s="53" t="s">
        <v>221</v>
      </c>
      <c r="C627" s="76" t="s">
        <v>100</v>
      </c>
      <c r="D627" s="76" t="s">
        <v>37</v>
      </c>
      <c r="E627" s="76" t="s">
        <v>81</v>
      </c>
      <c r="F627" s="90">
        <v>7.6</v>
      </c>
      <c r="G627" s="153">
        <f>SUM(Ведомственная!G365)</f>
        <v>7.6</v>
      </c>
      <c r="I627" s="154">
        <f t="shared" si="16"/>
        <v>0</v>
      </c>
      <c r="J627" s="154">
        <f t="shared" si="17"/>
        <v>-7.6</v>
      </c>
    </row>
    <row r="628" spans="1:10" ht="15.75">
      <c r="A628" s="77" t="s">
        <v>104</v>
      </c>
      <c r="B628" s="82" t="s">
        <v>224</v>
      </c>
      <c r="C628" s="52"/>
      <c r="D628" s="53"/>
      <c r="E628" s="53"/>
      <c r="F628" s="90">
        <f>SUM(F629:F630)</f>
        <v>213.3</v>
      </c>
      <c r="I628" s="154">
        <f t="shared" si="16"/>
        <v>-213.3</v>
      </c>
      <c r="J628" s="154">
        <f t="shared" si="17"/>
        <v>-213.3</v>
      </c>
    </row>
    <row r="629" spans="1:10" ht="31.5">
      <c r="A629" s="51" t="s">
        <v>55</v>
      </c>
      <c r="B629" s="82" t="s">
        <v>224</v>
      </c>
      <c r="C629" s="52">
        <v>200</v>
      </c>
      <c r="D629" s="53" t="s">
        <v>37</v>
      </c>
      <c r="E629" s="53" t="s">
        <v>103</v>
      </c>
      <c r="F629" s="90">
        <v>211.3</v>
      </c>
      <c r="G629" s="153">
        <f>SUM(Ведомственная!G374)</f>
        <v>211.3</v>
      </c>
      <c r="I629" s="154">
        <f t="shared" si="16"/>
        <v>0</v>
      </c>
      <c r="J629" s="154">
        <f t="shared" si="17"/>
        <v>-211.3</v>
      </c>
    </row>
    <row r="630" spans="1:10" ht="15.75">
      <c r="A630" s="77" t="s">
        <v>25</v>
      </c>
      <c r="B630" s="82" t="s">
        <v>224</v>
      </c>
      <c r="C630" s="52">
        <v>800</v>
      </c>
      <c r="D630" s="53" t="s">
        <v>37</v>
      </c>
      <c r="E630" s="53" t="s">
        <v>103</v>
      </c>
      <c r="F630" s="90">
        <v>2</v>
      </c>
      <c r="G630" s="153">
        <f>SUM(Ведомственная!G375)</f>
        <v>2</v>
      </c>
      <c r="I630" s="154">
        <f t="shared" si="16"/>
        <v>0</v>
      </c>
      <c r="J630" s="154">
        <f t="shared" si="17"/>
        <v>-2</v>
      </c>
    </row>
    <row r="631" spans="1:10" ht="31.5">
      <c r="A631" s="77" t="s">
        <v>106</v>
      </c>
      <c r="B631" s="82" t="s">
        <v>225</v>
      </c>
      <c r="C631" s="52"/>
      <c r="D631" s="53"/>
      <c r="E631" s="53"/>
      <c r="F631" s="90">
        <f>SUM(F632)</f>
        <v>300.6</v>
      </c>
      <c r="I631" s="154">
        <f t="shared" si="16"/>
        <v>-300.6</v>
      </c>
      <c r="J631" s="154">
        <f t="shared" si="17"/>
        <v>-300.6</v>
      </c>
    </row>
    <row r="632" spans="1:10" ht="31.5">
      <c r="A632" s="51" t="s">
        <v>55</v>
      </c>
      <c r="B632" s="82" t="s">
        <v>225</v>
      </c>
      <c r="C632" s="52">
        <v>200</v>
      </c>
      <c r="D632" s="53" t="s">
        <v>37</v>
      </c>
      <c r="E632" s="53" t="s">
        <v>103</v>
      </c>
      <c r="F632" s="90">
        <v>300.6</v>
      </c>
      <c r="G632" s="153">
        <f>SUM(Ведомственная!G377)</f>
        <v>300.6</v>
      </c>
      <c r="I632" s="154">
        <f t="shared" si="16"/>
        <v>0</v>
      </c>
      <c r="J632" s="154">
        <f t="shared" si="17"/>
        <v>-300.6</v>
      </c>
    </row>
    <row r="633" spans="1:10" ht="31.5">
      <c r="A633" s="77" t="s">
        <v>107</v>
      </c>
      <c r="B633" s="82" t="s">
        <v>226</v>
      </c>
      <c r="C633" s="52"/>
      <c r="D633" s="53"/>
      <c r="E633" s="53"/>
      <c r="F633" s="90">
        <f>SUM(F634:F635)</f>
        <v>7008.2</v>
      </c>
      <c r="I633" s="154">
        <f t="shared" si="16"/>
        <v>-7008.2</v>
      </c>
      <c r="J633" s="154">
        <f t="shared" si="17"/>
        <v>-7008.2</v>
      </c>
    </row>
    <row r="634" spans="1:10" ht="31.5">
      <c r="A634" s="51" t="s">
        <v>55</v>
      </c>
      <c r="B634" s="82" t="s">
        <v>226</v>
      </c>
      <c r="C634" s="52">
        <v>200</v>
      </c>
      <c r="D634" s="53" t="s">
        <v>37</v>
      </c>
      <c r="E634" s="53" t="s">
        <v>103</v>
      </c>
      <c r="F634" s="90">
        <v>7008.2</v>
      </c>
      <c r="G634" s="153">
        <f>SUM(Ведомственная!G379)</f>
        <v>7008.2</v>
      </c>
      <c r="I634" s="154">
        <f t="shared" si="16"/>
        <v>0</v>
      </c>
      <c r="J634" s="154">
        <f t="shared" si="17"/>
        <v>-7008.2</v>
      </c>
    </row>
    <row r="635" spans="1:10" ht="15.75" hidden="1">
      <c r="A635" s="77" t="s">
        <v>25</v>
      </c>
      <c r="B635" s="82" t="s">
        <v>226</v>
      </c>
      <c r="C635" s="52">
        <v>800</v>
      </c>
      <c r="D635" s="53"/>
      <c r="E635" s="53"/>
      <c r="F635" s="90"/>
      <c r="G635" s="153">
        <f>SUM(Ведомственная!G380)</f>
        <v>0</v>
      </c>
      <c r="I635" s="154">
        <f t="shared" si="16"/>
        <v>0</v>
      </c>
      <c r="J635" s="154">
        <f t="shared" si="17"/>
        <v>0</v>
      </c>
    </row>
    <row r="636" spans="1:10" ht="31.5">
      <c r="A636" s="51" t="s">
        <v>277</v>
      </c>
      <c r="B636" s="52" t="s">
        <v>278</v>
      </c>
      <c r="C636" s="52"/>
      <c r="D636" s="53"/>
      <c r="E636" s="53"/>
      <c r="F636" s="54">
        <f>SUM(F637)</f>
        <v>133</v>
      </c>
      <c r="H636" s="153">
        <f>SUM(G637)</f>
        <v>133</v>
      </c>
      <c r="I636" s="154">
        <f t="shared" si="16"/>
        <v>-133</v>
      </c>
      <c r="J636" s="154">
        <f t="shared" si="17"/>
        <v>0</v>
      </c>
    </row>
    <row r="637" spans="1:10" ht="31.5">
      <c r="A637" s="51" t="s">
        <v>55</v>
      </c>
      <c r="B637" s="52" t="s">
        <v>278</v>
      </c>
      <c r="C637" s="52">
        <v>200</v>
      </c>
      <c r="D637" s="53" t="s">
        <v>37</v>
      </c>
      <c r="E637" s="53">
        <v>13</v>
      </c>
      <c r="F637" s="54">
        <v>133</v>
      </c>
      <c r="G637" s="153">
        <f>SUM(Ведомственная!G123)</f>
        <v>133</v>
      </c>
      <c r="I637" s="154">
        <f t="shared" si="16"/>
        <v>0</v>
      </c>
      <c r="J637" s="154">
        <f t="shared" si="17"/>
        <v>-133</v>
      </c>
    </row>
    <row r="638" spans="1:10" ht="47.25">
      <c r="A638" s="51" t="s">
        <v>279</v>
      </c>
      <c r="B638" s="52" t="s">
        <v>280</v>
      </c>
      <c r="C638" s="52"/>
      <c r="D638" s="53"/>
      <c r="E638" s="53"/>
      <c r="F638" s="54">
        <f>SUM(F639+F642)+F649</f>
        <v>3072.2000000000003</v>
      </c>
      <c r="H638" s="153">
        <f>SUM(G641:G651)</f>
        <v>3072.2000000000003</v>
      </c>
      <c r="I638" s="154">
        <f t="shared" si="16"/>
        <v>-3072.2000000000003</v>
      </c>
      <c r="J638" s="154">
        <f t="shared" si="17"/>
        <v>0</v>
      </c>
    </row>
    <row r="639" spans="1:10" ht="94.5">
      <c r="A639" s="92" t="s">
        <v>245</v>
      </c>
      <c r="B639" s="52" t="s">
        <v>534</v>
      </c>
      <c r="C639" s="52"/>
      <c r="D639" s="53"/>
      <c r="E639" s="53"/>
      <c r="F639" s="54">
        <f>SUM(F640)</f>
        <v>87.4</v>
      </c>
      <c r="I639" s="154">
        <f t="shared" si="16"/>
        <v>-87.4</v>
      </c>
      <c r="J639" s="154">
        <f t="shared" si="17"/>
        <v>-87.4</v>
      </c>
    </row>
    <row r="640" spans="1:10" ht="47.25">
      <c r="A640" s="77" t="s">
        <v>533</v>
      </c>
      <c r="B640" s="52" t="s">
        <v>535</v>
      </c>
      <c r="C640" s="52"/>
      <c r="D640" s="53"/>
      <c r="E640" s="53"/>
      <c r="F640" s="54">
        <f>SUM(F641)</f>
        <v>87.4</v>
      </c>
      <c r="I640" s="154">
        <f aca="true" t="shared" si="18" ref="I640:I697">G640-F640</f>
        <v>-87.4</v>
      </c>
      <c r="J640" s="154">
        <f t="shared" si="17"/>
        <v>-87.4</v>
      </c>
    </row>
    <row r="641" spans="1:10" ht="31.5">
      <c r="A641" s="77" t="s">
        <v>282</v>
      </c>
      <c r="B641" s="52" t="s">
        <v>535</v>
      </c>
      <c r="C641" s="52">
        <v>600</v>
      </c>
      <c r="D641" s="53" t="s">
        <v>37</v>
      </c>
      <c r="E641" s="53">
        <v>13</v>
      </c>
      <c r="F641" s="54">
        <v>87.4</v>
      </c>
      <c r="G641" s="153">
        <f>SUM(Ведомственная!G127)</f>
        <v>87.4</v>
      </c>
      <c r="I641" s="154">
        <f t="shared" si="18"/>
        <v>0</v>
      </c>
      <c r="J641" s="154">
        <f t="shared" si="17"/>
        <v>-87.4</v>
      </c>
    </row>
    <row r="642" spans="1:10" ht="47.25">
      <c r="A642" s="51" t="s">
        <v>29</v>
      </c>
      <c r="B642" s="52" t="s">
        <v>281</v>
      </c>
      <c r="C642" s="52"/>
      <c r="D642" s="53"/>
      <c r="E642" s="53"/>
      <c r="F642" s="54">
        <f>SUM(F643)</f>
        <v>2712.3</v>
      </c>
      <c r="I642" s="154">
        <f t="shared" si="18"/>
        <v>-2712.3</v>
      </c>
      <c r="J642" s="154">
        <f t="shared" si="17"/>
        <v>-2712.3</v>
      </c>
    </row>
    <row r="643" spans="1:10" ht="31.5">
      <c r="A643" s="51" t="s">
        <v>282</v>
      </c>
      <c r="B643" s="52" t="s">
        <v>281</v>
      </c>
      <c r="C643" s="52">
        <v>600</v>
      </c>
      <c r="D643" s="53" t="s">
        <v>37</v>
      </c>
      <c r="E643" s="53">
        <v>13</v>
      </c>
      <c r="F643" s="54">
        <v>2712.3</v>
      </c>
      <c r="G643" s="153">
        <f>SUM(Ведомственная!G129)</f>
        <v>2712.3</v>
      </c>
      <c r="I643" s="154">
        <f t="shared" si="18"/>
        <v>0</v>
      </c>
      <c r="J643" s="154">
        <f t="shared" si="17"/>
        <v>-2712.3</v>
      </c>
    </row>
    <row r="644" spans="1:10" ht="47.25" hidden="1">
      <c r="A644" s="51" t="s">
        <v>706</v>
      </c>
      <c r="B644" s="52" t="s">
        <v>708</v>
      </c>
      <c r="C644" s="52"/>
      <c r="D644" s="53"/>
      <c r="E644" s="53"/>
      <c r="F644" s="54">
        <f>SUM(F645)</f>
        <v>0</v>
      </c>
      <c r="H644" s="153">
        <f>SUM(G644:G648)</f>
        <v>0</v>
      </c>
      <c r="I644" s="154"/>
      <c r="J644" s="154"/>
    </row>
    <row r="645" spans="1:10" ht="15.75" hidden="1">
      <c r="A645" s="51" t="s">
        <v>38</v>
      </c>
      <c r="B645" s="52" t="s">
        <v>709</v>
      </c>
      <c r="C645" s="52"/>
      <c r="D645" s="53"/>
      <c r="E645" s="53"/>
      <c r="F645" s="54">
        <f>SUM(F646)</f>
        <v>0</v>
      </c>
      <c r="I645" s="154"/>
      <c r="J645" s="154"/>
    </row>
    <row r="646" spans="1:10" ht="15.75" hidden="1">
      <c r="A646" s="51" t="s">
        <v>58</v>
      </c>
      <c r="B646" s="52" t="s">
        <v>710</v>
      </c>
      <c r="C646" s="52"/>
      <c r="D646" s="53"/>
      <c r="E646" s="53"/>
      <c r="F646" s="54">
        <f>SUM(F647)</f>
        <v>0</v>
      </c>
      <c r="I646" s="154"/>
      <c r="J646" s="154"/>
    </row>
    <row r="647" spans="1:10" ht="94.5" hidden="1">
      <c r="A647" s="51" t="s">
        <v>707</v>
      </c>
      <c r="B647" s="52" t="s">
        <v>711</v>
      </c>
      <c r="C647" s="52"/>
      <c r="D647" s="53"/>
      <c r="E647" s="53"/>
      <c r="F647" s="54">
        <f>SUM(F648)</f>
        <v>0</v>
      </c>
      <c r="I647" s="154"/>
      <c r="J647" s="154"/>
    </row>
    <row r="648" spans="1:10" ht="15.75" hidden="1">
      <c r="A648" s="51" t="s">
        <v>45</v>
      </c>
      <c r="B648" s="52" t="s">
        <v>711</v>
      </c>
      <c r="C648" s="52">
        <v>300</v>
      </c>
      <c r="D648" s="53" t="s">
        <v>34</v>
      </c>
      <c r="E648" s="53" t="s">
        <v>57</v>
      </c>
      <c r="F648" s="54"/>
      <c r="G648" s="153">
        <f>SUM(Ведомственная!G520)</f>
        <v>0</v>
      </c>
      <c r="I648" s="154"/>
      <c r="J648" s="154"/>
    </row>
    <row r="649" spans="1:10" ht="15.75">
      <c r="A649" s="117" t="s">
        <v>165</v>
      </c>
      <c r="B649" s="52" t="s">
        <v>755</v>
      </c>
      <c r="C649" s="118"/>
      <c r="D649" s="118"/>
      <c r="E649" s="52"/>
      <c r="F649" s="52">
        <f>SUM(F650)</f>
        <v>272.5</v>
      </c>
      <c r="G649" s="160"/>
      <c r="I649" s="154"/>
      <c r="J649" s="154"/>
    </row>
    <row r="650" spans="1:10" ht="31.5">
      <c r="A650" s="77" t="s">
        <v>669</v>
      </c>
      <c r="B650" s="52" t="s">
        <v>756</v>
      </c>
      <c r="C650" s="118"/>
      <c r="D650" s="118"/>
      <c r="E650" s="52"/>
      <c r="F650" s="52">
        <f>SUM(F651)</f>
        <v>272.5</v>
      </c>
      <c r="G650" s="160"/>
      <c r="I650" s="154"/>
      <c r="J650" s="154"/>
    </row>
    <row r="651" spans="1:10" ht="31.5">
      <c r="A651" s="117" t="s">
        <v>282</v>
      </c>
      <c r="B651" s="52" t="s">
        <v>756</v>
      </c>
      <c r="C651" s="52">
        <v>600</v>
      </c>
      <c r="D651" s="118" t="s">
        <v>37</v>
      </c>
      <c r="E651" s="118">
        <v>13</v>
      </c>
      <c r="F651" s="52">
        <v>272.5</v>
      </c>
      <c r="G651" s="160">
        <f>SUM(Ведомственная!G132)</f>
        <v>272.5</v>
      </c>
      <c r="I651" s="154"/>
      <c r="J651" s="154"/>
    </row>
    <row r="652" spans="1:10" ht="47.25">
      <c r="A652" s="51" t="s">
        <v>722</v>
      </c>
      <c r="B652" s="52" t="s">
        <v>719</v>
      </c>
      <c r="C652" s="53"/>
      <c r="D652" s="53"/>
      <c r="E652" s="53"/>
      <c r="F652" s="54">
        <f>SUM(F653)</f>
        <v>35037.2</v>
      </c>
      <c r="H652" s="153">
        <f>SUM(G653:G655)</f>
        <v>35037.2</v>
      </c>
      <c r="I652" s="154"/>
      <c r="J652" s="154"/>
    </row>
    <row r="653" spans="1:10" ht="47.25">
      <c r="A653" s="51" t="s">
        <v>717</v>
      </c>
      <c r="B653" s="52" t="s">
        <v>720</v>
      </c>
      <c r="C653" s="53"/>
      <c r="D653" s="53"/>
      <c r="E653" s="53"/>
      <c r="F653" s="54">
        <f>SUM(F654)</f>
        <v>35037.2</v>
      </c>
      <c r="I653" s="154"/>
      <c r="J653" s="154"/>
    </row>
    <row r="654" spans="1:10" ht="63">
      <c r="A654" s="51" t="s">
        <v>718</v>
      </c>
      <c r="B654" s="52" t="s">
        <v>721</v>
      </c>
      <c r="C654" s="53"/>
      <c r="D654" s="53"/>
      <c r="E654" s="53"/>
      <c r="F654" s="54">
        <f>SUM(F655)</f>
        <v>35037.2</v>
      </c>
      <c r="I654" s="154"/>
      <c r="J654" s="154"/>
    </row>
    <row r="655" spans="1:10" ht="31.5">
      <c r="A655" s="70" t="s">
        <v>358</v>
      </c>
      <c r="B655" s="52" t="s">
        <v>721</v>
      </c>
      <c r="C655" s="53" t="s">
        <v>312</v>
      </c>
      <c r="D655" s="53" t="s">
        <v>187</v>
      </c>
      <c r="E655" s="53" t="s">
        <v>37</v>
      </c>
      <c r="F655" s="54">
        <v>35037.2</v>
      </c>
      <c r="G655" s="153">
        <f>SUM(Ведомственная!G217)</f>
        <v>35037.2</v>
      </c>
      <c r="I655" s="154"/>
      <c r="J655" s="154"/>
    </row>
    <row r="656" spans="1:10" ht="15.75">
      <c r="A656" s="103" t="s">
        <v>215</v>
      </c>
      <c r="B656" s="68" t="s">
        <v>216</v>
      </c>
      <c r="C656" s="68"/>
      <c r="D656" s="68"/>
      <c r="E656" s="68"/>
      <c r="F656" s="60">
        <f>SUM(F666)+F657+F659+F661+F686+F663</f>
        <v>32137.300000000003</v>
      </c>
      <c r="H656" s="153">
        <f>SUM(G657:G697)</f>
        <v>32137.300000000003</v>
      </c>
      <c r="I656" s="154">
        <f t="shared" si="18"/>
        <v>-32137.300000000003</v>
      </c>
      <c r="J656" s="154">
        <f t="shared" si="17"/>
        <v>0</v>
      </c>
    </row>
    <row r="657" spans="1:10" ht="63">
      <c r="A657" s="51" t="s">
        <v>643</v>
      </c>
      <c r="B657" s="82" t="s">
        <v>229</v>
      </c>
      <c r="C657" s="52"/>
      <c r="D657" s="53"/>
      <c r="E657" s="53"/>
      <c r="F657" s="52">
        <f>SUM(F658)</f>
        <v>22.1</v>
      </c>
      <c r="I657" s="154">
        <f t="shared" si="18"/>
        <v>-22.1</v>
      </c>
      <c r="J657" s="154">
        <f t="shared" si="17"/>
        <v>-22.1</v>
      </c>
    </row>
    <row r="658" spans="1:10" ht="15.75">
      <c r="A658" s="77" t="s">
        <v>25</v>
      </c>
      <c r="B658" s="82" t="s">
        <v>229</v>
      </c>
      <c r="C658" s="52">
        <v>800</v>
      </c>
      <c r="D658" s="53">
        <v>10</v>
      </c>
      <c r="E658" s="53" t="s">
        <v>81</v>
      </c>
      <c r="F658" s="52">
        <v>22.1</v>
      </c>
      <c r="G658" s="153">
        <f>SUM(Ведомственная!G388)</f>
        <v>22.10000000000009</v>
      </c>
      <c r="I658" s="154">
        <f t="shared" si="18"/>
        <v>8.881784197001252E-14</v>
      </c>
      <c r="J658" s="154">
        <f t="shared" si="17"/>
        <v>-22.1</v>
      </c>
    </row>
    <row r="659" spans="1:10" ht="31.5" hidden="1">
      <c r="A659" s="77" t="s">
        <v>227</v>
      </c>
      <c r="B659" s="53" t="s">
        <v>228</v>
      </c>
      <c r="C659" s="52"/>
      <c r="D659" s="53"/>
      <c r="E659" s="53"/>
      <c r="F659" s="52">
        <f>SUM(F660)</f>
        <v>0</v>
      </c>
      <c r="I659" s="154">
        <f t="shared" si="18"/>
        <v>0</v>
      </c>
      <c r="J659" s="154">
        <f t="shared" si="17"/>
        <v>0</v>
      </c>
    </row>
    <row r="660" spans="1:10" ht="15.75" hidden="1">
      <c r="A660" s="77" t="s">
        <v>25</v>
      </c>
      <c r="B660" s="53" t="s">
        <v>228</v>
      </c>
      <c r="C660" s="52">
        <v>800</v>
      </c>
      <c r="D660" s="53"/>
      <c r="E660" s="53"/>
      <c r="F660" s="52"/>
      <c r="G660" s="153">
        <f>SUM(Ведомственная!G383)</f>
        <v>0</v>
      </c>
      <c r="I660" s="154">
        <f t="shared" si="18"/>
        <v>0</v>
      </c>
      <c r="J660" s="154">
        <f t="shared" si="17"/>
        <v>0</v>
      </c>
    </row>
    <row r="661" spans="1:10" ht="15.75">
      <c r="A661" s="91" t="s">
        <v>157</v>
      </c>
      <c r="B661" s="53" t="s">
        <v>223</v>
      </c>
      <c r="C661" s="82"/>
      <c r="D661" s="76"/>
      <c r="E661" s="76"/>
      <c r="F661" s="93">
        <f>SUM(F662)</f>
        <v>19.600000000000023</v>
      </c>
      <c r="I661" s="154">
        <f t="shared" si="18"/>
        <v>-19.600000000000023</v>
      </c>
      <c r="J661" s="154">
        <f t="shared" si="17"/>
        <v>-19.600000000000023</v>
      </c>
    </row>
    <row r="662" spans="1:10" ht="15.75">
      <c r="A662" s="91" t="s">
        <v>25</v>
      </c>
      <c r="B662" s="53" t="s">
        <v>223</v>
      </c>
      <c r="C662" s="52">
        <v>800</v>
      </c>
      <c r="D662" s="53" t="s">
        <v>37</v>
      </c>
      <c r="E662" s="53" t="s">
        <v>188</v>
      </c>
      <c r="F662" s="93">
        <f>500-480.4</f>
        <v>19.600000000000023</v>
      </c>
      <c r="G662" s="153">
        <f>SUM(Ведомственная!G369)</f>
        <v>19.600000000000023</v>
      </c>
      <c r="I662" s="154">
        <f t="shared" si="18"/>
        <v>0</v>
      </c>
      <c r="J662" s="154">
        <f t="shared" si="17"/>
        <v>-19.600000000000023</v>
      </c>
    </row>
    <row r="663" spans="1:10" ht="47.25">
      <c r="A663" s="17" t="s">
        <v>365</v>
      </c>
      <c r="B663" s="68" t="s">
        <v>423</v>
      </c>
      <c r="C663" s="68"/>
      <c r="D663" s="68"/>
      <c r="E663" s="68"/>
      <c r="F663" s="69">
        <f>SUM(F664)</f>
        <v>500</v>
      </c>
      <c r="I663" s="154">
        <f t="shared" si="18"/>
        <v>-500</v>
      </c>
      <c r="J663" s="154">
        <f t="shared" si="17"/>
        <v>-500</v>
      </c>
    </row>
    <row r="664" spans="1:10" ht="31.5">
      <c r="A664" s="17" t="s">
        <v>422</v>
      </c>
      <c r="B664" s="68" t="s">
        <v>424</v>
      </c>
      <c r="C664" s="68"/>
      <c r="D664" s="68"/>
      <c r="E664" s="68"/>
      <c r="F664" s="69">
        <f>SUM(F665)</f>
        <v>500</v>
      </c>
      <c r="I664" s="154">
        <f t="shared" si="18"/>
        <v>-500</v>
      </c>
      <c r="J664" s="154">
        <f t="shared" si="17"/>
        <v>-500</v>
      </c>
    </row>
    <row r="665" spans="1:10" ht="31.5">
      <c r="A665" s="17" t="s">
        <v>55</v>
      </c>
      <c r="B665" s="68" t="s">
        <v>424</v>
      </c>
      <c r="C665" s="68" t="s">
        <v>100</v>
      </c>
      <c r="D665" s="68" t="s">
        <v>57</v>
      </c>
      <c r="E665" s="68" t="s">
        <v>191</v>
      </c>
      <c r="F665" s="69">
        <v>500</v>
      </c>
      <c r="G665" s="153">
        <f>SUM(Ведомственная!G166)</f>
        <v>500</v>
      </c>
      <c r="I665" s="154">
        <f t="shared" si="18"/>
        <v>0</v>
      </c>
      <c r="J665" s="154">
        <f t="shared" si="17"/>
        <v>-500</v>
      </c>
    </row>
    <row r="666" spans="1:10" ht="47.25">
      <c r="A666" s="91" t="s">
        <v>83</v>
      </c>
      <c r="B666" s="68" t="s">
        <v>113</v>
      </c>
      <c r="C666" s="57"/>
      <c r="D666" s="57"/>
      <c r="E666" s="57"/>
      <c r="F666" s="60">
        <f>SUM(F667+F670+F673+F675+F678+F680+F682)</f>
        <v>31191.100000000006</v>
      </c>
      <c r="I666" s="154">
        <f t="shared" si="18"/>
        <v>-31191.100000000006</v>
      </c>
      <c r="J666" s="154">
        <f t="shared" si="17"/>
        <v>-31191.100000000006</v>
      </c>
    </row>
    <row r="667" spans="1:10" ht="15.75">
      <c r="A667" s="91" t="s">
        <v>85</v>
      </c>
      <c r="B667" s="68" t="s">
        <v>114</v>
      </c>
      <c r="C667" s="57"/>
      <c r="D667" s="57"/>
      <c r="E667" s="57"/>
      <c r="F667" s="60">
        <f>SUM(F668+F669)</f>
        <v>14775.2</v>
      </c>
      <c r="I667" s="154">
        <f t="shared" si="18"/>
        <v>-14775.2</v>
      </c>
      <c r="J667" s="154">
        <f t="shared" si="17"/>
        <v>-14775.2</v>
      </c>
    </row>
    <row r="668" spans="1:10" ht="63">
      <c r="A668" s="51" t="s">
        <v>54</v>
      </c>
      <c r="B668" s="68" t="s">
        <v>114</v>
      </c>
      <c r="C668" s="68" t="s">
        <v>98</v>
      </c>
      <c r="D668" s="68" t="s">
        <v>37</v>
      </c>
      <c r="E668" s="68" t="s">
        <v>57</v>
      </c>
      <c r="F668" s="60">
        <v>14765.2</v>
      </c>
      <c r="G668" s="153">
        <f>SUM(Ведомственная!G17)</f>
        <v>14765.2</v>
      </c>
      <c r="I668" s="154">
        <f t="shared" si="18"/>
        <v>0</v>
      </c>
      <c r="J668" s="154">
        <f t="shared" si="17"/>
        <v>-14765.2</v>
      </c>
    </row>
    <row r="669" spans="1:10" ht="15.75">
      <c r="A669" s="91" t="s">
        <v>99</v>
      </c>
      <c r="B669" s="68" t="s">
        <v>114</v>
      </c>
      <c r="C669" s="68" t="s">
        <v>100</v>
      </c>
      <c r="D669" s="68" t="s">
        <v>37</v>
      </c>
      <c r="E669" s="68" t="s">
        <v>57</v>
      </c>
      <c r="F669" s="58">
        <v>10</v>
      </c>
      <c r="G669" s="153">
        <f>SUM(Ведомственная!G18)</f>
        <v>10</v>
      </c>
      <c r="I669" s="154">
        <f t="shared" si="18"/>
        <v>0</v>
      </c>
      <c r="J669" s="154">
        <f t="shared" si="17"/>
        <v>-10</v>
      </c>
    </row>
    <row r="670" spans="1:10" ht="31.5">
      <c r="A670" s="91" t="s">
        <v>217</v>
      </c>
      <c r="B670" s="68" t="s">
        <v>119</v>
      </c>
      <c r="C670" s="57"/>
      <c r="D670" s="57"/>
      <c r="E670" s="57"/>
      <c r="F670" s="60">
        <f>SUM(F671:F672)</f>
        <v>4512.5</v>
      </c>
      <c r="I670" s="154">
        <f t="shared" si="18"/>
        <v>-4512.5</v>
      </c>
      <c r="J670" s="154">
        <f t="shared" si="17"/>
        <v>-4512.5</v>
      </c>
    </row>
    <row r="671" spans="1:10" ht="63">
      <c r="A671" s="51" t="s">
        <v>54</v>
      </c>
      <c r="B671" s="68" t="s">
        <v>119</v>
      </c>
      <c r="C671" s="68" t="s">
        <v>98</v>
      </c>
      <c r="D671" s="68" t="s">
        <v>37</v>
      </c>
      <c r="E671" s="68" t="s">
        <v>81</v>
      </c>
      <c r="F671" s="60">
        <v>4507.5</v>
      </c>
      <c r="G671" s="153">
        <f>SUM(Ведомственная!G38)</f>
        <v>4507.5</v>
      </c>
      <c r="I671" s="154">
        <f t="shared" si="18"/>
        <v>0</v>
      </c>
      <c r="J671" s="154">
        <f t="shared" si="17"/>
        <v>-4507.5</v>
      </c>
    </row>
    <row r="672" spans="1:10" ht="31.5">
      <c r="A672" s="51" t="s">
        <v>55</v>
      </c>
      <c r="B672" s="68" t="s">
        <v>119</v>
      </c>
      <c r="C672" s="68" t="s">
        <v>100</v>
      </c>
      <c r="D672" s="68" t="s">
        <v>37</v>
      </c>
      <c r="E672" s="68" t="s">
        <v>81</v>
      </c>
      <c r="F672" s="58">
        <v>5</v>
      </c>
      <c r="G672" s="153">
        <f>SUM(Ведомственная!G39)</f>
        <v>5</v>
      </c>
      <c r="I672" s="154">
        <f t="shared" si="18"/>
        <v>0</v>
      </c>
      <c r="J672" s="154">
        <f t="shared" si="17"/>
        <v>-5</v>
      </c>
    </row>
    <row r="673" spans="1:10" ht="15.75">
      <c r="A673" s="91" t="s">
        <v>101</v>
      </c>
      <c r="B673" s="68" t="s">
        <v>115</v>
      </c>
      <c r="C673" s="68"/>
      <c r="D673" s="68"/>
      <c r="E673" s="68"/>
      <c r="F673" s="60">
        <f>SUM(F674)</f>
        <v>1571.9</v>
      </c>
      <c r="I673" s="154">
        <f t="shared" si="18"/>
        <v>-1571.9</v>
      </c>
      <c r="J673" s="154">
        <f t="shared" si="17"/>
        <v>-1571.9</v>
      </c>
    </row>
    <row r="674" spans="1:10" ht="63">
      <c r="A674" s="51" t="s">
        <v>54</v>
      </c>
      <c r="B674" s="68" t="s">
        <v>115</v>
      </c>
      <c r="C674" s="68" t="s">
        <v>98</v>
      </c>
      <c r="D674" s="68" t="s">
        <v>37</v>
      </c>
      <c r="E674" s="68" t="s">
        <v>57</v>
      </c>
      <c r="F674" s="60">
        <v>1571.9</v>
      </c>
      <c r="G674" s="153">
        <f>SUM(Ведомственная!G20)</f>
        <v>1571.9</v>
      </c>
      <c r="I674" s="154">
        <f t="shared" si="18"/>
        <v>0</v>
      </c>
      <c r="J674" s="154">
        <f t="shared" si="17"/>
        <v>-1571.9</v>
      </c>
    </row>
    <row r="675" spans="1:10" ht="15.75">
      <c r="A675" s="91" t="s">
        <v>104</v>
      </c>
      <c r="B675" s="68" t="s">
        <v>116</v>
      </c>
      <c r="C675" s="68"/>
      <c r="D675" s="68"/>
      <c r="E675" s="68"/>
      <c r="F675" s="58">
        <f>SUM(F676:F677)</f>
        <v>757.8000000000001</v>
      </c>
      <c r="I675" s="154">
        <f t="shared" si="18"/>
        <v>-757.8000000000001</v>
      </c>
      <c r="J675" s="154">
        <f t="shared" si="17"/>
        <v>-757.8000000000001</v>
      </c>
    </row>
    <row r="676" spans="1:10" ht="31.5">
      <c r="A676" s="51" t="s">
        <v>55</v>
      </c>
      <c r="B676" s="68" t="s">
        <v>116</v>
      </c>
      <c r="C676" s="68" t="s">
        <v>100</v>
      </c>
      <c r="D676" s="68" t="s">
        <v>37</v>
      </c>
      <c r="E676" s="68" t="s">
        <v>103</v>
      </c>
      <c r="F676" s="58">
        <v>711.1</v>
      </c>
      <c r="G676" s="153">
        <f>SUM(Ведомственная!G24+Ведомственная!G45)</f>
        <v>711.0999999999999</v>
      </c>
      <c r="I676" s="154">
        <f t="shared" si="18"/>
        <v>0</v>
      </c>
      <c r="J676" s="154">
        <f t="shared" si="17"/>
        <v>-711.1</v>
      </c>
    </row>
    <row r="677" spans="1:10" ht="15.75">
      <c r="A677" s="91" t="s">
        <v>25</v>
      </c>
      <c r="B677" s="68" t="s">
        <v>116</v>
      </c>
      <c r="C677" s="68" t="s">
        <v>105</v>
      </c>
      <c r="D677" s="68" t="s">
        <v>37</v>
      </c>
      <c r="E677" s="68" t="s">
        <v>103</v>
      </c>
      <c r="F677" s="58">
        <v>46.7</v>
      </c>
      <c r="G677" s="153">
        <f>SUM(Ведомственная!G25+Ведомственная!G46)</f>
        <v>46.7</v>
      </c>
      <c r="I677" s="154">
        <f t="shared" si="18"/>
        <v>0</v>
      </c>
      <c r="J677" s="154">
        <f t="shared" si="17"/>
        <v>-46.7</v>
      </c>
    </row>
    <row r="678" spans="1:10" ht="31.5">
      <c r="A678" s="91" t="s">
        <v>106</v>
      </c>
      <c r="B678" s="68" t="s">
        <v>117</v>
      </c>
      <c r="C678" s="68"/>
      <c r="D678" s="68"/>
      <c r="E678" s="68"/>
      <c r="F678" s="58">
        <f>SUM(F679)</f>
        <v>789.9</v>
      </c>
      <c r="I678" s="154">
        <f t="shared" si="18"/>
        <v>-789.9</v>
      </c>
      <c r="J678" s="154">
        <f t="shared" si="17"/>
        <v>-789.9</v>
      </c>
    </row>
    <row r="679" spans="1:10" ht="31.5">
      <c r="A679" s="51" t="s">
        <v>55</v>
      </c>
      <c r="B679" s="68" t="s">
        <v>117</v>
      </c>
      <c r="C679" s="68" t="s">
        <v>100</v>
      </c>
      <c r="D679" s="68" t="s">
        <v>37</v>
      </c>
      <c r="E679" s="68" t="s">
        <v>103</v>
      </c>
      <c r="F679" s="58">
        <v>789.9</v>
      </c>
      <c r="G679" s="153">
        <f>SUM(Ведомственная!G27+Ведомственная!G48)</f>
        <v>789.9</v>
      </c>
      <c r="I679" s="154">
        <f t="shared" si="18"/>
        <v>0</v>
      </c>
      <c r="J679" s="154">
        <f t="shared" si="17"/>
        <v>-789.9</v>
      </c>
    </row>
    <row r="680" spans="1:10" ht="31.5">
      <c r="A680" s="91" t="s">
        <v>112</v>
      </c>
      <c r="B680" s="68" t="s">
        <v>120</v>
      </c>
      <c r="C680" s="80"/>
      <c r="D680" s="80"/>
      <c r="E680" s="80"/>
      <c r="F680" s="60">
        <f>SUM(F681)</f>
        <v>1960.2</v>
      </c>
      <c r="I680" s="154">
        <f t="shared" si="18"/>
        <v>-1960.2</v>
      </c>
      <c r="J680" s="154">
        <f t="shared" si="17"/>
        <v>-1960.2</v>
      </c>
    </row>
    <row r="681" spans="1:10" ht="63">
      <c r="A681" s="51" t="s">
        <v>54</v>
      </c>
      <c r="B681" s="68" t="s">
        <v>120</v>
      </c>
      <c r="C681" s="68" t="s">
        <v>98</v>
      </c>
      <c r="D681" s="68" t="s">
        <v>37</v>
      </c>
      <c r="E681" s="68" t="s">
        <v>81</v>
      </c>
      <c r="F681" s="60">
        <v>1960.2</v>
      </c>
      <c r="G681" s="153">
        <f>SUM(Ведомственная!G41)</f>
        <v>1960.2</v>
      </c>
      <c r="I681" s="154">
        <f t="shared" si="18"/>
        <v>0</v>
      </c>
      <c r="J681" s="154">
        <f t="shared" si="17"/>
        <v>-1960.2</v>
      </c>
    </row>
    <row r="682" spans="1:10" ht="31.5">
      <c r="A682" s="103" t="s">
        <v>107</v>
      </c>
      <c r="B682" s="68" t="s">
        <v>118</v>
      </c>
      <c r="C682" s="80"/>
      <c r="D682" s="80"/>
      <c r="E682" s="80"/>
      <c r="F682" s="60">
        <f>SUM(F683:F685)</f>
        <v>6823.6</v>
      </c>
      <c r="I682" s="154">
        <f t="shared" si="18"/>
        <v>-6823.6</v>
      </c>
      <c r="J682" s="154">
        <f t="shared" si="17"/>
        <v>-6823.6</v>
      </c>
    </row>
    <row r="683" spans="1:10" ht="31.5">
      <c r="A683" s="51" t="s">
        <v>55</v>
      </c>
      <c r="B683" s="68" t="s">
        <v>118</v>
      </c>
      <c r="C683" s="80" t="s">
        <v>100</v>
      </c>
      <c r="D683" s="68" t="s">
        <v>37</v>
      </c>
      <c r="E683" s="68" t="s">
        <v>103</v>
      </c>
      <c r="F683" s="60">
        <v>5320.6</v>
      </c>
      <c r="G683" s="153">
        <f>SUM(Ведомственная!G29+Ведомственная!G50)</f>
        <v>5320.6</v>
      </c>
      <c r="I683" s="154">
        <f t="shared" si="18"/>
        <v>0</v>
      </c>
      <c r="J683" s="154">
        <f t="shared" si="17"/>
        <v>-5320.6</v>
      </c>
    </row>
    <row r="684" spans="1:10" ht="15.75">
      <c r="A684" s="91" t="s">
        <v>45</v>
      </c>
      <c r="B684" s="68" t="s">
        <v>118</v>
      </c>
      <c r="C684" s="80" t="s">
        <v>108</v>
      </c>
      <c r="D684" s="68" t="s">
        <v>37</v>
      </c>
      <c r="E684" s="68" t="s">
        <v>103</v>
      </c>
      <c r="F684" s="60">
        <v>667</v>
      </c>
      <c r="G684" s="153">
        <f>SUM(Ведомственная!G30)</f>
        <v>667</v>
      </c>
      <c r="I684" s="154">
        <f t="shared" si="18"/>
        <v>0</v>
      </c>
      <c r="J684" s="154">
        <f t="shared" si="17"/>
        <v>-667</v>
      </c>
    </row>
    <row r="685" spans="1:10" ht="15.75">
      <c r="A685" s="91" t="s">
        <v>25</v>
      </c>
      <c r="B685" s="68" t="s">
        <v>118</v>
      </c>
      <c r="C685" s="80" t="s">
        <v>105</v>
      </c>
      <c r="D685" s="68" t="s">
        <v>37</v>
      </c>
      <c r="E685" s="68" t="s">
        <v>103</v>
      </c>
      <c r="F685" s="60">
        <f>760.5+75.5</f>
        <v>836</v>
      </c>
      <c r="G685" s="153">
        <f>SUM(Ведомственная!G31+Ведомственная!G51)+Ведомственная!G135</f>
        <v>836</v>
      </c>
      <c r="I685" s="154">
        <f t="shared" si="18"/>
        <v>0</v>
      </c>
      <c r="J685" s="154">
        <f t="shared" si="17"/>
        <v>-836</v>
      </c>
    </row>
    <row r="686" spans="1:10" ht="94.5">
      <c r="A686" s="55" t="s">
        <v>245</v>
      </c>
      <c r="B686" s="53" t="s">
        <v>251</v>
      </c>
      <c r="C686" s="53"/>
      <c r="D686" s="53"/>
      <c r="E686" s="53"/>
      <c r="F686" s="54">
        <f>SUM(F690+F695+F692+F687)</f>
        <v>404.5</v>
      </c>
      <c r="I686" s="154">
        <f t="shared" si="18"/>
        <v>-404.5</v>
      </c>
      <c r="J686" s="154">
        <f t="shared" si="17"/>
        <v>-404.5</v>
      </c>
    </row>
    <row r="687" spans="1:10" ht="47.25">
      <c r="A687" s="51" t="s">
        <v>252</v>
      </c>
      <c r="B687" s="53" t="s">
        <v>253</v>
      </c>
      <c r="C687" s="52"/>
      <c r="D687" s="53"/>
      <c r="E687" s="53"/>
      <c r="F687" s="54">
        <f>SUM(F688:F689)</f>
        <v>93.8</v>
      </c>
      <c r="I687" s="154">
        <f t="shared" si="18"/>
        <v>-93.8</v>
      </c>
      <c r="J687" s="154">
        <f t="shared" si="17"/>
        <v>-93.8</v>
      </c>
    </row>
    <row r="688" spans="1:10" ht="63">
      <c r="A688" s="51" t="s">
        <v>54</v>
      </c>
      <c r="B688" s="53" t="s">
        <v>253</v>
      </c>
      <c r="C688" s="53" t="s">
        <v>98</v>
      </c>
      <c r="D688" s="53" t="s">
        <v>37</v>
      </c>
      <c r="E688" s="53" t="s">
        <v>16</v>
      </c>
      <c r="F688" s="54">
        <v>72.3</v>
      </c>
      <c r="G688" s="153">
        <f>SUM(Ведомственная!G80)</f>
        <v>72.3</v>
      </c>
      <c r="I688" s="154">
        <f t="shared" si="18"/>
        <v>0</v>
      </c>
      <c r="J688" s="154">
        <f t="shared" si="17"/>
        <v>-72.3</v>
      </c>
    </row>
    <row r="689" spans="1:10" ht="31.5">
      <c r="A689" s="51" t="s">
        <v>55</v>
      </c>
      <c r="B689" s="53" t="s">
        <v>253</v>
      </c>
      <c r="C689" s="53" t="s">
        <v>100</v>
      </c>
      <c r="D689" s="53" t="s">
        <v>37</v>
      </c>
      <c r="E689" s="53" t="s">
        <v>16</v>
      </c>
      <c r="F689" s="54">
        <v>21.5</v>
      </c>
      <c r="G689" s="153">
        <f>SUM(Ведомственная!G81)</f>
        <v>21.5</v>
      </c>
      <c r="I689" s="154">
        <f t="shared" si="18"/>
        <v>0</v>
      </c>
      <c r="J689" s="154">
        <f t="shared" si="17"/>
        <v>-21.5</v>
      </c>
    </row>
    <row r="690" spans="1:10" ht="47.25" hidden="1">
      <c r="A690" s="51" t="s">
        <v>255</v>
      </c>
      <c r="B690" s="53" t="s">
        <v>256</v>
      </c>
      <c r="C690" s="53"/>
      <c r="D690" s="53"/>
      <c r="E690" s="53"/>
      <c r="F690" s="54">
        <f>SUM(F691)</f>
        <v>0</v>
      </c>
      <c r="I690" s="154">
        <f t="shared" si="18"/>
        <v>0</v>
      </c>
      <c r="J690" s="154">
        <f t="shared" si="17"/>
        <v>0</v>
      </c>
    </row>
    <row r="691" spans="1:10" ht="15.75" hidden="1">
      <c r="A691" s="51" t="s">
        <v>99</v>
      </c>
      <c r="B691" s="53" t="s">
        <v>256</v>
      </c>
      <c r="C691" s="53" t="s">
        <v>100</v>
      </c>
      <c r="D691" s="53"/>
      <c r="E691" s="53"/>
      <c r="F691" s="54"/>
      <c r="G691" s="153">
        <f>SUM(Ведомственная!G89)</f>
        <v>0</v>
      </c>
      <c r="I691" s="154">
        <f t="shared" si="18"/>
        <v>0</v>
      </c>
      <c r="J691" s="154">
        <f t="shared" si="17"/>
        <v>0</v>
      </c>
    </row>
    <row r="692" spans="1:10" ht="47.25">
      <c r="A692" s="51" t="s">
        <v>531</v>
      </c>
      <c r="B692" s="53" t="s">
        <v>532</v>
      </c>
      <c r="C692" s="52"/>
      <c r="D692" s="53"/>
      <c r="E692" s="53"/>
      <c r="F692" s="58">
        <f>SUM(F693:F694)</f>
        <v>112.3</v>
      </c>
      <c r="I692" s="154">
        <f t="shared" si="18"/>
        <v>-112.3</v>
      </c>
      <c r="J692" s="154">
        <f aca="true" t="shared" si="19" ref="J692:J698">SUM(H692-F692)</f>
        <v>-112.3</v>
      </c>
    </row>
    <row r="693" spans="1:10" ht="63">
      <c r="A693" s="51" t="s">
        <v>54</v>
      </c>
      <c r="B693" s="53" t="s">
        <v>532</v>
      </c>
      <c r="C693" s="53" t="s">
        <v>98</v>
      </c>
      <c r="D693" s="53" t="s">
        <v>37</v>
      </c>
      <c r="E693" s="53" t="s">
        <v>16</v>
      </c>
      <c r="F693" s="54">
        <v>103.5</v>
      </c>
      <c r="G693" s="153">
        <f>SUM(Ведомственная!G83)</f>
        <v>103.5</v>
      </c>
      <c r="I693" s="154">
        <f t="shared" si="18"/>
        <v>0</v>
      </c>
      <c r="J693" s="154">
        <f t="shared" si="19"/>
        <v>-103.5</v>
      </c>
    </row>
    <row r="694" spans="1:10" ht="31.5">
      <c r="A694" s="51" t="s">
        <v>55</v>
      </c>
      <c r="B694" s="53" t="s">
        <v>532</v>
      </c>
      <c r="C694" s="53" t="s">
        <v>100</v>
      </c>
      <c r="D694" s="53" t="s">
        <v>37</v>
      </c>
      <c r="E694" s="53" t="s">
        <v>16</v>
      </c>
      <c r="F694" s="54">
        <v>8.8</v>
      </c>
      <c r="G694" s="153">
        <f>SUM(Ведомственная!G84)</f>
        <v>8.8</v>
      </c>
      <c r="I694" s="154">
        <f t="shared" si="18"/>
        <v>0</v>
      </c>
      <c r="J694" s="154">
        <f t="shared" si="19"/>
        <v>-8.8</v>
      </c>
    </row>
    <row r="695" spans="1:10" ht="78.75">
      <c r="A695" s="104" t="s">
        <v>648</v>
      </c>
      <c r="B695" s="80" t="s">
        <v>418</v>
      </c>
      <c r="C695" s="80"/>
      <c r="D695" s="80"/>
      <c r="E695" s="80"/>
      <c r="F695" s="64">
        <f>SUM(F696)</f>
        <v>198.4</v>
      </c>
      <c r="I695" s="154">
        <f t="shared" si="18"/>
        <v>-198.4</v>
      </c>
      <c r="J695" s="154">
        <f t="shared" si="19"/>
        <v>-198.4</v>
      </c>
    </row>
    <row r="696" spans="1:10" ht="31.5">
      <c r="A696" s="70" t="s">
        <v>55</v>
      </c>
      <c r="B696" s="80" t="s">
        <v>418</v>
      </c>
      <c r="C696" s="80" t="s">
        <v>100</v>
      </c>
      <c r="D696" s="80" t="s">
        <v>187</v>
      </c>
      <c r="E696" s="80" t="s">
        <v>57</v>
      </c>
      <c r="F696" s="64">
        <v>198.4</v>
      </c>
      <c r="G696" s="153">
        <f>SUM(Ведомственная!G267)</f>
        <v>198.4</v>
      </c>
      <c r="I696" s="154">
        <f t="shared" si="18"/>
        <v>0</v>
      </c>
      <c r="J696" s="154">
        <f t="shared" si="19"/>
        <v>-198.4</v>
      </c>
    </row>
    <row r="697" spans="1:10" s="98" customFormat="1" ht="24.75" customHeight="1">
      <c r="A697" s="94" t="s">
        <v>214</v>
      </c>
      <c r="B697" s="95"/>
      <c r="C697" s="96"/>
      <c r="D697" s="96"/>
      <c r="E697" s="96"/>
      <c r="F697" s="97">
        <f>SUM(F11+F70+F166+F172+F183+F188+F191+F207+F218+F223+F229+F241+F245+F263+F273+F282+F293+F308+F321+F325+F329+F400+F510+F557+F603+F614+F618+F621+F636+F638+F656+F35+F57+F644+F652)+F46</f>
        <v>3918088.8</v>
      </c>
      <c r="G697" s="153"/>
      <c r="H697" s="156"/>
      <c r="I697" s="154">
        <f t="shared" si="18"/>
        <v>-3918088.8</v>
      </c>
      <c r="J697" s="157">
        <f t="shared" si="19"/>
        <v>-3918088.8</v>
      </c>
    </row>
    <row r="698" ht="0.75" customHeight="1">
      <c r="J698" s="154">
        <f t="shared" si="19"/>
        <v>0</v>
      </c>
    </row>
    <row r="699" ht="18" customHeight="1">
      <c r="F699" s="40"/>
    </row>
    <row r="700" spans="7:9" ht="15">
      <c r="G700" s="153">
        <f>SUM(G11:G697)</f>
        <v>3918088.7999999984</v>
      </c>
      <c r="H700" s="153">
        <f>SUM(H11:H697)</f>
        <v>3918088.8000000003</v>
      </c>
      <c r="I700" s="154">
        <f>I697+H700</f>
        <v>0</v>
      </c>
    </row>
    <row r="701" spans="7:8" ht="15">
      <c r="G701" s="158">
        <f>SUM(G700-Ведомственная!G910)</f>
        <v>-1.3969838619232178E-09</v>
      </c>
      <c r="H701" s="153">
        <f>SUM(H700-Ведомственная!G910)</f>
        <v>4.656612873077393E-10</v>
      </c>
    </row>
  </sheetData>
  <sheetProtection/>
  <mergeCells count="1">
    <mergeCell ref="A8:F8"/>
  </mergeCells>
  <printOptions/>
  <pageMargins left="1.1023622047244095" right="0.11811023622047245" top="0.5511811023622047" bottom="0" header="0.11811023622047245" footer="0"/>
  <pageSetup fitToHeight="23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5.57421875" style="30" customWidth="1"/>
    <col min="2" max="2" width="14.421875" style="31" customWidth="1"/>
    <col min="3" max="3" width="17.00390625" style="31" customWidth="1"/>
    <col min="4" max="4" width="16.7109375" style="31" customWidth="1"/>
    <col min="5" max="5" width="15.7109375" style="31" hidden="1" customWidth="1"/>
    <col min="6" max="6" width="16.7109375" style="31" hidden="1" customWidth="1"/>
    <col min="7" max="16384" width="9.140625" style="31" customWidth="1"/>
  </cols>
  <sheetData>
    <row r="1" spans="3:4" ht="15.75">
      <c r="C1" s="32"/>
      <c r="D1" s="46" t="s">
        <v>782</v>
      </c>
    </row>
    <row r="2" spans="3:4" ht="15.75">
      <c r="C2" s="33"/>
      <c r="D2" s="47" t="s">
        <v>785</v>
      </c>
    </row>
    <row r="3" spans="3:4" ht="15.75">
      <c r="C3" s="33"/>
      <c r="D3" s="47" t="s">
        <v>0</v>
      </c>
    </row>
    <row r="4" spans="3:4" ht="15.75">
      <c r="C4" s="33"/>
      <c r="D4" s="47" t="s">
        <v>1</v>
      </c>
    </row>
    <row r="5" spans="3:4" ht="15.75">
      <c r="C5" s="34"/>
      <c r="D5" s="48" t="s">
        <v>786</v>
      </c>
    </row>
    <row r="7" spans="1:5" ht="40.5" customHeight="1">
      <c r="A7" s="169" t="s">
        <v>179</v>
      </c>
      <c r="B7" s="169"/>
      <c r="C7" s="169"/>
      <c r="D7" s="169"/>
      <c r="E7" s="169"/>
    </row>
    <row r="9" spans="1:5" ht="46.5" customHeight="1">
      <c r="A9" s="35" t="s">
        <v>175</v>
      </c>
      <c r="B9" s="35" t="s">
        <v>180</v>
      </c>
      <c r="C9" s="35" t="s">
        <v>181</v>
      </c>
      <c r="D9" s="35" t="s">
        <v>182</v>
      </c>
      <c r="E9" s="35" t="s">
        <v>182</v>
      </c>
    </row>
    <row r="10" spans="1:6" ht="15.75">
      <c r="A10" s="36" t="s">
        <v>96</v>
      </c>
      <c r="B10" s="37" t="s">
        <v>37</v>
      </c>
      <c r="C10" s="37" t="s">
        <v>35</v>
      </c>
      <c r="D10" s="38">
        <f>SUM(D11:D17)</f>
        <v>204768.7</v>
      </c>
      <c r="E10" s="39">
        <f>SUM(E11:E17)</f>
        <v>204768.7</v>
      </c>
      <c r="F10" s="40">
        <f>SUM(D10-E10)</f>
        <v>0</v>
      </c>
    </row>
    <row r="11" spans="1:6" ht="47.25">
      <c r="A11" s="41" t="s">
        <v>183</v>
      </c>
      <c r="B11" s="42" t="s">
        <v>37</v>
      </c>
      <c r="C11" s="42" t="s">
        <v>47</v>
      </c>
      <c r="D11" s="39">
        <v>1618.2</v>
      </c>
      <c r="E11" s="39">
        <f>SUM(Ведомственная!G58)</f>
        <v>1618.2</v>
      </c>
      <c r="F11" s="40">
        <f aca="true" t="shared" si="0" ref="F11:F60">SUM(D11-E11)</f>
        <v>0</v>
      </c>
    </row>
    <row r="12" spans="1:6" ht="63">
      <c r="A12" s="41" t="s">
        <v>184</v>
      </c>
      <c r="B12" s="42" t="s">
        <v>37</v>
      </c>
      <c r="C12" s="42" t="s">
        <v>57</v>
      </c>
      <c r="D12" s="39">
        <v>16347.1</v>
      </c>
      <c r="E12" s="39">
        <f>SUM(Ведомственная!G13)</f>
        <v>16347.1</v>
      </c>
      <c r="F12" s="40">
        <f t="shared" si="0"/>
        <v>0</v>
      </c>
    </row>
    <row r="13" spans="1:6" ht="63">
      <c r="A13" s="41" t="s">
        <v>185</v>
      </c>
      <c r="B13" s="42" t="s">
        <v>37</v>
      </c>
      <c r="C13" s="42" t="s">
        <v>16</v>
      </c>
      <c r="D13" s="39">
        <v>99863.1</v>
      </c>
      <c r="E13" s="39">
        <f>SUM(Ведомственная!G59)</f>
        <v>99863.1</v>
      </c>
      <c r="F13" s="40">
        <f t="shared" si="0"/>
        <v>0</v>
      </c>
    </row>
    <row r="14" spans="1:6" ht="15.75" hidden="1">
      <c r="A14" s="41" t="s">
        <v>186</v>
      </c>
      <c r="B14" s="42" t="s">
        <v>37</v>
      </c>
      <c r="C14" s="42" t="s">
        <v>187</v>
      </c>
      <c r="D14" s="39">
        <f>SUM(Ведомственная!F85)</f>
        <v>0</v>
      </c>
      <c r="E14" s="39">
        <f>SUM(Ведомственная!G85)</f>
        <v>0</v>
      </c>
      <c r="F14" s="40">
        <f t="shared" si="0"/>
        <v>0</v>
      </c>
    </row>
    <row r="15" spans="1:6" ht="47.25">
      <c r="A15" s="41" t="s">
        <v>111</v>
      </c>
      <c r="B15" s="42" t="s">
        <v>37</v>
      </c>
      <c r="C15" s="42" t="s">
        <v>81</v>
      </c>
      <c r="D15" s="39">
        <v>30221</v>
      </c>
      <c r="E15" s="39">
        <f>SUM(Ведомственная!G34+Ведомственная!G360)</f>
        <v>30221</v>
      </c>
      <c r="F15" s="40">
        <f t="shared" si="0"/>
        <v>0</v>
      </c>
    </row>
    <row r="16" spans="1:6" ht="15.75">
      <c r="A16" s="41" t="s">
        <v>156</v>
      </c>
      <c r="B16" s="42" t="s">
        <v>37</v>
      </c>
      <c r="C16" s="42" t="s">
        <v>188</v>
      </c>
      <c r="D16" s="39">
        <v>19.6</v>
      </c>
      <c r="E16" s="39">
        <f>SUM(Ведомственная!G366)</f>
        <v>19.600000000000023</v>
      </c>
      <c r="F16" s="40">
        <f t="shared" si="0"/>
        <v>-2.1316282072803006E-14</v>
      </c>
    </row>
    <row r="17" spans="1:6" ht="15.75">
      <c r="A17" s="41" t="s">
        <v>102</v>
      </c>
      <c r="B17" s="42" t="s">
        <v>37</v>
      </c>
      <c r="C17" s="42" t="s">
        <v>103</v>
      </c>
      <c r="D17" s="39">
        <v>56699.7</v>
      </c>
      <c r="E17" s="39">
        <f>SUM(Ведомственная!G21+Ведомственная!G42+Ведомственная!G90+Ведомственная!G370)</f>
        <v>56699.69999999999</v>
      </c>
      <c r="F17" s="40">
        <f t="shared" si="0"/>
        <v>7.275957614183426E-12</v>
      </c>
    </row>
    <row r="18" spans="1:6" ht="31.5">
      <c r="A18" s="36" t="s">
        <v>283</v>
      </c>
      <c r="B18" s="37" t="s">
        <v>57</v>
      </c>
      <c r="C18" s="37" t="s">
        <v>35</v>
      </c>
      <c r="D18" s="38">
        <f>SUM(D19:D20)</f>
        <v>23640.6</v>
      </c>
      <c r="E18" s="39">
        <f>SUM(E19:E20)</f>
        <v>23640.6</v>
      </c>
      <c r="F18" s="40">
        <f t="shared" si="0"/>
        <v>0</v>
      </c>
    </row>
    <row r="19" spans="1:6" ht="15.75">
      <c r="A19" s="41" t="s">
        <v>189</v>
      </c>
      <c r="B19" s="42" t="s">
        <v>57</v>
      </c>
      <c r="C19" s="42" t="s">
        <v>16</v>
      </c>
      <c r="D19" s="39">
        <v>4545.5</v>
      </c>
      <c r="E19" s="39">
        <f>SUM(Ведомственная!G137)</f>
        <v>4545.5</v>
      </c>
      <c r="F19" s="40">
        <f t="shared" si="0"/>
        <v>0</v>
      </c>
    </row>
    <row r="20" spans="1:6" ht="47.25">
      <c r="A20" s="41" t="s">
        <v>190</v>
      </c>
      <c r="B20" s="42" t="s">
        <v>57</v>
      </c>
      <c r="C20" s="42" t="s">
        <v>191</v>
      </c>
      <c r="D20" s="39">
        <v>19095.1</v>
      </c>
      <c r="E20" s="39">
        <f>SUM(Ведомственная!G144)</f>
        <v>19095.1</v>
      </c>
      <c r="F20" s="40">
        <f t="shared" si="0"/>
        <v>0</v>
      </c>
    </row>
    <row r="21" spans="1:6" ht="15.75">
      <c r="A21" s="36" t="s">
        <v>15</v>
      </c>
      <c r="B21" s="37" t="s">
        <v>16</v>
      </c>
      <c r="C21" s="37" t="s">
        <v>35</v>
      </c>
      <c r="D21" s="38">
        <f>SUM(D23:D25)</f>
        <v>188920.7</v>
      </c>
      <c r="E21" s="39">
        <f>SUM(E22:E25)</f>
        <v>188920.7</v>
      </c>
      <c r="F21" s="40">
        <f t="shared" si="0"/>
        <v>0</v>
      </c>
    </row>
    <row r="22" spans="1:6" ht="15.75" hidden="1">
      <c r="A22" s="41" t="s">
        <v>192</v>
      </c>
      <c r="B22" s="42" t="s">
        <v>16</v>
      </c>
      <c r="C22" s="42" t="s">
        <v>37</v>
      </c>
      <c r="D22" s="39"/>
      <c r="E22" s="39"/>
      <c r="F22" s="40">
        <f t="shared" si="0"/>
        <v>0</v>
      </c>
    </row>
    <row r="23" spans="1:6" ht="15.75">
      <c r="A23" s="41" t="s">
        <v>17</v>
      </c>
      <c r="B23" s="42" t="s">
        <v>16</v>
      </c>
      <c r="C23" s="42" t="s">
        <v>18</v>
      </c>
      <c r="D23" s="39">
        <v>79020.9</v>
      </c>
      <c r="E23" s="39">
        <f>SUM(Ведомственная!G168+Ведомственная!G396)</f>
        <v>79020.9</v>
      </c>
      <c r="F23" s="40">
        <f t="shared" si="0"/>
        <v>0</v>
      </c>
    </row>
    <row r="24" spans="1:6" ht="15.75">
      <c r="A24" s="41" t="s">
        <v>193</v>
      </c>
      <c r="B24" s="42" t="s">
        <v>16</v>
      </c>
      <c r="C24" s="42" t="s">
        <v>191</v>
      </c>
      <c r="D24" s="39">
        <v>101278.6</v>
      </c>
      <c r="E24" s="39">
        <f>SUM(Ведомственная!G176)</f>
        <v>101278.6</v>
      </c>
      <c r="F24" s="40">
        <f t="shared" si="0"/>
        <v>0</v>
      </c>
    </row>
    <row r="25" spans="1:6" ht="15.75">
      <c r="A25" s="41" t="s">
        <v>26</v>
      </c>
      <c r="B25" s="42" t="s">
        <v>16</v>
      </c>
      <c r="C25" s="42" t="s">
        <v>27</v>
      </c>
      <c r="D25" s="39">
        <v>8621.2</v>
      </c>
      <c r="E25" s="39">
        <f>SUM(Ведомственная!G191+Ведомственная!G402)</f>
        <v>8621.2</v>
      </c>
      <c r="F25" s="40">
        <f t="shared" si="0"/>
        <v>0</v>
      </c>
    </row>
    <row r="26" spans="1:6" ht="15" customHeight="1">
      <c r="A26" s="36" t="s">
        <v>293</v>
      </c>
      <c r="B26" s="37" t="s">
        <v>187</v>
      </c>
      <c r="C26" s="37" t="s">
        <v>35</v>
      </c>
      <c r="D26" s="38">
        <f>SUM(D27:D30)</f>
        <v>251792</v>
      </c>
      <c r="E26" s="39">
        <f>SUM(E27:E30)</f>
        <v>251792</v>
      </c>
      <c r="F26" s="40">
        <f t="shared" si="0"/>
        <v>0</v>
      </c>
    </row>
    <row r="27" spans="1:6" ht="15.75" customHeight="1">
      <c r="A27" s="41" t="s">
        <v>194</v>
      </c>
      <c r="B27" s="42" t="s">
        <v>187</v>
      </c>
      <c r="C27" s="42" t="s">
        <v>37</v>
      </c>
      <c r="D27" s="39">
        <v>35037.2</v>
      </c>
      <c r="E27" s="39">
        <f>SUM(Ведомственная!G213)</f>
        <v>35037.2</v>
      </c>
      <c r="F27" s="40">
        <f t="shared" si="0"/>
        <v>0</v>
      </c>
    </row>
    <row r="28" spans="1:6" ht="15.75">
      <c r="A28" s="41" t="s">
        <v>195</v>
      </c>
      <c r="B28" s="42" t="s">
        <v>187</v>
      </c>
      <c r="C28" s="42" t="s">
        <v>47</v>
      </c>
      <c r="D28" s="39">
        <v>57526.8</v>
      </c>
      <c r="E28" s="39">
        <f>SUM(Ведомственная!G221)</f>
        <v>57526.8</v>
      </c>
      <c r="F28" s="40">
        <f t="shared" si="0"/>
        <v>0</v>
      </c>
    </row>
    <row r="29" spans="1:6" ht="15.75">
      <c r="A29" s="41" t="s">
        <v>196</v>
      </c>
      <c r="B29" s="42" t="s">
        <v>187</v>
      </c>
      <c r="C29" s="42" t="s">
        <v>57</v>
      </c>
      <c r="D29" s="39">
        <v>146102.3</v>
      </c>
      <c r="E29" s="39">
        <f>SUM(Ведомственная!G243)</f>
        <v>146102.3</v>
      </c>
      <c r="F29" s="40">
        <f t="shared" si="0"/>
        <v>0</v>
      </c>
    </row>
    <row r="30" spans="1:6" ht="31.5">
      <c r="A30" s="41" t="s">
        <v>197</v>
      </c>
      <c r="B30" s="42" t="s">
        <v>187</v>
      </c>
      <c r="C30" s="42" t="s">
        <v>187</v>
      </c>
      <c r="D30" s="39">
        <v>13125.7</v>
      </c>
      <c r="E30" s="39">
        <f>SUM(Ведомственная!G268)</f>
        <v>13125.7</v>
      </c>
      <c r="F30" s="40">
        <f t="shared" si="0"/>
        <v>0</v>
      </c>
    </row>
    <row r="31" spans="1:6" ht="15.75">
      <c r="A31" s="36" t="s">
        <v>521</v>
      </c>
      <c r="B31" s="37" t="s">
        <v>81</v>
      </c>
      <c r="C31" s="37" t="s">
        <v>35</v>
      </c>
      <c r="D31" s="38">
        <f>SUM(D32:D33)</f>
        <v>5657.8</v>
      </c>
      <c r="E31" s="39">
        <f>SUM(E32:E33)</f>
        <v>5657.799999999999</v>
      </c>
      <c r="F31" s="40">
        <f t="shared" si="0"/>
        <v>9.094947017729282E-13</v>
      </c>
    </row>
    <row r="32" spans="1:6" ht="32.25" customHeight="1">
      <c r="A32" s="41" t="s">
        <v>300</v>
      </c>
      <c r="B32" s="42" t="s">
        <v>81</v>
      </c>
      <c r="C32" s="42" t="s">
        <v>57</v>
      </c>
      <c r="D32" s="39">
        <v>4763.7</v>
      </c>
      <c r="E32" s="39">
        <f>SUM(Ведомственная!G282)</f>
        <v>4763.699999999999</v>
      </c>
      <c r="F32" s="40">
        <f t="shared" si="0"/>
        <v>9.094947017729282E-13</v>
      </c>
    </row>
    <row r="33" spans="1:6" ht="15.75">
      <c r="A33" s="41" t="s">
        <v>198</v>
      </c>
      <c r="B33" s="42" t="s">
        <v>81</v>
      </c>
      <c r="C33" s="42" t="s">
        <v>187</v>
      </c>
      <c r="D33" s="39">
        <v>894.1</v>
      </c>
      <c r="E33" s="39">
        <f>SUM(Ведомственная!G288)</f>
        <v>894.1</v>
      </c>
      <c r="F33" s="40">
        <f t="shared" si="0"/>
        <v>0</v>
      </c>
    </row>
    <row r="34" spans="1:6" ht="15.75">
      <c r="A34" s="36" t="s">
        <v>123</v>
      </c>
      <c r="B34" s="37" t="s">
        <v>124</v>
      </c>
      <c r="C34" s="37" t="s">
        <v>35</v>
      </c>
      <c r="D34" s="38">
        <f>SUM(D35:D39)</f>
        <v>1871643.4999999998</v>
      </c>
      <c r="E34" s="39">
        <f>SUM(E35:E39)</f>
        <v>1871643.4999999998</v>
      </c>
      <c r="F34" s="40">
        <f t="shared" si="0"/>
        <v>0</v>
      </c>
    </row>
    <row r="35" spans="1:6" ht="15.75">
      <c r="A35" s="41" t="s">
        <v>199</v>
      </c>
      <c r="B35" s="42" t="s">
        <v>124</v>
      </c>
      <c r="C35" s="42" t="s">
        <v>37</v>
      </c>
      <c r="D35" s="39">
        <v>710699.4</v>
      </c>
      <c r="E35" s="39">
        <f>SUM(Ведомственная!G641)</f>
        <v>710699.3999999999</v>
      </c>
      <c r="F35" s="40">
        <f t="shared" si="0"/>
        <v>1.1641532182693481E-10</v>
      </c>
    </row>
    <row r="36" spans="1:6" ht="15.75">
      <c r="A36" s="41" t="s">
        <v>200</v>
      </c>
      <c r="B36" s="42" t="s">
        <v>124</v>
      </c>
      <c r="C36" s="42" t="s">
        <v>47</v>
      </c>
      <c r="D36" s="39">
        <v>984556.6</v>
      </c>
      <c r="E36" s="39">
        <f>SUM(Ведомственная!G682)</f>
        <v>984556.6000000001</v>
      </c>
      <c r="F36" s="40">
        <f t="shared" si="0"/>
        <v>-1.1641532182693481E-10</v>
      </c>
    </row>
    <row r="37" spans="1:6" ht="15.75">
      <c r="A37" s="41" t="s">
        <v>125</v>
      </c>
      <c r="B37" s="42" t="s">
        <v>124</v>
      </c>
      <c r="C37" s="42" t="s">
        <v>57</v>
      </c>
      <c r="D37" s="39">
        <v>119672.7</v>
      </c>
      <c r="E37" s="39">
        <f>SUM(Ведомственная!G826+Ведомственная!G746)</f>
        <v>119672.7</v>
      </c>
      <c r="F37" s="40">
        <f t="shared" si="0"/>
        <v>0</v>
      </c>
    </row>
    <row r="38" spans="1:6" ht="15.75">
      <c r="A38" s="41" t="s">
        <v>201</v>
      </c>
      <c r="B38" s="42" t="s">
        <v>124</v>
      </c>
      <c r="C38" s="42" t="s">
        <v>124</v>
      </c>
      <c r="D38" s="39">
        <v>9243.4</v>
      </c>
      <c r="E38" s="39">
        <f>SUM(Ведомственная!G757)</f>
        <v>9243.4</v>
      </c>
      <c r="F38" s="40">
        <f t="shared" si="0"/>
        <v>0</v>
      </c>
    </row>
    <row r="39" spans="1:6" ht="15.75">
      <c r="A39" s="41" t="s">
        <v>202</v>
      </c>
      <c r="B39" s="42" t="s">
        <v>124</v>
      </c>
      <c r="C39" s="42" t="s">
        <v>191</v>
      </c>
      <c r="D39" s="39">
        <v>47471.4</v>
      </c>
      <c r="E39" s="39">
        <f>SUM(Ведомственная!G783+Ведомственная!G296)</f>
        <v>47471.4</v>
      </c>
      <c r="F39" s="40">
        <f t="shared" si="0"/>
        <v>0</v>
      </c>
    </row>
    <row r="40" spans="1:6" ht="15.75">
      <c r="A40" s="36" t="s">
        <v>522</v>
      </c>
      <c r="B40" s="37" t="s">
        <v>18</v>
      </c>
      <c r="C40" s="37" t="s">
        <v>35</v>
      </c>
      <c r="D40" s="38">
        <f>SUM(D41:D42)</f>
        <v>122078.6</v>
      </c>
      <c r="E40" s="39">
        <f>SUM(E41:E42)</f>
        <v>122078.59999999999</v>
      </c>
      <c r="F40" s="40">
        <f t="shared" si="0"/>
        <v>1.4551915228366852E-11</v>
      </c>
    </row>
    <row r="41" spans="1:6" ht="15.75">
      <c r="A41" s="41" t="s">
        <v>203</v>
      </c>
      <c r="B41" s="42" t="s">
        <v>18</v>
      </c>
      <c r="C41" s="42" t="s">
        <v>37</v>
      </c>
      <c r="D41" s="39">
        <v>109182.6</v>
      </c>
      <c r="E41" s="39">
        <f>SUM(Ведомственная!G833)</f>
        <v>109182.59999999999</v>
      </c>
      <c r="F41" s="40">
        <f t="shared" si="0"/>
        <v>1.4551915228366852E-11</v>
      </c>
    </row>
    <row r="42" spans="1:6" ht="29.25" customHeight="1">
      <c r="A42" s="41" t="s">
        <v>204</v>
      </c>
      <c r="B42" s="42" t="s">
        <v>18</v>
      </c>
      <c r="C42" s="42" t="s">
        <v>16</v>
      </c>
      <c r="D42" s="39">
        <v>12896</v>
      </c>
      <c r="E42" s="39">
        <f>SUM(Ведомственная!G854)</f>
        <v>12896</v>
      </c>
      <c r="F42" s="40">
        <f t="shared" si="0"/>
        <v>0</v>
      </c>
    </row>
    <row r="43" spans="1:6" ht="15.75" hidden="1">
      <c r="A43" s="41" t="s">
        <v>523</v>
      </c>
      <c r="B43" s="42" t="s">
        <v>191</v>
      </c>
      <c r="C43" s="42" t="s">
        <v>35</v>
      </c>
      <c r="D43" s="39">
        <f>SUM(D45:D46)</f>
        <v>0</v>
      </c>
      <c r="E43" s="39">
        <f>SUM(E45:E46)</f>
        <v>0</v>
      </c>
      <c r="F43" s="40">
        <f t="shared" si="0"/>
        <v>0</v>
      </c>
    </row>
    <row r="44" spans="1:6" ht="15.75" hidden="1">
      <c r="A44" s="41" t="s">
        <v>205</v>
      </c>
      <c r="B44" s="42" t="s">
        <v>191</v>
      </c>
      <c r="C44" s="42" t="s">
        <v>37</v>
      </c>
      <c r="D44" s="39"/>
      <c r="E44" s="39"/>
      <c r="F44" s="40">
        <f t="shared" si="0"/>
        <v>0</v>
      </c>
    </row>
    <row r="45" spans="1:6" ht="15.75" hidden="1">
      <c r="A45" s="41" t="s">
        <v>206</v>
      </c>
      <c r="B45" s="42" t="s">
        <v>191</v>
      </c>
      <c r="C45" s="42" t="s">
        <v>47</v>
      </c>
      <c r="D45" s="39"/>
      <c r="E45" s="39"/>
      <c r="F45" s="40">
        <f t="shared" si="0"/>
        <v>0</v>
      </c>
    </row>
    <row r="46" spans="1:6" ht="15.75" hidden="1">
      <c r="A46" s="41" t="s">
        <v>207</v>
      </c>
      <c r="B46" s="42" t="s">
        <v>191</v>
      </c>
      <c r="C46" s="42" t="s">
        <v>191</v>
      </c>
      <c r="D46" s="39"/>
      <c r="E46" s="39"/>
      <c r="F46" s="40">
        <f t="shared" si="0"/>
        <v>0</v>
      </c>
    </row>
    <row r="47" spans="1:6" ht="15.75">
      <c r="A47" s="36" t="s">
        <v>33</v>
      </c>
      <c r="B47" s="37" t="s">
        <v>34</v>
      </c>
      <c r="C47" s="37" t="s">
        <v>35</v>
      </c>
      <c r="D47" s="38">
        <f>SUM(D48:D52)</f>
        <v>1129610.3</v>
      </c>
      <c r="E47" s="39">
        <f>SUM(E48:E52)</f>
        <v>1129610.3</v>
      </c>
      <c r="F47" s="40">
        <f t="shared" si="0"/>
        <v>0</v>
      </c>
    </row>
    <row r="48" spans="1:6" ht="15.75">
      <c r="A48" s="41" t="s">
        <v>36</v>
      </c>
      <c r="B48" s="42" t="s">
        <v>34</v>
      </c>
      <c r="C48" s="42" t="s">
        <v>37</v>
      </c>
      <c r="D48" s="39">
        <v>7468.3</v>
      </c>
      <c r="E48" s="39">
        <f>SUM(Ведомственная!G408)</f>
        <v>7468.3</v>
      </c>
      <c r="F48" s="40">
        <f t="shared" si="0"/>
        <v>0</v>
      </c>
    </row>
    <row r="49" spans="1:6" ht="15.75">
      <c r="A49" s="41" t="s">
        <v>46</v>
      </c>
      <c r="B49" s="42" t="s">
        <v>34</v>
      </c>
      <c r="C49" s="42" t="s">
        <v>47</v>
      </c>
      <c r="D49" s="39">
        <v>55175.8</v>
      </c>
      <c r="E49" s="39">
        <f>SUM(Ведомственная!G415)</f>
        <v>55175.8</v>
      </c>
      <c r="F49" s="40">
        <f t="shared" si="0"/>
        <v>0</v>
      </c>
    </row>
    <row r="50" spans="1:6" ht="15.75">
      <c r="A50" s="41" t="s">
        <v>56</v>
      </c>
      <c r="B50" s="42" t="s">
        <v>34</v>
      </c>
      <c r="C50" s="42" t="s">
        <v>57</v>
      </c>
      <c r="D50" s="39">
        <v>722739</v>
      </c>
      <c r="E50" s="39">
        <f>SUM(Ведомственная!G430+Ведомственная!G307)+Ведомственная!G802+Ведомственная!G904</f>
        <v>722739.0000000001</v>
      </c>
      <c r="F50" s="40">
        <f t="shared" si="0"/>
        <v>-1.1641532182693481E-10</v>
      </c>
    </row>
    <row r="51" spans="1:6" ht="15.75">
      <c r="A51" s="41" t="s">
        <v>208</v>
      </c>
      <c r="B51" s="42" t="s">
        <v>34</v>
      </c>
      <c r="C51" s="42" t="s">
        <v>16</v>
      </c>
      <c r="D51" s="39">
        <v>290439</v>
      </c>
      <c r="E51" s="39">
        <f>SUM(Ведомственная!G521+Ведомственная!G314+Ведомственная!G809)</f>
        <v>290439</v>
      </c>
      <c r="F51" s="40">
        <f t="shared" si="0"/>
        <v>0</v>
      </c>
    </row>
    <row r="52" spans="1:6" ht="15.75">
      <c r="A52" s="41" t="s">
        <v>80</v>
      </c>
      <c r="B52" s="42" t="s">
        <v>34</v>
      </c>
      <c r="C52" s="42" t="s">
        <v>81</v>
      </c>
      <c r="D52" s="39">
        <v>53788.2</v>
      </c>
      <c r="E52" s="39">
        <f>SUM(Ведомственная!G327+Ведомственная!G385+Ведомственная!G551)</f>
        <v>53788.2</v>
      </c>
      <c r="F52" s="40">
        <f t="shared" si="0"/>
        <v>0</v>
      </c>
    </row>
    <row r="53" spans="1:6" ht="15.75">
      <c r="A53" s="36" t="s">
        <v>321</v>
      </c>
      <c r="B53" s="37" t="s">
        <v>188</v>
      </c>
      <c r="C53" s="37" t="s">
        <v>35</v>
      </c>
      <c r="D53" s="38">
        <f>SUM(D54:D57)</f>
        <v>105671.4</v>
      </c>
      <c r="E53" s="39">
        <f>SUM(E54:E57)</f>
        <v>105671.4</v>
      </c>
      <c r="F53" s="40">
        <f t="shared" si="0"/>
        <v>0</v>
      </c>
    </row>
    <row r="54" spans="1:6" ht="14.25" customHeight="1">
      <c r="A54" s="41" t="s">
        <v>209</v>
      </c>
      <c r="B54" s="42" t="s">
        <v>188</v>
      </c>
      <c r="C54" s="42" t="s">
        <v>37</v>
      </c>
      <c r="D54" s="39">
        <v>93320.4</v>
      </c>
      <c r="E54" s="39">
        <f>SUM(Ведомственная!G344+Ведомственная!G576)</f>
        <v>93320.40000000001</v>
      </c>
      <c r="F54" s="40">
        <f t="shared" si="0"/>
        <v>-1.4551915228366852E-11</v>
      </c>
    </row>
    <row r="55" spans="1:6" ht="15.75">
      <c r="A55" s="41" t="s">
        <v>210</v>
      </c>
      <c r="B55" s="42" t="s">
        <v>188</v>
      </c>
      <c r="C55" s="42" t="s">
        <v>47</v>
      </c>
      <c r="D55" s="39">
        <v>9432.6</v>
      </c>
      <c r="E55" s="39">
        <f>SUM(Ведомственная!G623)</f>
        <v>9432.599999999999</v>
      </c>
      <c r="F55" s="40">
        <f t="shared" si="0"/>
        <v>1.8189894035458565E-12</v>
      </c>
    </row>
    <row r="56" spans="1:6" ht="22.5" customHeight="1">
      <c r="A56" s="41" t="s">
        <v>211</v>
      </c>
      <c r="B56" s="42" t="s">
        <v>188</v>
      </c>
      <c r="C56" s="42" t="s">
        <v>57</v>
      </c>
      <c r="D56" s="39">
        <v>1533.2</v>
      </c>
      <c r="E56" s="39">
        <f>SUM(Ведомственная!G633)</f>
        <v>1533.2</v>
      </c>
      <c r="F56" s="40">
        <f t="shared" si="0"/>
        <v>0</v>
      </c>
    </row>
    <row r="57" spans="1:6" ht="35.25" customHeight="1">
      <c r="A57" s="41" t="s">
        <v>212</v>
      </c>
      <c r="B57" s="42" t="s">
        <v>188</v>
      </c>
      <c r="C57" s="42" t="s">
        <v>187</v>
      </c>
      <c r="D57" s="39">
        <v>1385.2</v>
      </c>
      <c r="E57" s="39">
        <f>Ведомственная!G354</f>
        <v>1385.2</v>
      </c>
      <c r="F57" s="40">
        <f t="shared" si="0"/>
        <v>0</v>
      </c>
    </row>
    <row r="58" spans="1:6" ht="31.5">
      <c r="A58" s="36" t="s">
        <v>230</v>
      </c>
      <c r="B58" s="37" t="s">
        <v>103</v>
      </c>
      <c r="C58" s="37" t="s">
        <v>35</v>
      </c>
      <c r="D58" s="38">
        <f>SUM(D59)</f>
        <v>14305.2</v>
      </c>
      <c r="E58" s="39">
        <f>SUM(E59)</f>
        <v>14305.2</v>
      </c>
      <c r="F58" s="40">
        <f t="shared" si="0"/>
        <v>0</v>
      </c>
    </row>
    <row r="59" spans="1:6" ht="31.5">
      <c r="A59" s="41" t="s">
        <v>213</v>
      </c>
      <c r="B59" s="42" t="s">
        <v>103</v>
      </c>
      <c r="C59" s="42" t="s">
        <v>37</v>
      </c>
      <c r="D59" s="39">
        <v>14305.2</v>
      </c>
      <c r="E59" s="39">
        <f>SUM(Ведомственная!G389)</f>
        <v>14305.2</v>
      </c>
      <c r="F59" s="40">
        <f t="shared" si="0"/>
        <v>0</v>
      </c>
    </row>
    <row r="60" spans="1:6" ht="21.75" customHeight="1">
      <c r="A60" s="36" t="s">
        <v>214</v>
      </c>
      <c r="B60" s="43"/>
      <c r="C60" s="43"/>
      <c r="D60" s="44">
        <f>SUM(D10+D18+D21+D26+D31+D34+D40+D43+D47+D53+D58)</f>
        <v>3918088.8000000003</v>
      </c>
      <c r="E60" s="45">
        <f>SUM(E10+E18+E21+E26+E31+E34+E40+E43+E47+E53+E58)</f>
        <v>3918088.8000000003</v>
      </c>
      <c r="F60" s="40">
        <f t="shared" si="0"/>
        <v>0</v>
      </c>
    </row>
    <row r="62" ht="15">
      <c r="E62" s="40"/>
    </row>
    <row r="63" ht="15">
      <c r="E63" s="40"/>
    </row>
  </sheetData>
  <sheetProtection/>
  <mergeCells count="1">
    <mergeCell ref="A7:E7"/>
  </mergeCells>
  <conditionalFormatting sqref="E10:E59">
    <cfRule type="cellIs" priority="14" dxfId="14" operator="lessThan">
      <formula>0</formula>
    </cfRule>
  </conditionalFormatting>
  <conditionalFormatting sqref="D10">
    <cfRule type="cellIs" priority="13" dxfId="14" operator="lessThan">
      <formula>0</formula>
    </cfRule>
  </conditionalFormatting>
  <conditionalFormatting sqref="D18">
    <cfRule type="cellIs" priority="12" dxfId="14" operator="lessThan">
      <formula>0</formula>
    </cfRule>
  </conditionalFormatting>
  <conditionalFormatting sqref="D21">
    <cfRule type="cellIs" priority="11" dxfId="14" operator="lessThan">
      <formula>0</formula>
    </cfRule>
  </conditionalFormatting>
  <conditionalFormatting sqref="D26">
    <cfRule type="cellIs" priority="10" dxfId="14" operator="lessThan">
      <formula>0</formula>
    </cfRule>
  </conditionalFormatting>
  <conditionalFormatting sqref="D31">
    <cfRule type="cellIs" priority="9" dxfId="14" operator="lessThan">
      <formula>0</formula>
    </cfRule>
  </conditionalFormatting>
  <conditionalFormatting sqref="D34">
    <cfRule type="cellIs" priority="8" dxfId="14" operator="lessThan">
      <formula>0</formula>
    </cfRule>
  </conditionalFormatting>
  <conditionalFormatting sqref="D40">
    <cfRule type="cellIs" priority="7" dxfId="14" operator="lessThan">
      <formula>0</formula>
    </cfRule>
  </conditionalFormatting>
  <conditionalFormatting sqref="D43">
    <cfRule type="cellIs" priority="6" dxfId="14" operator="lessThan">
      <formula>0</formula>
    </cfRule>
  </conditionalFormatting>
  <conditionalFormatting sqref="D47">
    <cfRule type="cellIs" priority="5" dxfId="14" operator="lessThan">
      <formula>0</formula>
    </cfRule>
  </conditionalFormatting>
  <conditionalFormatting sqref="D53">
    <cfRule type="cellIs" priority="4" dxfId="14" operator="lessThan">
      <formula>0</formula>
    </cfRule>
  </conditionalFormatting>
  <conditionalFormatting sqref="D58">
    <cfRule type="cellIs" priority="3" dxfId="14" operator="lessThan">
      <formula>0</formula>
    </cfRule>
  </conditionalFormatting>
  <conditionalFormatting sqref="D10">
    <cfRule type="cellIs" priority="2" dxfId="14" operator="lessThan">
      <formula>0</formula>
    </cfRule>
  </conditionalFormatting>
  <conditionalFormatting sqref="D10:D59">
    <cfRule type="cellIs" priority="1" dxfId="14" operator="lessThan">
      <formula>0</formula>
    </cfRule>
  </conditionalFormatting>
  <printOptions/>
  <pageMargins left="1.1023622047244095" right="0.31496062992125984" top="0.5511811023622047" bottom="0.15748031496062992" header="0.31496062992125984" footer="0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72.421875" style="4" customWidth="1"/>
    <col min="2" max="2" width="19.7109375" style="4" customWidth="1"/>
    <col min="3" max="3" width="15.7109375" style="4" customWidth="1"/>
    <col min="4" max="4" width="15.28125" style="4" customWidth="1"/>
    <col min="5" max="16384" width="9.140625" style="4" customWidth="1"/>
  </cols>
  <sheetData>
    <row r="1" ht="15.75">
      <c r="C1" s="149" t="s">
        <v>783</v>
      </c>
    </row>
    <row r="2" ht="15.75">
      <c r="C2" s="150" t="s">
        <v>785</v>
      </c>
    </row>
    <row r="3" ht="15.75">
      <c r="C3" s="150" t="s">
        <v>0</v>
      </c>
    </row>
    <row r="4" ht="15.75">
      <c r="C4" s="150" t="s">
        <v>1</v>
      </c>
    </row>
    <row r="5" ht="12.75">
      <c r="C5" s="34" t="s">
        <v>786</v>
      </c>
    </row>
    <row r="6" spans="1:4" ht="47.25" customHeight="1">
      <c r="A6" s="168" t="s">
        <v>723</v>
      </c>
      <c r="B6" s="168"/>
      <c r="C6" s="170"/>
      <c r="D6" s="170"/>
    </row>
    <row r="7" ht="15">
      <c r="B7" s="9" t="s">
        <v>724</v>
      </c>
    </row>
    <row r="8" spans="1:4" ht="39.75" customHeight="1">
      <c r="A8" s="151" t="s">
        <v>725</v>
      </c>
      <c r="B8" s="152" t="s">
        <v>726</v>
      </c>
      <c r="C8" s="152" t="s">
        <v>727</v>
      </c>
      <c r="D8" s="152" t="s">
        <v>728</v>
      </c>
    </row>
    <row r="9" spans="1:4" ht="47.25">
      <c r="A9" s="10" t="s">
        <v>752</v>
      </c>
      <c r="B9" s="6">
        <f>SUM(B10)</f>
        <v>11500</v>
      </c>
      <c r="C9" s="5"/>
      <c r="D9" s="5"/>
    </row>
    <row r="10" spans="1:4" ht="31.5">
      <c r="A10" s="11" t="s">
        <v>359</v>
      </c>
      <c r="B10" s="7">
        <f>SUM(B11:B12)</f>
        <v>11500</v>
      </c>
      <c r="C10" s="5"/>
      <c r="D10" s="5"/>
    </row>
    <row r="11" spans="1:4" ht="47.25">
      <c r="A11" s="12" t="s">
        <v>753</v>
      </c>
      <c r="B11" s="8">
        <v>6500</v>
      </c>
      <c r="C11" s="5"/>
      <c r="D11" s="5"/>
    </row>
    <row r="12" spans="1:4" ht="47.25">
      <c r="A12" s="12" t="s">
        <v>754</v>
      </c>
      <c r="B12" s="8">
        <v>5000</v>
      </c>
      <c r="C12" s="5"/>
      <c r="D12" s="5"/>
    </row>
    <row r="13" spans="1:4" ht="31.5">
      <c r="A13" s="13" t="s">
        <v>294</v>
      </c>
      <c r="B13" s="14">
        <f>B14</f>
        <v>648</v>
      </c>
      <c r="C13" s="14"/>
      <c r="D13" s="14"/>
    </row>
    <row r="14" spans="1:4" ht="31.5">
      <c r="A14" s="15" t="s">
        <v>729</v>
      </c>
      <c r="B14" s="16">
        <f>B15</f>
        <v>648</v>
      </c>
      <c r="C14" s="16"/>
      <c r="D14" s="16"/>
    </row>
    <row r="15" spans="1:4" ht="15.75">
      <c r="A15" s="17" t="s">
        <v>730</v>
      </c>
      <c r="B15" s="18">
        <v>648</v>
      </c>
      <c r="C15" s="18"/>
      <c r="D15" s="18"/>
    </row>
    <row r="16" spans="1:4" ht="47.25">
      <c r="A16" s="19" t="s">
        <v>731</v>
      </c>
      <c r="B16" s="14">
        <f>SUM(B17,B21)</f>
        <v>2956</v>
      </c>
      <c r="C16" s="14"/>
      <c r="D16" s="18"/>
    </row>
    <row r="17" spans="1:4" ht="31.5">
      <c r="A17" s="15" t="s">
        <v>732</v>
      </c>
      <c r="B17" s="16">
        <f>SUM(B18:B20)</f>
        <v>2560.5</v>
      </c>
      <c r="C17" s="16"/>
      <c r="D17" s="16"/>
    </row>
    <row r="18" spans="1:4" ht="47.25">
      <c r="A18" s="20" t="s">
        <v>733</v>
      </c>
      <c r="B18" s="18">
        <v>100</v>
      </c>
      <c r="C18" s="18"/>
      <c r="D18" s="18"/>
    </row>
    <row r="19" spans="1:4" ht="15.75">
      <c r="A19" s="20" t="s">
        <v>734</v>
      </c>
      <c r="B19" s="18">
        <v>2360.5</v>
      </c>
      <c r="C19" s="18"/>
      <c r="D19" s="18"/>
    </row>
    <row r="20" spans="1:4" ht="31.5">
      <c r="A20" s="20" t="s">
        <v>735</v>
      </c>
      <c r="B20" s="18">
        <v>100</v>
      </c>
      <c r="C20" s="18"/>
      <c r="D20" s="18"/>
    </row>
    <row r="21" spans="1:4" ht="31.5">
      <c r="A21" s="21" t="s">
        <v>736</v>
      </c>
      <c r="B21" s="16">
        <f>B22+B23+B24</f>
        <v>395.5</v>
      </c>
      <c r="C21" s="16"/>
      <c r="D21" s="16"/>
    </row>
    <row r="22" spans="1:4" ht="44.25" customHeight="1">
      <c r="A22" s="20" t="s">
        <v>737</v>
      </c>
      <c r="B22" s="18">
        <v>236.9</v>
      </c>
      <c r="C22" s="18"/>
      <c r="D22" s="18"/>
    </row>
    <row r="23" spans="1:4" ht="31.5" hidden="1">
      <c r="A23" s="20" t="s">
        <v>738</v>
      </c>
      <c r="B23" s="18"/>
      <c r="C23" s="18"/>
      <c r="D23" s="18"/>
    </row>
    <row r="24" spans="1:4" ht="47.25">
      <c r="A24" s="20" t="s">
        <v>739</v>
      </c>
      <c r="B24" s="18">
        <v>158.6</v>
      </c>
      <c r="C24" s="18"/>
      <c r="D24" s="18"/>
    </row>
    <row r="25" spans="1:4" ht="42" customHeight="1">
      <c r="A25" s="22" t="s">
        <v>351</v>
      </c>
      <c r="B25" s="14">
        <f>SUM(B26:B28)</f>
        <v>2362.9</v>
      </c>
      <c r="C25" s="14"/>
      <c r="D25" s="14"/>
    </row>
    <row r="26" spans="1:4" ht="22.5" customHeight="1">
      <c r="A26" s="20" t="s">
        <v>740</v>
      </c>
      <c r="B26" s="18">
        <v>500</v>
      </c>
      <c r="C26" s="18"/>
      <c r="D26" s="18"/>
    </row>
    <row r="27" spans="1:4" ht="22.5" customHeight="1">
      <c r="A27" s="20" t="s">
        <v>741</v>
      </c>
      <c r="B27" s="18">
        <v>477.7</v>
      </c>
      <c r="C27" s="18"/>
      <c r="D27" s="18"/>
    </row>
    <row r="28" spans="1:4" ht="33.75" customHeight="1">
      <c r="A28" s="20" t="s">
        <v>742</v>
      </c>
      <c r="B28" s="18">
        <v>1385.2</v>
      </c>
      <c r="C28" s="18"/>
      <c r="D28" s="18"/>
    </row>
    <row r="29" spans="1:4" ht="31.5">
      <c r="A29" s="22" t="s">
        <v>323</v>
      </c>
      <c r="B29" s="14">
        <f>B30</f>
        <v>10122</v>
      </c>
      <c r="C29" s="14"/>
      <c r="D29" s="14"/>
    </row>
    <row r="30" spans="1:4" ht="47.25">
      <c r="A30" s="21" t="s">
        <v>743</v>
      </c>
      <c r="B30" s="16">
        <f>SUM(B31:B32)</f>
        <v>10122</v>
      </c>
      <c r="C30" s="16"/>
      <c r="D30" s="16"/>
    </row>
    <row r="31" spans="1:4" ht="47.25">
      <c r="A31" s="20" t="s">
        <v>749</v>
      </c>
      <c r="B31" s="18">
        <v>800</v>
      </c>
      <c r="C31" s="16"/>
      <c r="D31" s="16"/>
    </row>
    <row r="32" spans="1:4" ht="47.25">
      <c r="A32" s="20" t="s">
        <v>744</v>
      </c>
      <c r="B32" s="18">
        <v>9322</v>
      </c>
      <c r="C32" s="18"/>
      <c r="D32" s="18"/>
    </row>
    <row r="33" spans="1:4" ht="47.25">
      <c r="A33" s="23" t="s">
        <v>345</v>
      </c>
      <c r="B33" s="24">
        <f>SUM(B34)</f>
        <v>733.1</v>
      </c>
      <c r="C33" s="14"/>
      <c r="D33" s="14"/>
    </row>
    <row r="34" spans="1:4" ht="31.5">
      <c r="A34" s="25" t="s">
        <v>349</v>
      </c>
      <c r="B34" s="26">
        <f>SUM(B35:B37)</f>
        <v>733.1</v>
      </c>
      <c r="C34" s="18"/>
      <c r="D34" s="18"/>
    </row>
    <row r="35" spans="1:4" ht="15.75">
      <c r="A35" s="27" t="s">
        <v>745</v>
      </c>
      <c r="B35" s="28">
        <v>500</v>
      </c>
      <c r="C35" s="18"/>
      <c r="D35" s="18"/>
    </row>
    <row r="36" spans="1:4" ht="15.75">
      <c r="A36" s="27" t="s">
        <v>746</v>
      </c>
      <c r="B36" s="28">
        <v>33.1</v>
      </c>
      <c r="C36" s="18"/>
      <c r="D36" s="18"/>
    </row>
    <row r="37" spans="1:4" ht="15.75">
      <c r="A37" s="27" t="s">
        <v>747</v>
      </c>
      <c r="B37" s="28">
        <v>200</v>
      </c>
      <c r="C37" s="18"/>
      <c r="D37" s="18"/>
    </row>
    <row r="38" spans="1:4" ht="19.5" customHeight="1">
      <c r="A38" s="13" t="s">
        <v>748</v>
      </c>
      <c r="B38" s="29">
        <f>SUM(B13,B16,B25,B29,B33,B9)</f>
        <v>28322</v>
      </c>
      <c r="C38" s="29">
        <f>SUM(C13,C16,C25,C29)</f>
        <v>0</v>
      </c>
      <c r="D38" s="29">
        <f>SUM(D13,D16,D25,D29)</f>
        <v>0</v>
      </c>
    </row>
  </sheetData>
  <sheetProtection/>
  <mergeCells count="1">
    <mergeCell ref="A6:D6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2017-04-24T06:05:11Z</cp:lastPrinted>
  <dcterms:created xsi:type="dcterms:W3CDTF">2016-11-10T06:54:02Z</dcterms:created>
  <dcterms:modified xsi:type="dcterms:W3CDTF">2017-04-28T09:45:01Z</dcterms:modified>
  <cp:category/>
  <cp:version/>
  <cp:contentType/>
  <cp:contentStatus/>
</cp:coreProperties>
</file>